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24226"/>
  <bookViews>
    <workbookView xWindow="0" yWindow="0" windowWidth="7800" windowHeight="1220" tabRatio="633"/>
  </bookViews>
  <sheets>
    <sheet name="TITELBLAD" sheetId="1" r:id="rId1"/>
    <sheet name="T1" sheetId="2" r:id="rId2"/>
    <sheet name="T2" sheetId="4" r:id="rId3"/>
    <sheet name="T3A" sheetId="5" r:id="rId4"/>
    <sheet name="T3B" sheetId="6" r:id="rId5"/>
    <sheet name="T4A" sheetId="7" r:id="rId6"/>
    <sheet name="T4B" sheetId="19" r:id="rId7"/>
    <sheet name="T4C" sheetId="20" r:id="rId8"/>
    <sheet name="T5A" sheetId="8" r:id="rId9"/>
    <sheet name="T5B" sheetId="21" r:id="rId10"/>
    <sheet name="T5C" sheetId="13" r:id="rId11"/>
    <sheet name="T5D" sheetId="15" r:id="rId12"/>
    <sheet name="T5E" sheetId="16" r:id="rId13"/>
    <sheet name="T6A" sheetId="22" r:id="rId14"/>
    <sheet name="T6B" sheetId="23" r:id="rId15"/>
    <sheet name="T7" sheetId="25" r:id="rId16"/>
    <sheet name="T8" sheetId="9" r:id="rId17"/>
    <sheet name="T9" sheetId="10" r:id="rId18"/>
    <sheet name="T10" sheetId="11" r:id="rId19"/>
  </sheets>
  <externalReferences>
    <externalReference r:id="rId20"/>
    <externalReference r:id="rId21"/>
    <externalReference r:id="rId22"/>
    <externalReference r:id="rId23"/>
    <externalReference r:id="rId24"/>
  </externalReferences>
  <definedNames>
    <definedName name="_ftn2" localSheetId="0">TITELBLAD!#REF!</definedName>
    <definedName name="_ftn3" localSheetId="0">TITELBLAD!#REF!</definedName>
    <definedName name="_ftnref2" localSheetId="0">TITELBLAD!$A$113</definedName>
    <definedName name="_ftnref3" localSheetId="0">TITELBLAD!$A$117</definedName>
    <definedName name="a">#REF!</definedName>
    <definedName name="_xlnm.Print_Area" localSheetId="1">'T1'!$A$1:$Q$80</definedName>
    <definedName name="_xlnm.Print_Area" localSheetId="18">'T10'!$A$1:$J$42</definedName>
    <definedName name="_xlnm.Print_Area" localSheetId="2">'T2'!$A$1:$F$32</definedName>
    <definedName name="_xlnm.Print_Area" localSheetId="3">T3A!$A$1:$N$156</definedName>
    <definedName name="_xlnm.Print_Area" localSheetId="4">T3B!$A$1:$K$182</definedName>
    <definedName name="_xlnm.Print_Area" localSheetId="5">T4A!$A$1:$M$57</definedName>
    <definedName name="_xlnm.Print_Area" localSheetId="6">T4B!$A$1:$N$504</definedName>
    <definedName name="_xlnm.Print_Area" localSheetId="7">T4C!$A$1:$M$94</definedName>
    <definedName name="_xlnm.Print_Area" localSheetId="8">T5A!$A$1:$M$88</definedName>
    <definedName name="_xlnm.Print_Area" localSheetId="9">T5B!$A$1:$N$458</definedName>
    <definedName name="_xlnm.Print_Area" localSheetId="10">T5C!$A$1:$K$49</definedName>
    <definedName name="_xlnm.Print_Area" localSheetId="11">T5D!$A$1:$I$35</definedName>
    <definedName name="_xlnm.Print_Area" localSheetId="12">T5E!$A$1:$I$45</definedName>
    <definedName name="_xlnm.Print_Area" localSheetId="13">T6A!$A$1:$K$106</definedName>
    <definedName name="_xlnm.Print_Area" localSheetId="14">T6B!$A$1:$N$396</definedName>
    <definedName name="_xlnm.Print_Area" localSheetId="15">'T7'!$A$1:$K$49</definedName>
    <definedName name="_xlnm.Print_Area" localSheetId="16">'T8'!$A$1:$O$255</definedName>
    <definedName name="_xlnm.Print_Area" localSheetId="17">'T9'!$A$1:$F$25</definedName>
    <definedName name="_xlnm.Print_Area" localSheetId="0">TITELBLAD!$A$1:$Q$104</definedName>
    <definedName name="_xlnm.Print_Titles" localSheetId="5">T4A!$2:$2</definedName>
    <definedName name="_xlnm.Print_Titles" localSheetId="7">T4C!$2:$2</definedName>
    <definedName name="_xlnm.Print_Titles" localSheetId="8">T5A!$2:$2</definedName>
    <definedName name="_xlnm.Print_Titles" localSheetId="13">T6A!$2:$2</definedName>
    <definedName name="_xlnm.Print_Titles" localSheetId="15">'T7'!$2:$2</definedName>
    <definedName name="Aftakklem_LS" localSheetId="18">'[1]BASISPRIJZEN MATERIAAL'!$I$188</definedName>
    <definedName name="Aftakklem_LS" localSheetId="5">'[2]BASISPRIJZEN MATERIAAL'!$I$188</definedName>
    <definedName name="Aftakklem_LS" localSheetId="7">'[2]BASISPRIJZEN MATERIAAL'!$I$188</definedName>
    <definedName name="Aftakklem_LS" localSheetId="8">'[2]BASISPRIJZEN MATERIAAL'!$I$188</definedName>
    <definedName name="Aftakklem_LS" localSheetId="11">'[3]BASISPRIJZEN MATERIAAL'!$I$188</definedName>
    <definedName name="Aftakklem_LS" localSheetId="13">'[2]BASISPRIJZEN MATERIAAL'!$I$188</definedName>
    <definedName name="Aftakklem_LS" localSheetId="15">'[2]BASISPRIJZEN MATERIAAL'!$I$188</definedName>
    <definedName name="Aftakklem_LS" localSheetId="0">'[1]BASISPRIJZEN MATERIAAL'!$I$188</definedName>
    <definedName name="Aftakklem_LS">'[2]BASISPRIJZEN MATERIAAL'!$I$188</definedName>
    <definedName name="Codes" localSheetId="18">'[4]Codes des IM'!$B$2:$D$23</definedName>
    <definedName name="Codes" localSheetId="5">'[5]Codes des IM'!$B$2:$D$23</definedName>
    <definedName name="Codes" localSheetId="7">'[5]Codes des IM'!$B$2:$D$23</definedName>
    <definedName name="Codes" localSheetId="8">'[5]Codes des IM'!$B$2:$D$23</definedName>
    <definedName name="Codes" localSheetId="11">'[4]Codes des IM'!$B$2:$D$23</definedName>
    <definedName name="Codes" localSheetId="13">'[5]Codes des IM'!$B$2:$D$23</definedName>
    <definedName name="Codes" localSheetId="15">'[5]Codes des IM'!$B$2:$D$23</definedName>
    <definedName name="Codes" localSheetId="0">'[4]Codes des IM'!$B$2:$D$23</definedName>
    <definedName name="Codes">'[5]Codes des IM'!$B$2:$D$23</definedName>
    <definedName name="Forfaitair_feeder">75000</definedName>
    <definedName name="Hangslot" localSheetId="18">'[1]BASISPRIJZEN MATERIAAL'!$I$138</definedName>
    <definedName name="Hangslot" localSheetId="5">'[2]BASISPRIJZEN MATERIAAL'!$I$138</definedName>
    <definedName name="Hangslot" localSheetId="7">'[2]BASISPRIJZEN MATERIAAL'!$I$138</definedName>
    <definedName name="Hangslot" localSheetId="8">'[2]BASISPRIJZEN MATERIAAL'!$I$138</definedName>
    <definedName name="Hangslot" localSheetId="11">'[3]BASISPRIJZEN MATERIAAL'!$I$138</definedName>
    <definedName name="Hangslot" localSheetId="13">'[2]BASISPRIJZEN MATERIAAL'!$I$138</definedName>
    <definedName name="Hangslot" localSheetId="15">'[2]BASISPRIJZEN MATERIAAL'!$I$138</definedName>
    <definedName name="Hangslot" localSheetId="0">'[1]BASISPRIJZEN MATERIAAL'!$I$138</definedName>
    <definedName name="Hangslot">'[2]BASISPRIJZEN MATERIAAL'!$I$138</definedName>
    <definedName name="Kabelschoen_HS" localSheetId="18">'[1]BASISPRIJZEN MATERIAAL'!$I$201</definedName>
    <definedName name="Kabelschoen_HS" localSheetId="5">'[2]BASISPRIJZEN MATERIAAL'!$I$201</definedName>
    <definedName name="Kabelschoen_HS" localSheetId="7">'[2]BASISPRIJZEN MATERIAAL'!$I$201</definedName>
    <definedName name="Kabelschoen_HS" localSheetId="8">'[2]BASISPRIJZEN MATERIAAL'!$I$201</definedName>
    <definedName name="Kabelschoen_HS" localSheetId="11">'[3]BASISPRIJZEN MATERIAAL'!$I$201</definedName>
    <definedName name="Kabelschoen_HS" localSheetId="13">'[2]BASISPRIJZEN MATERIAAL'!$I$201</definedName>
    <definedName name="Kabelschoen_HS" localSheetId="15">'[2]BASISPRIJZEN MATERIAAL'!$I$201</definedName>
    <definedName name="Kabelschoen_HS" localSheetId="0">'[1]BASISPRIJZEN MATERIAAL'!$I$201</definedName>
    <definedName name="Kabelschoen_HS">'[2]BASISPRIJZEN MATERIAAL'!$I$201</definedName>
    <definedName name="Kabelschoen_LS" localSheetId="18">'[1]BASISPRIJZEN MATERIAAL'!$I$198</definedName>
    <definedName name="Kabelschoen_LS" localSheetId="5">'[2]BASISPRIJZEN MATERIAAL'!$I$198</definedName>
    <definedName name="Kabelschoen_LS" localSheetId="7">'[2]BASISPRIJZEN MATERIAAL'!$I$198</definedName>
    <definedName name="Kabelschoen_LS" localSheetId="8">'[2]BASISPRIJZEN MATERIAAL'!$I$198</definedName>
    <definedName name="Kabelschoen_LS" localSheetId="11">'[3]BASISPRIJZEN MATERIAAL'!$I$198</definedName>
    <definedName name="Kabelschoen_LS" localSheetId="13">'[2]BASISPRIJZEN MATERIAAL'!$I$198</definedName>
    <definedName name="Kabelschoen_LS" localSheetId="15">'[2]BASISPRIJZEN MATERIAAL'!$I$198</definedName>
    <definedName name="Kabelschoen_LS" localSheetId="0">'[1]BASISPRIJZEN MATERIAAL'!$I$198</definedName>
    <definedName name="Kabelschoen_LS">'[2]BASISPRIJZEN MATERIAAL'!$I$198</definedName>
    <definedName name="Kit_kunststof_AL" localSheetId="18">'[1]BASISPRIJZEN MATERIAAL'!$I$190</definedName>
    <definedName name="Kit_kunststof_AL" localSheetId="5">'[2]BASISPRIJZEN MATERIAAL'!$I$190</definedName>
    <definedName name="Kit_kunststof_AL" localSheetId="7">'[2]BASISPRIJZEN MATERIAAL'!$I$190</definedName>
    <definedName name="Kit_kunststof_AL" localSheetId="8">'[2]BASISPRIJZEN MATERIAAL'!$I$190</definedName>
    <definedName name="Kit_kunststof_AL" localSheetId="11">'[3]BASISPRIJZEN MATERIAAL'!$I$190</definedName>
    <definedName name="Kit_kunststof_AL" localSheetId="13">'[2]BASISPRIJZEN MATERIAAL'!$I$190</definedName>
    <definedName name="Kit_kunststof_AL" localSheetId="15">'[2]BASISPRIJZEN MATERIAAL'!$I$190</definedName>
    <definedName name="Kit_kunststof_AL" localSheetId="0">'[1]BASISPRIJZEN MATERIAAL'!$I$190</definedName>
    <definedName name="Kit_kunststof_AL">'[2]BASISPRIJZEN MATERIAAL'!$I$190</definedName>
    <definedName name="Kit_kunststof_papierlood" localSheetId="18">'[1]BASISPRIJZEN MATERIAAL'!$I$191</definedName>
    <definedName name="Kit_kunststof_papierlood" localSheetId="5">'[2]BASISPRIJZEN MATERIAAL'!$I$191</definedName>
    <definedName name="Kit_kunststof_papierlood" localSheetId="7">'[2]BASISPRIJZEN MATERIAAL'!$I$191</definedName>
    <definedName name="Kit_kunststof_papierlood" localSheetId="8">'[2]BASISPRIJZEN MATERIAAL'!$I$191</definedName>
    <definedName name="Kit_kunststof_papierlood" localSheetId="11">'[3]BASISPRIJZEN MATERIAAL'!$I$191</definedName>
    <definedName name="Kit_kunststof_papierlood" localSheetId="13">'[2]BASISPRIJZEN MATERIAAL'!$I$191</definedName>
    <definedName name="Kit_kunststof_papierlood" localSheetId="15">'[2]BASISPRIJZEN MATERIAAL'!$I$191</definedName>
    <definedName name="Kit_kunststof_papierlood" localSheetId="0">'[1]BASISPRIJZEN MATERIAAL'!$I$191</definedName>
    <definedName name="Kit_kunststof_papierlood">'[2]BASISPRIJZEN MATERIAAL'!$I$191</definedName>
    <definedName name="Kit_papierlood" localSheetId="18">'[1]BASISPRIJZEN MATERIAAL'!$I$189</definedName>
    <definedName name="Kit_papierlood" localSheetId="5">'[2]BASISPRIJZEN MATERIAAL'!$I$189</definedName>
    <definedName name="Kit_papierlood" localSheetId="7">'[2]BASISPRIJZEN MATERIAAL'!$I$189</definedName>
    <definedName name="Kit_papierlood" localSheetId="8">'[2]BASISPRIJZEN MATERIAAL'!$I$189</definedName>
    <definedName name="Kit_papierlood" localSheetId="11">'[3]BASISPRIJZEN MATERIAAL'!$I$189</definedName>
    <definedName name="Kit_papierlood" localSheetId="13">'[2]BASISPRIJZEN MATERIAAL'!$I$189</definedName>
    <definedName name="Kit_papierlood" localSheetId="15">'[2]BASISPRIJZEN MATERIAAL'!$I$189</definedName>
    <definedName name="Kit_papierlood" localSheetId="0">'[1]BASISPRIJZEN MATERIAAL'!$I$189</definedName>
    <definedName name="Kit_papierlood">'[2]BASISPRIJZEN MATERIAAL'!$I$189</definedName>
    <definedName name="Klein_materiaal_10">10</definedName>
    <definedName name="Klein_materiaal_100">100</definedName>
    <definedName name="Klein_materiaal_25">25</definedName>
    <definedName name="Plaat_postnummer_telefoon" localSheetId="18">'[1]BASISPRIJZEN MATERIAAL'!$I$160</definedName>
    <definedName name="Plaat_postnummer_telefoon" localSheetId="5">'[2]BASISPRIJZEN MATERIAAL'!$I$160</definedName>
    <definedName name="Plaat_postnummer_telefoon" localSheetId="7">'[2]BASISPRIJZEN MATERIAAL'!$I$160</definedName>
    <definedName name="Plaat_postnummer_telefoon" localSheetId="8">'[2]BASISPRIJZEN MATERIAAL'!$I$160</definedName>
    <definedName name="Plaat_postnummer_telefoon" localSheetId="11">'[3]BASISPRIJZEN MATERIAAL'!$I$160</definedName>
    <definedName name="Plaat_postnummer_telefoon" localSheetId="13">'[2]BASISPRIJZEN MATERIAAL'!$I$160</definedName>
    <definedName name="Plaat_postnummer_telefoon" localSheetId="15">'[2]BASISPRIJZEN MATERIAAL'!$I$160</definedName>
    <definedName name="Plaat_postnummer_telefoon" localSheetId="0">'[1]BASISPRIJZEN MATERIAAL'!$I$160</definedName>
    <definedName name="Plaat_postnummer_telefoon">'[2]BASISPRIJZEN MATERIAAL'!$I$160</definedName>
    <definedName name="SAPBEXrevision" localSheetId="12" hidden="1">23</definedName>
    <definedName name="SAPBEXrevision" hidden="1">10</definedName>
    <definedName name="SAPBEXsysID" hidden="1">"BP1"</definedName>
    <definedName name="SAPBEXwbID" localSheetId="12" hidden="1">"3OXN00JDSWKKLN5ZRDB3JJU3L"</definedName>
    <definedName name="SAPBEXwbID" hidden="1">"4751QXOCD67AJ09JC6QHJDZY6"</definedName>
    <definedName name="Sleutelkastje" localSheetId="18">'[1]BASISPRIJZEN MATERIAAL'!$I$159</definedName>
    <definedName name="Sleutelkastje" localSheetId="5">'[2]BASISPRIJZEN MATERIAAL'!$I$159</definedName>
    <definedName name="Sleutelkastje" localSheetId="7">'[2]BASISPRIJZEN MATERIAAL'!$I$159</definedName>
    <definedName name="Sleutelkastje" localSheetId="8">'[2]BASISPRIJZEN MATERIAAL'!$I$159</definedName>
    <definedName name="Sleutelkastje" localSheetId="11">'[3]BASISPRIJZEN MATERIAAL'!$I$159</definedName>
    <definedName name="Sleutelkastje" localSheetId="13">'[2]BASISPRIJZEN MATERIAAL'!$I$159</definedName>
    <definedName name="Sleutelkastje" localSheetId="15">'[2]BASISPRIJZEN MATERIAAL'!$I$159</definedName>
    <definedName name="Sleutelkastje" localSheetId="0">'[1]BASISPRIJZEN MATERIAAL'!$I$159</definedName>
    <definedName name="Sleutelkastje">'[2]BASISPRIJZEN MATERIAAL'!$I$159</definedName>
    <definedName name="Slot_voor_sleutelkastje" localSheetId="18">'[1]BASISPRIJZEN MATERIAAL'!$I$158</definedName>
    <definedName name="Slot_voor_sleutelkastje" localSheetId="5">'[2]BASISPRIJZEN MATERIAAL'!$I$158</definedName>
    <definedName name="Slot_voor_sleutelkastje" localSheetId="7">'[2]BASISPRIJZEN MATERIAAL'!$I$158</definedName>
    <definedName name="Slot_voor_sleutelkastje" localSheetId="8">'[2]BASISPRIJZEN MATERIAAL'!$I$158</definedName>
    <definedName name="Slot_voor_sleutelkastje" localSheetId="11">'[3]BASISPRIJZEN MATERIAAL'!$I$158</definedName>
    <definedName name="Slot_voor_sleutelkastje" localSheetId="13">'[2]BASISPRIJZEN MATERIAAL'!$I$158</definedName>
    <definedName name="Slot_voor_sleutelkastje" localSheetId="15">'[2]BASISPRIJZEN MATERIAAL'!$I$158</definedName>
    <definedName name="Slot_voor_sleutelkastje" localSheetId="0">'[1]BASISPRIJZEN MATERIAAL'!$I$158</definedName>
    <definedName name="Slot_voor_sleutelkastje">'[2]BASISPRIJZEN MATERIAAL'!$I$158</definedName>
    <definedName name="Terminal_kunststof" localSheetId="18">'[1]BASISPRIJZEN MATERIAAL'!$I$195</definedName>
    <definedName name="Terminal_kunststof" localSheetId="5">'[2]BASISPRIJZEN MATERIAAL'!$I$195</definedName>
    <definedName name="Terminal_kunststof" localSheetId="7">'[2]BASISPRIJZEN MATERIAAL'!$I$195</definedName>
    <definedName name="Terminal_kunststof" localSheetId="8">'[2]BASISPRIJZEN MATERIAAL'!$I$195</definedName>
    <definedName name="Terminal_kunststof" localSheetId="11">'[3]BASISPRIJZEN MATERIAAL'!$I$195</definedName>
    <definedName name="Terminal_kunststof" localSheetId="13">'[2]BASISPRIJZEN MATERIAAL'!$I$195</definedName>
    <definedName name="Terminal_kunststof" localSheetId="15">'[2]BASISPRIJZEN MATERIAAL'!$I$195</definedName>
    <definedName name="Terminal_kunststof" localSheetId="0">'[1]BASISPRIJZEN MATERIAAL'!$I$195</definedName>
    <definedName name="Terminal_kunststof">'[2]BASISPRIJZEN MATERIAAL'!$I$195</definedName>
    <definedName name="Terminal_LS" localSheetId="18">'[1]BASISPRIJZEN MATERIAAL'!$I$200</definedName>
    <definedName name="Terminal_LS" localSheetId="5">'[2]BASISPRIJZEN MATERIAAL'!$I$200</definedName>
    <definedName name="Terminal_LS" localSheetId="7">'[2]BASISPRIJZEN MATERIAAL'!$I$200</definedName>
    <definedName name="Terminal_LS" localSheetId="8">'[2]BASISPRIJZEN MATERIAAL'!$I$200</definedName>
    <definedName name="Terminal_LS" localSheetId="11">'[3]BASISPRIJZEN MATERIAAL'!$I$200</definedName>
    <definedName name="Terminal_LS" localSheetId="13">'[2]BASISPRIJZEN MATERIAAL'!$I$200</definedName>
    <definedName name="Terminal_LS" localSheetId="15">'[2]BASISPRIJZEN MATERIAAL'!$I$200</definedName>
    <definedName name="Terminal_LS" localSheetId="0">'[1]BASISPRIJZEN MATERIAAL'!$I$200</definedName>
    <definedName name="Terminal_LS">'[2]BASISPRIJZEN MATERIAAL'!$I$200</definedName>
    <definedName name="Traduction1" localSheetId="18">'[4]Codes des IM'!$A$28:$D$1853</definedName>
    <definedName name="Traduction1" localSheetId="5">'[5]Codes des IM'!$A$28:$D$1853</definedName>
    <definedName name="Traduction1" localSheetId="7">'[5]Codes des IM'!$A$28:$D$1853</definedName>
    <definedName name="Traduction1" localSheetId="8">'[5]Codes des IM'!$A$28:$D$1853</definedName>
    <definedName name="Traduction1" localSheetId="11">'[4]Codes des IM'!$A$28:$D$1853</definedName>
    <definedName name="Traduction1" localSheetId="13">'[5]Codes des IM'!$A$28:$D$1853</definedName>
    <definedName name="Traduction1" localSheetId="15">'[5]Codes des IM'!$A$28:$D$1853</definedName>
    <definedName name="Traduction1" localSheetId="0">'[4]Codes des IM'!$A$28:$D$1853</definedName>
    <definedName name="Traduction1">'[5]Codes des IM'!$A$28:$D$1853</definedName>
    <definedName name="Verbinder_kunststof_M4" localSheetId="18">'[1]BASISPRIJZEN MATERIAAL'!$I$192</definedName>
    <definedName name="Verbinder_kunststof_M4" localSheetId="5">'[2]BASISPRIJZEN MATERIAAL'!$I$192</definedName>
    <definedName name="Verbinder_kunststof_M4" localSheetId="7">'[2]BASISPRIJZEN MATERIAAL'!$I$192</definedName>
    <definedName name="Verbinder_kunststof_M4" localSheetId="8">'[2]BASISPRIJZEN MATERIAAL'!$I$192</definedName>
    <definedName name="Verbinder_kunststof_M4" localSheetId="11">'[3]BASISPRIJZEN MATERIAAL'!$I$192</definedName>
    <definedName name="Verbinder_kunststof_M4" localSheetId="13">'[2]BASISPRIJZEN MATERIAAL'!$I$192</definedName>
    <definedName name="Verbinder_kunststof_M4" localSheetId="15">'[2]BASISPRIJZEN MATERIAAL'!$I$192</definedName>
    <definedName name="Verbinder_kunststof_M4" localSheetId="0">'[1]BASISPRIJZEN MATERIAAL'!$I$192</definedName>
    <definedName name="Verbinder_kunststof_M4">'[2]BASISPRIJZEN MATERIAAL'!$I$192</definedName>
    <definedName name="Verbinder_kunststof_papierlood_M3" localSheetId="18">'[1]BASISPRIJZEN MATERIAAL'!$I$192</definedName>
    <definedName name="Verbinder_kunststof_papierlood_M3" localSheetId="5">'[2]BASISPRIJZEN MATERIAAL'!$I$192</definedName>
    <definedName name="Verbinder_kunststof_papierlood_M3" localSheetId="7">'[2]BASISPRIJZEN MATERIAAL'!$I$192</definedName>
    <definedName name="Verbinder_kunststof_papierlood_M3" localSheetId="8">'[2]BASISPRIJZEN MATERIAAL'!$I$192</definedName>
    <definedName name="Verbinder_kunststof_papierlood_M3" localSheetId="11">'[3]BASISPRIJZEN MATERIAAL'!$I$192</definedName>
    <definedName name="Verbinder_kunststof_papierlood_M3" localSheetId="13">'[2]BASISPRIJZEN MATERIAAL'!$I$192</definedName>
    <definedName name="Verbinder_kunststof_papierlood_M3" localSheetId="15">'[2]BASISPRIJZEN MATERIAAL'!$I$192</definedName>
    <definedName name="Verbinder_kunststof_papierlood_M3" localSheetId="0">'[1]BASISPRIJZEN MATERIAAL'!$I$192</definedName>
    <definedName name="Verbinder_kunststof_papierlood_M3">'[2]BASISPRIJZEN MATERIAAL'!$I$192</definedName>
    <definedName name="Verbinder_papierlood_M3" localSheetId="18">'[1]BASISPRIJZEN MATERIAAL'!$I$192</definedName>
    <definedName name="Verbinder_papierlood_M3" localSheetId="5">'[2]BASISPRIJZEN MATERIAAL'!$I$192</definedName>
    <definedName name="Verbinder_papierlood_M3" localSheetId="7">'[2]BASISPRIJZEN MATERIAAL'!$I$192</definedName>
    <definedName name="Verbinder_papierlood_M3" localSheetId="8">'[2]BASISPRIJZEN MATERIAAL'!$I$192</definedName>
    <definedName name="Verbinder_papierlood_M3" localSheetId="11">'[3]BASISPRIJZEN MATERIAAL'!$I$192</definedName>
    <definedName name="Verbinder_papierlood_M3" localSheetId="13">'[2]BASISPRIJZEN MATERIAAL'!$I$192</definedName>
    <definedName name="Verbinder_papierlood_M3" localSheetId="15">'[2]BASISPRIJZEN MATERIAAL'!$I$192</definedName>
    <definedName name="Verbinder_papierlood_M3" localSheetId="0">'[1]BASISPRIJZEN MATERIAAL'!$I$192</definedName>
    <definedName name="Verbinder_papierlood_M3">'[2]BASISPRIJZEN MATERIAAL'!$I$192</definedName>
    <definedName name="Wikkeldoos_LS" localSheetId="18">'[1]BASISPRIJZEN MATERIAAL'!$I$199</definedName>
    <definedName name="Wikkeldoos_LS" localSheetId="5">'[2]BASISPRIJZEN MATERIAAL'!$I$199</definedName>
    <definedName name="Wikkeldoos_LS" localSheetId="7">'[2]BASISPRIJZEN MATERIAAL'!$I$199</definedName>
    <definedName name="Wikkeldoos_LS" localSheetId="8">'[2]BASISPRIJZEN MATERIAAL'!$I$199</definedName>
    <definedName name="Wikkeldoos_LS" localSheetId="11">'[3]BASISPRIJZEN MATERIAAL'!$I$199</definedName>
    <definedName name="Wikkeldoos_LS" localSheetId="13">'[2]BASISPRIJZEN MATERIAAL'!$I$199</definedName>
    <definedName name="Wikkeldoos_LS" localSheetId="15">'[2]BASISPRIJZEN MATERIAAL'!$I$199</definedName>
    <definedName name="Wikkeldoos_LS" localSheetId="0">'[1]BASISPRIJZEN MATERIAAL'!$I$199</definedName>
    <definedName name="Wikkeldoos_LS">'[2]BASISPRIJZEN MATERIAAL'!$I$199</definedName>
    <definedName name="Z_C8C7977F_B6BF_432B_A1A7_559450D521AF_.wvu.PrintArea" localSheetId="5" hidden="1">T4A!$A$1:$M$57</definedName>
    <definedName name="Z_C8C7977F_B6BF_432B_A1A7_559450D521AF_.wvu.PrintArea" localSheetId="7" hidden="1">T4C!$A$1:$M$57</definedName>
    <definedName name="Z_C8C7977F_B6BF_432B_A1A7_559450D521AF_.wvu.PrintArea" localSheetId="8" hidden="1">T5A!$A$1:$M$88</definedName>
    <definedName name="Z_C8C7977F_B6BF_432B_A1A7_559450D521AF_.wvu.PrintArea" localSheetId="13" hidden="1">T6A!$A$1:$K$106</definedName>
    <definedName name="Z_C8C7977F_B6BF_432B_A1A7_559450D521AF_.wvu.PrintArea" localSheetId="15" hidden="1">'T7'!$A$1:$K$49</definedName>
    <definedName name="Z_C8C7977F_B6BF_432B_A1A7_559450D521AF_.wvu.PrintArea" localSheetId="0" hidden="1">TITELBLAD!$A$1:$Q$116</definedName>
    <definedName name="Z_C8C7977F_B6BF_432B_A1A7_559450D521AF_.wvu.PrintTitles" localSheetId="5" hidden="1">T4A!$2:$2</definedName>
    <definedName name="Z_C8C7977F_B6BF_432B_A1A7_559450D521AF_.wvu.PrintTitles" localSheetId="7" hidden="1">T4C!$2:$2</definedName>
    <definedName name="Z_C8C7977F_B6BF_432B_A1A7_559450D521AF_.wvu.PrintTitles" localSheetId="8" hidden="1">T5A!$2:$2</definedName>
    <definedName name="Z_C8C7977F_B6BF_432B_A1A7_559450D521AF_.wvu.PrintTitles" localSheetId="13" hidden="1">T6A!$2:$2</definedName>
    <definedName name="Z_C8C7977F_B6BF_432B_A1A7_559450D521AF_.wvu.PrintTitles" localSheetId="15" hidden="1">'T7'!$2:$2</definedName>
  </definedNames>
  <calcPr calcId="171027"/>
  <customWorkbookViews>
    <customWorkbookView name="Marc Michiels - Persoonlijke weergave" guid="{C8C7977F-B6BF-432B-A1A7-559450D521AF}" mergeInterval="0" personalView="1" maximized="1" windowWidth="1280" windowHeight="798" tabRatio="791" activeSheetId="8" showComments="commIndAndComment"/>
  </customWorkbookViews>
</workbook>
</file>

<file path=xl/calcChain.xml><?xml version="1.0" encoding="utf-8"?>
<calcChain xmlns="http://schemas.openxmlformats.org/spreadsheetml/2006/main">
  <c r="G40" i="11" l="1"/>
  <c r="F40" i="11"/>
  <c r="D40" i="11"/>
  <c r="C40" i="11"/>
  <c r="H37" i="11"/>
  <c r="E37" i="11"/>
  <c r="E40" i="11" s="1"/>
  <c r="H29" i="11"/>
  <c r="E29" i="11"/>
  <c r="H25" i="11"/>
  <c r="E25" i="11"/>
  <c r="H21" i="11"/>
  <c r="E21" i="11"/>
  <c r="H17" i="11"/>
  <c r="E17" i="11"/>
  <c r="F12" i="11"/>
  <c r="C11" i="11"/>
  <c r="C10" i="11"/>
  <c r="N2" i="11"/>
  <c r="M2" i="11"/>
  <c r="K2" i="11"/>
  <c r="D24" i="10"/>
  <c r="D25" i="10" s="1"/>
  <c r="D22" i="10"/>
  <c r="D16" i="10"/>
  <c r="D13" i="10"/>
  <c r="D12" i="10"/>
  <c r="D11" i="10"/>
  <c r="J10" i="10"/>
  <c r="I10" i="10"/>
  <c r="F10" i="10"/>
  <c r="M254" i="9"/>
  <c r="L254" i="9"/>
  <c r="K254" i="9"/>
  <c r="J254" i="9"/>
  <c r="I254" i="9"/>
  <c r="O252" i="9"/>
  <c r="O254" i="9" s="1"/>
  <c r="O250" i="9"/>
  <c r="I250" i="9"/>
  <c r="G241" i="9"/>
  <c r="J214" i="9"/>
  <c r="K214" i="9" s="1"/>
  <c r="L214" i="9" s="1"/>
  <c r="M214" i="9" s="1"/>
  <c r="J211" i="9"/>
  <c r="J212" i="9" s="1"/>
  <c r="L209" i="9"/>
  <c r="L210" i="9" s="1"/>
  <c r="L211" i="9" s="1"/>
  <c r="L212" i="9" s="1"/>
  <c r="K208" i="9"/>
  <c r="K209" i="9" s="1"/>
  <c r="K210" i="9" s="1"/>
  <c r="K211" i="9" s="1"/>
  <c r="K212" i="9" s="1"/>
  <c r="K207" i="9"/>
  <c r="J207" i="9"/>
  <c r="J208" i="9" s="1"/>
  <c r="J209" i="9" s="1"/>
  <c r="J210" i="9" s="1"/>
  <c r="M206" i="9"/>
  <c r="M207" i="9" s="1"/>
  <c r="M208" i="9" s="1"/>
  <c r="M209" i="9" s="1"/>
  <c r="M210" i="9" s="1"/>
  <c r="M211" i="9" s="1"/>
  <c r="M212" i="9" s="1"/>
  <c r="L206" i="9"/>
  <c r="L207" i="9" s="1"/>
  <c r="L208" i="9" s="1"/>
  <c r="K206" i="9"/>
  <c r="J206" i="9"/>
  <c r="I206" i="9"/>
  <c r="M201" i="9"/>
  <c r="M202" i="9" s="1"/>
  <c r="M203" i="9" s="1"/>
  <c r="M204" i="9" s="1"/>
  <c r="L200" i="9"/>
  <c r="L201" i="9" s="1"/>
  <c r="L202" i="9" s="1"/>
  <c r="L203" i="9" s="1"/>
  <c r="L204" i="9" s="1"/>
  <c r="L199" i="9"/>
  <c r="K199" i="9"/>
  <c r="K200" i="9" s="1"/>
  <c r="K201" i="9" s="1"/>
  <c r="K202" i="9" s="1"/>
  <c r="K203" i="9" s="1"/>
  <c r="K204" i="9" s="1"/>
  <c r="M198" i="9"/>
  <c r="M199" i="9" s="1"/>
  <c r="M200" i="9" s="1"/>
  <c r="L198" i="9"/>
  <c r="K198" i="9"/>
  <c r="J198" i="9"/>
  <c r="J199" i="9" s="1"/>
  <c r="J200" i="9" s="1"/>
  <c r="J201" i="9" s="1"/>
  <c r="J202" i="9" s="1"/>
  <c r="J203" i="9" s="1"/>
  <c r="J204" i="9" s="1"/>
  <c r="I198" i="9"/>
  <c r="I199" i="9" s="1"/>
  <c r="M196" i="9"/>
  <c r="K194" i="9"/>
  <c r="K195" i="9" s="1"/>
  <c r="K196" i="9" s="1"/>
  <c r="M192" i="9"/>
  <c r="M193" i="9" s="1"/>
  <c r="M194" i="9" s="1"/>
  <c r="M195" i="9" s="1"/>
  <c r="I192" i="9"/>
  <c r="M191" i="9"/>
  <c r="L191" i="9"/>
  <c r="L192" i="9" s="1"/>
  <c r="L193" i="9" s="1"/>
  <c r="L194" i="9" s="1"/>
  <c r="L195" i="9" s="1"/>
  <c r="L196" i="9" s="1"/>
  <c r="I191" i="9"/>
  <c r="M190" i="9"/>
  <c r="L190" i="9"/>
  <c r="K190" i="9"/>
  <c r="K191" i="9" s="1"/>
  <c r="K192" i="9" s="1"/>
  <c r="K193" i="9" s="1"/>
  <c r="J190" i="9"/>
  <c r="J191" i="9" s="1"/>
  <c r="J192" i="9" s="1"/>
  <c r="J193" i="9" s="1"/>
  <c r="J194" i="9" s="1"/>
  <c r="J195" i="9" s="1"/>
  <c r="J196" i="9" s="1"/>
  <c r="I190" i="9"/>
  <c r="O190" i="9" s="1"/>
  <c r="M187" i="9"/>
  <c r="M188" i="9" s="1"/>
  <c r="L186" i="9"/>
  <c r="L187" i="9" s="1"/>
  <c r="L188" i="9" s="1"/>
  <c r="J184" i="9"/>
  <c r="J185" i="9" s="1"/>
  <c r="J186" i="9" s="1"/>
  <c r="J187" i="9" s="1"/>
  <c r="J188" i="9" s="1"/>
  <c r="M183" i="9"/>
  <c r="M184" i="9" s="1"/>
  <c r="M185" i="9" s="1"/>
  <c r="M186" i="9" s="1"/>
  <c r="J183" i="9"/>
  <c r="I183" i="9"/>
  <c r="M182" i="9"/>
  <c r="L182" i="9"/>
  <c r="L183" i="9" s="1"/>
  <c r="L184" i="9" s="1"/>
  <c r="L185" i="9" s="1"/>
  <c r="K182" i="9"/>
  <c r="K183" i="9" s="1"/>
  <c r="K184" i="9" s="1"/>
  <c r="K185" i="9" s="1"/>
  <c r="K186" i="9" s="1"/>
  <c r="K187" i="9" s="1"/>
  <c r="K188" i="9" s="1"/>
  <c r="J182" i="9"/>
  <c r="I182" i="9"/>
  <c r="O182" i="9" s="1"/>
  <c r="K180" i="9"/>
  <c r="L177" i="9"/>
  <c r="L178" i="9" s="1"/>
  <c r="L179" i="9" s="1"/>
  <c r="L180" i="9" s="1"/>
  <c r="K176" i="9"/>
  <c r="K177" i="9" s="1"/>
  <c r="K178" i="9" s="1"/>
  <c r="K179" i="9" s="1"/>
  <c r="K175" i="9"/>
  <c r="J175" i="9"/>
  <c r="J176" i="9" s="1"/>
  <c r="J177" i="9" s="1"/>
  <c r="J178" i="9" s="1"/>
  <c r="J179" i="9" s="1"/>
  <c r="J180" i="9" s="1"/>
  <c r="M174" i="9"/>
  <c r="M175" i="9" s="1"/>
  <c r="M176" i="9" s="1"/>
  <c r="M177" i="9" s="1"/>
  <c r="M178" i="9" s="1"/>
  <c r="M179" i="9" s="1"/>
  <c r="M180" i="9" s="1"/>
  <c r="L174" i="9"/>
  <c r="L175" i="9" s="1"/>
  <c r="L176" i="9" s="1"/>
  <c r="K174" i="9"/>
  <c r="J174" i="9"/>
  <c r="I174" i="9"/>
  <c r="L172" i="9"/>
  <c r="L167" i="9"/>
  <c r="L168" i="9" s="1"/>
  <c r="L169" i="9" s="1"/>
  <c r="L170" i="9" s="1"/>
  <c r="L171" i="9" s="1"/>
  <c r="M166" i="9"/>
  <c r="M167" i="9" s="1"/>
  <c r="M168" i="9" s="1"/>
  <c r="M169" i="9" s="1"/>
  <c r="M170" i="9" s="1"/>
  <c r="M171" i="9" s="1"/>
  <c r="M172" i="9" s="1"/>
  <c r="L166" i="9"/>
  <c r="K166" i="9"/>
  <c r="K167" i="9" s="1"/>
  <c r="K168" i="9" s="1"/>
  <c r="K169" i="9" s="1"/>
  <c r="K170" i="9" s="1"/>
  <c r="K171" i="9" s="1"/>
  <c r="K172" i="9" s="1"/>
  <c r="J166" i="9"/>
  <c r="J167" i="9" s="1"/>
  <c r="J168" i="9" s="1"/>
  <c r="J169" i="9" s="1"/>
  <c r="J170" i="9" s="1"/>
  <c r="J171" i="9" s="1"/>
  <c r="J172" i="9" s="1"/>
  <c r="I166" i="9"/>
  <c r="I167" i="9" s="1"/>
  <c r="I168" i="9" s="1"/>
  <c r="K162" i="9"/>
  <c r="K163" i="9" s="1"/>
  <c r="K164" i="9" s="1"/>
  <c r="M160" i="9"/>
  <c r="M161" i="9" s="1"/>
  <c r="M162" i="9" s="1"/>
  <c r="M163" i="9" s="1"/>
  <c r="M164" i="9" s="1"/>
  <c r="I160" i="9"/>
  <c r="M159" i="9"/>
  <c r="L159" i="9"/>
  <c r="L160" i="9" s="1"/>
  <c r="L161" i="9" s="1"/>
  <c r="L162" i="9" s="1"/>
  <c r="L163" i="9" s="1"/>
  <c r="L164" i="9" s="1"/>
  <c r="I159" i="9"/>
  <c r="M158" i="9"/>
  <c r="L158" i="9"/>
  <c r="K158" i="9"/>
  <c r="K159" i="9" s="1"/>
  <c r="K160" i="9" s="1"/>
  <c r="K161" i="9" s="1"/>
  <c r="J158" i="9"/>
  <c r="O158" i="9" s="1"/>
  <c r="I158" i="9"/>
  <c r="M155" i="9"/>
  <c r="M156" i="9" s="1"/>
  <c r="L154" i="9"/>
  <c r="L155" i="9" s="1"/>
  <c r="L156" i="9" s="1"/>
  <c r="K153" i="9"/>
  <c r="K154" i="9" s="1"/>
  <c r="K155" i="9" s="1"/>
  <c r="K156" i="9" s="1"/>
  <c r="J152" i="9"/>
  <c r="J153" i="9" s="1"/>
  <c r="J154" i="9" s="1"/>
  <c r="J155" i="9" s="1"/>
  <c r="J156" i="9" s="1"/>
  <c r="M151" i="9"/>
  <c r="M152" i="9" s="1"/>
  <c r="M153" i="9" s="1"/>
  <c r="M154" i="9" s="1"/>
  <c r="I151" i="9"/>
  <c r="M150" i="9"/>
  <c r="L150" i="9"/>
  <c r="L151" i="9" s="1"/>
  <c r="L152" i="9" s="1"/>
  <c r="L153" i="9" s="1"/>
  <c r="K150" i="9"/>
  <c r="K151" i="9" s="1"/>
  <c r="K152" i="9" s="1"/>
  <c r="J150" i="9"/>
  <c r="J151" i="9" s="1"/>
  <c r="I150" i="9"/>
  <c r="M146" i="9"/>
  <c r="M147" i="9" s="1"/>
  <c r="M148" i="9" s="1"/>
  <c r="K144" i="9"/>
  <c r="K145" i="9" s="1"/>
  <c r="K146" i="9" s="1"/>
  <c r="K147" i="9" s="1"/>
  <c r="K148" i="9" s="1"/>
  <c r="J143" i="9"/>
  <c r="J144" i="9" s="1"/>
  <c r="J145" i="9" s="1"/>
  <c r="J146" i="9" s="1"/>
  <c r="J147" i="9" s="1"/>
  <c r="J148" i="9" s="1"/>
  <c r="M142" i="9"/>
  <c r="M143" i="9" s="1"/>
  <c r="M144" i="9" s="1"/>
  <c r="M145" i="9" s="1"/>
  <c r="L142" i="9"/>
  <c r="L143" i="9" s="1"/>
  <c r="L144" i="9" s="1"/>
  <c r="L145" i="9" s="1"/>
  <c r="L146" i="9" s="1"/>
  <c r="L147" i="9" s="1"/>
  <c r="L148" i="9" s="1"/>
  <c r="K142" i="9"/>
  <c r="K143" i="9" s="1"/>
  <c r="J142" i="9"/>
  <c r="I142" i="9"/>
  <c r="K135" i="9"/>
  <c r="M134" i="9"/>
  <c r="M135" i="9" s="1"/>
  <c r="L134" i="9"/>
  <c r="L216" i="9" s="1"/>
  <c r="K134" i="9"/>
  <c r="J134" i="9"/>
  <c r="I134" i="9"/>
  <c r="I135" i="9" s="1"/>
  <c r="L131" i="9"/>
  <c r="K131" i="9"/>
  <c r="K250" i="9" s="1"/>
  <c r="J131" i="9"/>
  <c r="J250" i="9" s="1"/>
  <c r="M126" i="9"/>
  <c r="L126" i="9"/>
  <c r="K126" i="9"/>
  <c r="J126" i="9"/>
  <c r="I126" i="9"/>
  <c r="M125" i="9"/>
  <c r="L125" i="9"/>
  <c r="K125" i="9"/>
  <c r="J125" i="9"/>
  <c r="I125" i="9"/>
  <c r="M124" i="9"/>
  <c r="L124" i="9"/>
  <c r="K124" i="9"/>
  <c r="J124" i="9"/>
  <c r="I124" i="9"/>
  <c r="M123" i="9"/>
  <c r="L123" i="9"/>
  <c r="K123" i="9"/>
  <c r="J123" i="9"/>
  <c r="I123" i="9"/>
  <c r="M122" i="9"/>
  <c r="L122" i="9"/>
  <c r="K122" i="9"/>
  <c r="J122" i="9"/>
  <c r="I122" i="9"/>
  <c r="M121" i="9"/>
  <c r="L121" i="9"/>
  <c r="K121" i="9"/>
  <c r="J121" i="9"/>
  <c r="I121" i="9"/>
  <c r="M120" i="9"/>
  <c r="L120" i="9"/>
  <c r="K120" i="9"/>
  <c r="J120" i="9"/>
  <c r="I120" i="9"/>
  <c r="K118" i="9"/>
  <c r="L118" i="9" s="1"/>
  <c r="M118" i="9" s="1"/>
  <c r="J118" i="9"/>
  <c r="O116" i="9"/>
  <c r="O115" i="9"/>
  <c r="O114" i="9"/>
  <c r="O113" i="9"/>
  <c r="O112" i="9"/>
  <c r="O111" i="9"/>
  <c r="O110" i="9"/>
  <c r="O108" i="9"/>
  <c r="O107" i="9"/>
  <c r="O106" i="9"/>
  <c r="O105" i="9"/>
  <c r="O104" i="9"/>
  <c r="O103" i="9"/>
  <c r="O102" i="9"/>
  <c r="O100" i="9"/>
  <c r="O99" i="9"/>
  <c r="O98" i="9"/>
  <c r="O97" i="9"/>
  <c r="O96" i="9"/>
  <c r="O95" i="9"/>
  <c r="O94" i="9"/>
  <c r="O92" i="9"/>
  <c r="O91" i="9"/>
  <c r="O90" i="9"/>
  <c r="O89" i="9"/>
  <c r="O88" i="9"/>
  <c r="O87" i="9"/>
  <c r="O86" i="9"/>
  <c r="O84" i="9"/>
  <c r="O83" i="9"/>
  <c r="O82" i="9"/>
  <c r="O81" i="9"/>
  <c r="O80" i="9"/>
  <c r="O79" i="9"/>
  <c r="O78" i="9"/>
  <c r="O76" i="9"/>
  <c r="O75" i="9"/>
  <c r="O74" i="9"/>
  <c r="O73" i="9"/>
  <c r="O72" i="9"/>
  <c r="O71" i="9"/>
  <c r="O70" i="9"/>
  <c r="O68" i="9"/>
  <c r="O67" i="9"/>
  <c r="O66" i="9"/>
  <c r="B66" i="9"/>
  <c r="O65" i="9"/>
  <c r="O64" i="9"/>
  <c r="O63" i="9"/>
  <c r="O62" i="9"/>
  <c r="O60" i="9"/>
  <c r="O59" i="9"/>
  <c r="O58" i="9"/>
  <c r="O57" i="9"/>
  <c r="B57" i="9"/>
  <c r="O56" i="9"/>
  <c r="O55" i="9"/>
  <c r="O54" i="9"/>
  <c r="O52" i="9"/>
  <c r="O51" i="9"/>
  <c r="O50" i="9"/>
  <c r="O49" i="9"/>
  <c r="O48" i="9"/>
  <c r="B48" i="9"/>
  <c r="O47" i="9"/>
  <c r="O46" i="9"/>
  <c r="O44" i="9"/>
  <c r="O43" i="9"/>
  <c r="O42" i="9"/>
  <c r="O41" i="9"/>
  <c r="O40" i="9"/>
  <c r="O39" i="9"/>
  <c r="B39" i="9"/>
  <c r="O38" i="9"/>
  <c r="L35" i="9"/>
  <c r="M35" i="9" s="1"/>
  <c r="B73" i="9" s="1"/>
  <c r="J35" i="9"/>
  <c r="K35" i="9" s="1"/>
  <c r="K17" i="9" s="1"/>
  <c r="M30" i="9"/>
  <c r="L30" i="9"/>
  <c r="K30" i="9"/>
  <c r="J30" i="9"/>
  <c r="I30" i="9"/>
  <c r="O30" i="9" s="1"/>
  <c r="O28" i="9"/>
  <c r="O27" i="9"/>
  <c r="O26" i="9"/>
  <c r="O25" i="9"/>
  <c r="O24" i="9"/>
  <c r="O23" i="9"/>
  <c r="O22" i="9"/>
  <c r="O21" i="9"/>
  <c r="O20" i="9"/>
  <c r="O19" i="9"/>
  <c r="J17" i="9"/>
  <c r="I17" i="9"/>
  <c r="B7" i="9"/>
  <c r="B4" i="9"/>
  <c r="E2" i="9"/>
  <c r="D2" i="9"/>
  <c r="O1" i="9"/>
  <c r="M1" i="9"/>
  <c r="L1" i="9"/>
  <c r="G228" i="9" s="1"/>
  <c r="G148" i="25"/>
  <c r="G140" i="25"/>
  <c r="G134" i="25"/>
  <c r="A67" i="25"/>
  <c r="A66" i="25"/>
  <c r="M58" i="25"/>
  <c r="K58" i="25"/>
  <c r="J58" i="25"/>
  <c r="I58" i="25"/>
  <c r="H58" i="25"/>
  <c r="G58" i="25"/>
  <c r="F58" i="25"/>
  <c r="J53" i="25"/>
  <c r="I53" i="25"/>
  <c r="H53" i="25"/>
  <c r="G53" i="25"/>
  <c r="F53" i="25"/>
  <c r="F46" i="25"/>
  <c r="E45" i="25"/>
  <c r="D45" i="25"/>
  <c r="D44" i="25"/>
  <c r="C43" i="25"/>
  <c r="F34" i="25"/>
  <c r="F24" i="25" s="1"/>
  <c r="E34" i="25"/>
  <c r="H31" i="25"/>
  <c r="J30" i="25"/>
  <c r="H30" i="25"/>
  <c r="B30" i="25"/>
  <c r="B43" i="25" s="1"/>
  <c r="C29" i="25"/>
  <c r="C42" i="25" s="1"/>
  <c r="F23" i="25"/>
  <c r="E22" i="25"/>
  <c r="H22" i="25" s="1"/>
  <c r="H21" i="25"/>
  <c r="D21" i="25"/>
  <c r="F60" i="25" s="1"/>
  <c r="C20" i="25"/>
  <c r="H19" i="25"/>
  <c r="B19" i="25"/>
  <c r="C18" i="25"/>
  <c r="D7" i="25"/>
  <c r="B20" i="25" s="1"/>
  <c r="B31" i="25" s="1"/>
  <c r="B44" i="25" s="1"/>
  <c r="B387" i="23"/>
  <c r="B386" i="23"/>
  <c r="B385" i="23"/>
  <c r="N376" i="23"/>
  <c r="L376" i="23"/>
  <c r="K376" i="23"/>
  <c r="J376" i="23"/>
  <c r="I376" i="23"/>
  <c r="H376" i="23"/>
  <c r="G376" i="23"/>
  <c r="N369" i="23"/>
  <c r="L369" i="23"/>
  <c r="K369" i="23"/>
  <c r="J369" i="23"/>
  <c r="I369" i="23"/>
  <c r="H369" i="23"/>
  <c r="G369" i="23"/>
  <c r="K364" i="23"/>
  <c r="J364" i="23"/>
  <c r="I364" i="23"/>
  <c r="H364" i="23"/>
  <c r="G364" i="23"/>
  <c r="B357" i="23"/>
  <c r="B356" i="23"/>
  <c r="B355" i="23"/>
  <c r="N346" i="23"/>
  <c r="L346" i="23"/>
  <c r="K346" i="23"/>
  <c r="J346" i="23"/>
  <c r="I346" i="23"/>
  <c r="H346" i="23"/>
  <c r="G346" i="23"/>
  <c r="N339" i="23"/>
  <c r="L339" i="23"/>
  <c r="K339" i="23"/>
  <c r="J339" i="23"/>
  <c r="I339" i="23"/>
  <c r="H339" i="23"/>
  <c r="G339" i="23"/>
  <c r="K334" i="23"/>
  <c r="J334" i="23"/>
  <c r="I334" i="23"/>
  <c r="H334" i="23"/>
  <c r="G334" i="23"/>
  <c r="B327" i="23"/>
  <c r="B326" i="23"/>
  <c r="B325" i="23"/>
  <c r="N316" i="23"/>
  <c r="L316" i="23"/>
  <c r="K316" i="23"/>
  <c r="J316" i="23"/>
  <c r="I316" i="23"/>
  <c r="H316" i="23"/>
  <c r="G316" i="23"/>
  <c r="N309" i="23"/>
  <c r="L309" i="23"/>
  <c r="K309" i="23"/>
  <c r="J309" i="23"/>
  <c r="I309" i="23"/>
  <c r="H309" i="23"/>
  <c r="G309" i="23"/>
  <c r="K304" i="23"/>
  <c r="J304" i="23"/>
  <c r="I304" i="23"/>
  <c r="H304" i="23"/>
  <c r="G304" i="23"/>
  <c r="B297" i="23"/>
  <c r="B296" i="23"/>
  <c r="B295" i="23"/>
  <c r="N286" i="23"/>
  <c r="L286" i="23"/>
  <c r="K286" i="23"/>
  <c r="J286" i="23"/>
  <c r="I286" i="23"/>
  <c r="H286" i="23"/>
  <c r="G286" i="23"/>
  <c r="N279" i="23"/>
  <c r="L279" i="23"/>
  <c r="K279" i="23"/>
  <c r="J279" i="23"/>
  <c r="I279" i="23"/>
  <c r="H279" i="23"/>
  <c r="G279" i="23"/>
  <c r="K274" i="23"/>
  <c r="J274" i="23"/>
  <c r="I274" i="23"/>
  <c r="H274" i="23"/>
  <c r="G274" i="23"/>
  <c r="B267" i="23"/>
  <c r="B266" i="23"/>
  <c r="B265" i="23"/>
  <c r="N256" i="23"/>
  <c r="L256" i="23"/>
  <c r="K256" i="23"/>
  <c r="J256" i="23"/>
  <c r="I256" i="23"/>
  <c r="H256" i="23"/>
  <c r="G256" i="23"/>
  <c r="N249" i="23"/>
  <c r="L249" i="23"/>
  <c r="K249" i="23"/>
  <c r="J249" i="23"/>
  <c r="I249" i="23"/>
  <c r="H249" i="23"/>
  <c r="G249" i="23"/>
  <c r="K244" i="23"/>
  <c r="J244" i="23"/>
  <c r="I244" i="23"/>
  <c r="H244" i="23"/>
  <c r="G244" i="23"/>
  <c r="B237" i="23"/>
  <c r="B236" i="23"/>
  <c r="B235" i="23"/>
  <c r="N226" i="23"/>
  <c r="L226" i="23"/>
  <c r="K226" i="23"/>
  <c r="J226" i="23"/>
  <c r="I226" i="23"/>
  <c r="H226" i="23"/>
  <c r="G226" i="23"/>
  <c r="N219" i="23"/>
  <c r="L219" i="23"/>
  <c r="K219" i="23"/>
  <c r="J219" i="23"/>
  <c r="I219" i="23"/>
  <c r="H219" i="23"/>
  <c r="G219" i="23"/>
  <c r="K214" i="23"/>
  <c r="J214" i="23"/>
  <c r="I214" i="23"/>
  <c r="H214" i="23"/>
  <c r="G214" i="23"/>
  <c r="B207" i="23"/>
  <c r="B206" i="23"/>
  <c r="B205" i="23"/>
  <c r="N196" i="23"/>
  <c r="L196" i="23"/>
  <c r="K196" i="23"/>
  <c r="J196" i="23"/>
  <c r="I196" i="23"/>
  <c r="H196" i="23"/>
  <c r="G196" i="23"/>
  <c r="N189" i="23"/>
  <c r="L189" i="23"/>
  <c r="K189" i="23"/>
  <c r="J189" i="23"/>
  <c r="I189" i="23"/>
  <c r="H189" i="23"/>
  <c r="G189" i="23"/>
  <c r="K184" i="23"/>
  <c r="J184" i="23"/>
  <c r="I184" i="23"/>
  <c r="H184" i="23"/>
  <c r="G184" i="23"/>
  <c r="B177" i="23"/>
  <c r="B176" i="23"/>
  <c r="B175" i="23"/>
  <c r="N166" i="23"/>
  <c r="L166" i="23"/>
  <c r="K166" i="23"/>
  <c r="J166" i="23"/>
  <c r="I166" i="23"/>
  <c r="H166" i="23"/>
  <c r="G166" i="23"/>
  <c r="N159" i="23"/>
  <c r="L159" i="23"/>
  <c r="K159" i="23"/>
  <c r="J159" i="23"/>
  <c r="I159" i="23"/>
  <c r="H159" i="23"/>
  <c r="G159" i="23"/>
  <c r="K154" i="23"/>
  <c r="J154" i="23"/>
  <c r="I154" i="23"/>
  <c r="H154" i="23"/>
  <c r="G154" i="23"/>
  <c r="J131" i="23"/>
  <c r="B127" i="23"/>
  <c r="H125" i="23"/>
  <c r="I125" i="23" s="1"/>
  <c r="J125" i="23" s="1"/>
  <c r="B120" i="23"/>
  <c r="B115" i="23"/>
  <c r="B110" i="23"/>
  <c r="B105" i="23"/>
  <c r="B100" i="23"/>
  <c r="B95" i="23"/>
  <c r="B90" i="23"/>
  <c r="B85" i="23"/>
  <c r="I82" i="23"/>
  <c r="J82" i="23" s="1"/>
  <c r="H82" i="23"/>
  <c r="L74" i="23"/>
  <c r="B74" i="23"/>
  <c r="H72" i="23"/>
  <c r="I72" i="23" s="1"/>
  <c r="J72" i="23" s="1"/>
  <c r="L67" i="23"/>
  <c r="B67" i="23"/>
  <c r="L62" i="23"/>
  <c r="B62" i="23"/>
  <c r="B58" i="23"/>
  <c r="L57" i="23"/>
  <c r="B57" i="23"/>
  <c r="L52" i="23"/>
  <c r="B52" i="23"/>
  <c r="L47" i="23"/>
  <c r="B47" i="23"/>
  <c r="L42" i="23"/>
  <c r="B42" i="23"/>
  <c r="B38" i="23"/>
  <c r="L37" i="23"/>
  <c r="B37" i="23"/>
  <c r="B33" i="23"/>
  <c r="L32" i="23"/>
  <c r="B32" i="23"/>
  <c r="I29" i="23"/>
  <c r="J29" i="23" s="1"/>
  <c r="H29" i="23"/>
  <c r="G22" i="23"/>
  <c r="H13" i="23"/>
  <c r="B7" i="23"/>
  <c r="B4" i="23"/>
  <c r="L2" i="23"/>
  <c r="K2" i="23"/>
  <c r="E2" i="23"/>
  <c r="D2" i="23"/>
  <c r="B2" i="23"/>
  <c r="F103" i="22"/>
  <c r="E102" i="22"/>
  <c r="D102" i="22"/>
  <c r="D103" i="22" s="1"/>
  <c r="D101" i="22"/>
  <c r="C100" i="22"/>
  <c r="E99" i="22"/>
  <c r="F90" i="22"/>
  <c r="F80" i="22" s="1"/>
  <c r="E90" i="22"/>
  <c r="D90" i="22"/>
  <c r="C90" i="22"/>
  <c r="H89" i="22"/>
  <c r="J88" i="22"/>
  <c r="H88" i="22"/>
  <c r="H87" i="22"/>
  <c r="H90" i="22" s="1"/>
  <c r="H86" i="22"/>
  <c r="B86" i="22"/>
  <c r="B100" i="22" s="1"/>
  <c r="D80" i="22"/>
  <c r="F79" i="22"/>
  <c r="E79" i="22"/>
  <c r="E80" i="22" s="1"/>
  <c r="D79" i="22"/>
  <c r="E78" i="22"/>
  <c r="B78" i="22"/>
  <c r="B89" i="22" s="1"/>
  <c r="B103" i="22" s="1"/>
  <c r="H77" i="22"/>
  <c r="D77" i="22"/>
  <c r="B77" i="22"/>
  <c r="B88" i="22" s="1"/>
  <c r="B102" i="22" s="1"/>
  <c r="H76" i="22"/>
  <c r="C76" i="22"/>
  <c r="C79" i="22" s="1"/>
  <c r="C80" i="22" s="1"/>
  <c r="H75" i="22"/>
  <c r="F63" i="22"/>
  <c r="F74" i="22" s="1"/>
  <c r="F85" i="22" s="1"/>
  <c r="F99" i="22" s="1"/>
  <c r="E63" i="22"/>
  <c r="E74" i="22" s="1"/>
  <c r="E85" i="22" s="1"/>
  <c r="D63" i="22"/>
  <c r="C63" i="22"/>
  <c r="B75" i="22" s="1"/>
  <c r="D55" i="22"/>
  <c r="H22" i="23" s="1"/>
  <c r="H121" i="23" s="1"/>
  <c r="C55" i="22"/>
  <c r="D54" i="22"/>
  <c r="H21" i="23" s="1"/>
  <c r="H116" i="23" s="1"/>
  <c r="C54" i="22"/>
  <c r="G21" i="23" s="1"/>
  <c r="D53" i="22"/>
  <c r="H20" i="23" s="1"/>
  <c r="H111" i="23" s="1"/>
  <c r="C53" i="22"/>
  <c r="G20" i="23" s="1"/>
  <c r="D52" i="22"/>
  <c r="H19" i="23" s="1"/>
  <c r="H106" i="23" s="1"/>
  <c r="C52" i="22"/>
  <c r="G19" i="23" s="1"/>
  <c r="D51" i="22"/>
  <c r="H18" i="23" s="1"/>
  <c r="H101" i="23" s="1"/>
  <c r="C51" i="22"/>
  <c r="G18" i="23" s="1"/>
  <c r="G100" i="23" s="1"/>
  <c r="D50" i="22"/>
  <c r="H17" i="23" s="1"/>
  <c r="H96" i="23" s="1"/>
  <c r="C50" i="22"/>
  <c r="G17" i="23" s="1"/>
  <c r="D49" i="22"/>
  <c r="H16" i="23" s="1"/>
  <c r="H91" i="23" s="1"/>
  <c r="C49" i="22"/>
  <c r="G16" i="23" s="1"/>
  <c r="D48" i="22"/>
  <c r="C48" i="22"/>
  <c r="G15" i="23" s="1"/>
  <c r="C47" i="22"/>
  <c r="F46" i="22"/>
  <c r="E46" i="22"/>
  <c r="D46" i="22"/>
  <c r="C46" i="22"/>
  <c r="F43" i="22"/>
  <c r="F55" i="22" s="1"/>
  <c r="J22" i="23" s="1"/>
  <c r="J123" i="23" s="1"/>
  <c r="E43" i="22"/>
  <c r="E55" i="22" s="1"/>
  <c r="I22" i="23" s="1"/>
  <c r="I122" i="23" s="1"/>
  <c r="F31" i="22"/>
  <c r="E31" i="22"/>
  <c r="D31" i="22"/>
  <c r="F21" i="22"/>
  <c r="E21" i="22"/>
  <c r="D21" i="22"/>
  <c r="F8" i="22"/>
  <c r="E8" i="22"/>
  <c r="D8" i="22"/>
  <c r="C8" i="22"/>
  <c r="C5" i="22"/>
  <c r="C4" i="22"/>
  <c r="M3" i="22"/>
  <c r="L3" i="22"/>
  <c r="K3" i="22"/>
  <c r="G44" i="16"/>
  <c r="E44" i="16"/>
  <c r="I41" i="16"/>
  <c r="I44" i="16" s="1"/>
  <c r="G41" i="16"/>
  <c r="I38" i="16"/>
  <c r="G38" i="16"/>
  <c r="I35" i="16"/>
  <c r="G35" i="16"/>
  <c r="I32" i="16"/>
  <c r="G32" i="16"/>
  <c r="I29" i="16"/>
  <c r="G29" i="16"/>
  <c r="I26" i="16"/>
  <c r="G26" i="16"/>
  <c r="I23" i="16"/>
  <c r="G23" i="16"/>
  <c r="I21" i="16"/>
  <c r="G21" i="16"/>
  <c r="E21" i="16"/>
  <c r="I16" i="16"/>
  <c r="G16" i="16"/>
  <c r="E16" i="16"/>
  <c r="O15" i="16"/>
  <c r="N15" i="16"/>
  <c r="K15" i="16"/>
  <c r="K14" i="16"/>
  <c r="A1" i="16"/>
  <c r="G34" i="15"/>
  <c r="E34" i="15"/>
  <c r="I31" i="15"/>
  <c r="G31" i="15"/>
  <c r="I28" i="15"/>
  <c r="G28" i="15"/>
  <c r="I25" i="15"/>
  <c r="G25" i="15"/>
  <c r="I22" i="15"/>
  <c r="G22" i="15"/>
  <c r="I15" i="15"/>
  <c r="G15" i="15"/>
  <c r="E15" i="15"/>
  <c r="O14" i="15"/>
  <c r="N14" i="15"/>
  <c r="K14" i="15"/>
  <c r="A1" i="15"/>
  <c r="J44" i="13"/>
  <c r="H44" i="13"/>
  <c r="J38" i="13"/>
  <c r="H38" i="13"/>
  <c r="J35" i="13"/>
  <c r="H35" i="13"/>
  <c r="J33" i="13"/>
  <c r="H33" i="13"/>
  <c r="J31" i="13"/>
  <c r="J30" i="13" s="1"/>
  <c r="H31" i="13"/>
  <c r="H30" i="13" s="1"/>
  <c r="F30" i="13"/>
  <c r="F47" i="13" s="1"/>
  <c r="J27" i="13"/>
  <c r="H27" i="13"/>
  <c r="H24" i="13"/>
  <c r="J24" i="13" s="1"/>
  <c r="J21" i="13"/>
  <c r="H21" i="13"/>
  <c r="H18" i="13"/>
  <c r="F17" i="13"/>
  <c r="J15" i="13"/>
  <c r="H15" i="13"/>
  <c r="F15" i="13"/>
  <c r="O2" i="13"/>
  <c r="N2" i="13"/>
  <c r="L2" i="13"/>
  <c r="L1" i="13"/>
  <c r="A1" i="13"/>
  <c r="B447" i="21"/>
  <c r="B446" i="21"/>
  <c r="B445" i="21"/>
  <c r="B444" i="21"/>
  <c r="N434" i="21"/>
  <c r="L434" i="21"/>
  <c r="I434" i="21"/>
  <c r="H434" i="21"/>
  <c r="G434" i="21"/>
  <c r="N426" i="21"/>
  <c r="L426" i="21"/>
  <c r="I426" i="21"/>
  <c r="H426" i="21"/>
  <c r="G426" i="21"/>
  <c r="N419" i="21"/>
  <c r="L419" i="21"/>
  <c r="I419" i="21"/>
  <c r="H419" i="21"/>
  <c r="G419" i="21"/>
  <c r="K414" i="21"/>
  <c r="I414" i="21"/>
  <c r="H414" i="21"/>
  <c r="G414" i="21"/>
  <c r="B407" i="21"/>
  <c r="B406" i="21"/>
  <c r="B405" i="21"/>
  <c r="B404" i="21"/>
  <c r="N394" i="21"/>
  <c r="L394" i="21"/>
  <c r="I394" i="21"/>
  <c r="H394" i="21"/>
  <c r="G394" i="21"/>
  <c r="N386" i="21"/>
  <c r="L386" i="21"/>
  <c r="I386" i="21"/>
  <c r="H386" i="21"/>
  <c r="G386" i="21"/>
  <c r="N379" i="21"/>
  <c r="L379" i="21"/>
  <c r="I379" i="21"/>
  <c r="H379" i="21"/>
  <c r="G379" i="21"/>
  <c r="K374" i="21"/>
  <c r="I374" i="21"/>
  <c r="H374" i="21"/>
  <c r="G374" i="21"/>
  <c r="B367" i="21"/>
  <c r="B366" i="21"/>
  <c r="B365" i="21"/>
  <c r="B364" i="21"/>
  <c r="N354" i="21"/>
  <c r="L354" i="21"/>
  <c r="I354" i="21"/>
  <c r="H354" i="21"/>
  <c r="G354" i="21"/>
  <c r="N346" i="21"/>
  <c r="L346" i="21"/>
  <c r="I346" i="21"/>
  <c r="H346" i="21"/>
  <c r="G346" i="21"/>
  <c r="N339" i="21"/>
  <c r="L339" i="21"/>
  <c r="I339" i="21"/>
  <c r="H339" i="21"/>
  <c r="G339" i="21"/>
  <c r="K334" i="21"/>
  <c r="I334" i="21"/>
  <c r="H334" i="21"/>
  <c r="G334" i="21"/>
  <c r="B327" i="21"/>
  <c r="B326" i="21"/>
  <c r="B325" i="21"/>
  <c r="B324" i="21"/>
  <c r="N314" i="21"/>
  <c r="L314" i="21"/>
  <c r="I314" i="21"/>
  <c r="H314" i="21"/>
  <c r="G314" i="21"/>
  <c r="N306" i="21"/>
  <c r="L306" i="21"/>
  <c r="I306" i="21"/>
  <c r="H306" i="21"/>
  <c r="G306" i="21"/>
  <c r="N299" i="21"/>
  <c r="L299" i="21"/>
  <c r="I299" i="21"/>
  <c r="H299" i="21"/>
  <c r="G299" i="21"/>
  <c r="K294" i="21"/>
  <c r="I294" i="21"/>
  <c r="H294" i="21"/>
  <c r="G294" i="21"/>
  <c r="B287" i="21"/>
  <c r="B286" i="21"/>
  <c r="B285" i="21"/>
  <c r="B284" i="21"/>
  <c r="N274" i="21"/>
  <c r="L274" i="21"/>
  <c r="I274" i="21"/>
  <c r="H274" i="21"/>
  <c r="G274" i="21"/>
  <c r="N266" i="21"/>
  <c r="L266" i="21"/>
  <c r="I266" i="21"/>
  <c r="H266" i="21"/>
  <c r="G266" i="21"/>
  <c r="N259" i="21"/>
  <c r="L259" i="21"/>
  <c r="I259" i="21"/>
  <c r="H259" i="21"/>
  <c r="G259" i="21"/>
  <c r="K254" i="21"/>
  <c r="I254" i="21"/>
  <c r="H254" i="21"/>
  <c r="G254" i="21"/>
  <c r="B247" i="21"/>
  <c r="B246" i="21"/>
  <c r="B245" i="21"/>
  <c r="B244" i="21"/>
  <c r="N234" i="21"/>
  <c r="L234" i="21"/>
  <c r="I234" i="21"/>
  <c r="H234" i="21"/>
  <c r="G234" i="21"/>
  <c r="N226" i="21"/>
  <c r="L226" i="21"/>
  <c r="I226" i="21"/>
  <c r="H226" i="21"/>
  <c r="G226" i="21"/>
  <c r="N219" i="21"/>
  <c r="L219" i="21"/>
  <c r="I219" i="21"/>
  <c r="H219" i="21"/>
  <c r="G219" i="21"/>
  <c r="K214" i="21"/>
  <c r="I214" i="21"/>
  <c r="H214" i="21"/>
  <c r="G214" i="21"/>
  <c r="B207" i="21"/>
  <c r="B206" i="21"/>
  <c r="B205" i="21"/>
  <c r="B204" i="21"/>
  <c r="N194" i="21"/>
  <c r="L194" i="21"/>
  <c r="I194" i="21"/>
  <c r="H194" i="21"/>
  <c r="G194" i="21"/>
  <c r="N186" i="21"/>
  <c r="L186" i="21"/>
  <c r="I186" i="21"/>
  <c r="H186" i="21"/>
  <c r="G186" i="21"/>
  <c r="N179" i="21"/>
  <c r="L179" i="21"/>
  <c r="I179" i="21"/>
  <c r="H179" i="21"/>
  <c r="G179" i="21"/>
  <c r="K174" i="21"/>
  <c r="I174" i="21"/>
  <c r="H174" i="21"/>
  <c r="G174" i="21"/>
  <c r="B146" i="21"/>
  <c r="L144" i="21"/>
  <c r="H144" i="21"/>
  <c r="I144" i="21" s="1"/>
  <c r="J144" i="21" s="1"/>
  <c r="K144" i="21" s="1"/>
  <c r="B137" i="21"/>
  <c r="B130" i="21"/>
  <c r="B123" i="21"/>
  <c r="B116" i="21"/>
  <c r="B109" i="21"/>
  <c r="B102" i="21"/>
  <c r="B95" i="21"/>
  <c r="H92" i="21"/>
  <c r="I92" i="21" s="1"/>
  <c r="J92" i="21" s="1"/>
  <c r="K92" i="21" s="1"/>
  <c r="L92" i="21" s="1"/>
  <c r="N83" i="21"/>
  <c r="B82" i="21"/>
  <c r="H80" i="21"/>
  <c r="I80" i="21" s="1"/>
  <c r="J80" i="21" s="1"/>
  <c r="K80" i="21" s="1"/>
  <c r="L80" i="21" s="1"/>
  <c r="N74" i="21"/>
  <c r="B74" i="21"/>
  <c r="N73" i="21"/>
  <c r="B73" i="21"/>
  <c r="N67" i="21"/>
  <c r="N66" i="21"/>
  <c r="B66" i="21"/>
  <c r="N60" i="21"/>
  <c r="B60" i="21"/>
  <c r="N59" i="21"/>
  <c r="B59" i="21"/>
  <c r="N53" i="21"/>
  <c r="N52" i="21"/>
  <c r="B52" i="21"/>
  <c r="N46" i="21"/>
  <c r="B46" i="21"/>
  <c r="N45" i="21"/>
  <c r="B45" i="21"/>
  <c r="N39" i="21"/>
  <c r="N38" i="21"/>
  <c r="B38" i="21"/>
  <c r="N32" i="21"/>
  <c r="B32" i="21"/>
  <c r="N31" i="21"/>
  <c r="N82" i="21" s="1"/>
  <c r="B31" i="21"/>
  <c r="H28" i="21"/>
  <c r="I28" i="21" s="1"/>
  <c r="J28" i="21" s="1"/>
  <c r="K28" i="21" s="1"/>
  <c r="L28" i="21" s="1"/>
  <c r="H23" i="21"/>
  <c r="K21" i="21"/>
  <c r="G21" i="21"/>
  <c r="J20" i="21"/>
  <c r="J133" i="21" s="1"/>
  <c r="J134" i="21" s="1"/>
  <c r="L18" i="21"/>
  <c r="L121" i="21" s="1"/>
  <c r="H18" i="21"/>
  <c r="H117" i="21" s="1"/>
  <c r="H118" i="21" s="1"/>
  <c r="K17" i="21"/>
  <c r="K113" i="21" s="1"/>
  <c r="K114" i="21" s="1"/>
  <c r="G17" i="21"/>
  <c r="J16" i="21"/>
  <c r="J105" i="21" s="1"/>
  <c r="J106" i="21" s="1"/>
  <c r="I15" i="21"/>
  <c r="I97" i="21" s="1"/>
  <c r="H13" i="21"/>
  <c r="B7" i="21"/>
  <c r="B4" i="21"/>
  <c r="E2" i="21"/>
  <c r="D2" i="21"/>
  <c r="B2" i="21"/>
  <c r="N1" i="21"/>
  <c r="L1" i="21"/>
  <c r="H85" i="8"/>
  <c r="G84" i="8"/>
  <c r="G85" i="8" s="1"/>
  <c r="F83" i="8"/>
  <c r="C83" i="8"/>
  <c r="C84" i="8" s="1"/>
  <c r="E82" i="8"/>
  <c r="E83" i="8" s="1"/>
  <c r="E84" i="8" s="1"/>
  <c r="E85" i="8" s="1"/>
  <c r="C82" i="8"/>
  <c r="D81" i="8"/>
  <c r="C81" i="8"/>
  <c r="J81" i="8" s="1"/>
  <c r="J80" i="8"/>
  <c r="C80" i="8"/>
  <c r="H70" i="8"/>
  <c r="H58" i="8" s="1"/>
  <c r="G70" i="8"/>
  <c r="F70" i="8"/>
  <c r="E70" i="8"/>
  <c r="D70" i="8"/>
  <c r="C70" i="8"/>
  <c r="J69" i="8"/>
  <c r="J68" i="8"/>
  <c r="J67" i="8"/>
  <c r="J66" i="8"/>
  <c r="J65" i="8"/>
  <c r="J70" i="8" s="1"/>
  <c r="L64" i="8"/>
  <c r="J64" i="8"/>
  <c r="G58" i="8"/>
  <c r="C58" i="8"/>
  <c r="H57" i="8"/>
  <c r="G57" i="8"/>
  <c r="C57" i="8"/>
  <c r="J56" i="8"/>
  <c r="L69" i="8" s="1"/>
  <c r="G56" i="8"/>
  <c r="F55" i="8"/>
  <c r="J55" i="8" s="1"/>
  <c r="L68" i="8" s="1"/>
  <c r="E54" i="8"/>
  <c r="E57" i="8" s="1"/>
  <c r="E58" i="8" s="1"/>
  <c r="B54" i="8"/>
  <c r="D53" i="8"/>
  <c r="J53" i="8" s="1"/>
  <c r="L66" i="8" s="1"/>
  <c r="B53" i="8"/>
  <c r="J52" i="8"/>
  <c r="L65" i="8" s="1"/>
  <c r="C52" i="8"/>
  <c r="J51" i="8"/>
  <c r="F50" i="8"/>
  <c r="E50" i="8"/>
  <c r="H39" i="8"/>
  <c r="H50" i="8" s="1"/>
  <c r="G39" i="8"/>
  <c r="F39" i="8"/>
  <c r="E39" i="8"/>
  <c r="D39" i="8"/>
  <c r="D50" i="8" s="1"/>
  <c r="C39" i="8"/>
  <c r="C50" i="8" s="1"/>
  <c r="H31" i="8"/>
  <c r="L21" i="21" s="1"/>
  <c r="L142" i="21" s="1"/>
  <c r="G31" i="8"/>
  <c r="F31" i="8"/>
  <c r="J21" i="21" s="1"/>
  <c r="E31" i="8"/>
  <c r="I21" i="21" s="1"/>
  <c r="D31" i="8"/>
  <c r="H21" i="21" s="1"/>
  <c r="H138" i="21" s="1"/>
  <c r="H139" i="21" s="1"/>
  <c r="C31" i="8"/>
  <c r="H30" i="8"/>
  <c r="L20" i="21" s="1"/>
  <c r="L135" i="21" s="1"/>
  <c r="G30" i="8"/>
  <c r="K20" i="21" s="1"/>
  <c r="K134" i="21" s="1"/>
  <c r="K135" i="21" s="1"/>
  <c r="F30" i="8"/>
  <c r="E30" i="8"/>
  <c r="I20" i="21" s="1"/>
  <c r="I132" i="21" s="1"/>
  <c r="I133" i="21" s="1"/>
  <c r="D30" i="8"/>
  <c r="H20" i="21" s="1"/>
  <c r="H131" i="21" s="1"/>
  <c r="H132" i="21" s="1"/>
  <c r="C30" i="8"/>
  <c r="G20" i="21" s="1"/>
  <c r="H29" i="8"/>
  <c r="L19" i="21" s="1"/>
  <c r="L128" i="21" s="1"/>
  <c r="G29" i="8"/>
  <c r="K19" i="21" s="1"/>
  <c r="K127" i="21" s="1"/>
  <c r="K128" i="21" s="1"/>
  <c r="F29" i="8"/>
  <c r="J19" i="21" s="1"/>
  <c r="J126" i="21" s="1"/>
  <c r="J127" i="21" s="1"/>
  <c r="E29" i="8"/>
  <c r="I19" i="21" s="1"/>
  <c r="I125" i="21" s="1"/>
  <c r="I126" i="21" s="1"/>
  <c r="D29" i="8"/>
  <c r="H19" i="21" s="1"/>
  <c r="H124" i="21" s="1"/>
  <c r="H125" i="21" s="1"/>
  <c r="C29" i="8"/>
  <c r="G19" i="21" s="1"/>
  <c r="G123" i="21" s="1"/>
  <c r="H28" i="8"/>
  <c r="G28" i="8"/>
  <c r="K18" i="21" s="1"/>
  <c r="K120" i="21" s="1"/>
  <c r="K121" i="21" s="1"/>
  <c r="F28" i="8"/>
  <c r="J18" i="21" s="1"/>
  <c r="J119" i="21" s="1"/>
  <c r="J120" i="21" s="1"/>
  <c r="E28" i="8"/>
  <c r="I18" i="21" s="1"/>
  <c r="I118" i="21" s="1"/>
  <c r="I119" i="21" s="1"/>
  <c r="D28" i="8"/>
  <c r="C28" i="8"/>
  <c r="G18" i="21" s="1"/>
  <c r="H27" i="8"/>
  <c r="L17" i="21" s="1"/>
  <c r="L114" i="21" s="1"/>
  <c r="G27" i="8"/>
  <c r="F27" i="8"/>
  <c r="J17" i="21" s="1"/>
  <c r="J112" i="21" s="1"/>
  <c r="J113" i="21" s="1"/>
  <c r="E27" i="8"/>
  <c r="I17" i="21" s="1"/>
  <c r="I111" i="21" s="1"/>
  <c r="I112" i="21" s="1"/>
  <c r="G269" i="21" s="1"/>
  <c r="D27" i="8"/>
  <c r="H17" i="21" s="1"/>
  <c r="H110" i="21" s="1"/>
  <c r="H111" i="21" s="1"/>
  <c r="C27" i="8"/>
  <c r="H26" i="8"/>
  <c r="L16" i="21" s="1"/>
  <c r="L107" i="21" s="1"/>
  <c r="G26" i="8"/>
  <c r="K16" i="21" s="1"/>
  <c r="K106" i="21" s="1"/>
  <c r="K107" i="21" s="1"/>
  <c r="F26" i="8"/>
  <c r="E26" i="8"/>
  <c r="I16" i="21" s="1"/>
  <c r="I104" i="21" s="1"/>
  <c r="I105" i="21" s="1"/>
  <c r="D26" i="8"/>
  <c r="H16" i="21" s="1"/>
  <c r="H103" i="21" s="1"/>
  <c r="H104" i="21" s="1"/>
  <c r="C26" i="8"/>
  <c r="G16" i="21" s="1"/>
  <c r="H25" i="8"/>
  <c r="L15" i="21" s="1"/>
  <c r="L100" i="21" s="1"/>
  <c r="L151" i="21" s="1"/>
  <c r="G25" i="8"/>
  <c r="K15" i="21" s="1"/>
  <c r="K99" i="21" s="1"/>
  <c r="F25" i="8"/>
  <c r="F24" i="8" s="1"/>
  <c r="E25" i="8"/>
  <c r="E24" i="8" s="1"/>
  <c r="D25" i="8"/>
  <c r="H15" i="21" s="1"/>
  <c r="H96" i="21" s="1"/>
  <c r="C25" i="8"/>
  <c r="G15" i="21" s="1"/>
  <c r="H24" i="8"/>
  <c r="G24" i="8"/>
  <c r="D24" i="8"/>
  <c r="C24" i="8"/>
  <c r="H16" i="8"/>
  <c r="G16" i="8"/>
  <c r="F16" i="8"/>
  <c r="E16" i="8"/>
  <c r="D16" i="8"/>
  <c r="C16" i="8"/>
  <c r="H8" i="8"/>
  <c r="G8" i="8"/>
  <c r="F8" i="8"/>
  <c r="E8" i="8"/>
  <c r="D8" i="8"/>
  <c r="C8" i="8"/>
  <c r="C5" i="8"/>
  <c r="C4" i="8"/>
  <c r="O3" i="8"/>
  <c r="N3" i="8"/>
  <c r="M3" i="8"/>
  <c r="H3" i="8"/>
  <c r="G3" i="8"/>
  <c r="F3" i="8"/>
  <c r="E3" i="8"/>
  <c r="D3" i="8"/>
  <c r="C3" i="8"/>
  <c r="A94" i="20"/>
  <c r="A93" i="20"/>
  <c r="A92" i="20"/>
  <c r="A91" i="20"/>
  <c r="M81" i="20"/>
  <c r="K81" i="20"/>
  <c r="J81" i="20"/>
  <c r="I81" i="20"/>
  <c r="H81" i="20"/>
  <c r="G81" i="20"/>
  <c r="F81" i="20"/>
  <c r="M73" i="20"/>
  <c r="K73" i="20"/>
  <c r="J73" i="20"/>
  <c r="I73" i="20"/>
  <c r="H73" i="20"/>
  <c r="G73" i="20"/>
  <c r="F73" i="20"/>
  <c r="M66" i="20"/>
  <c r="K66" i="20"/>
  <c r="J66" i="20"/>
  <c r="I66" i="20"/>
  <c r="H66" i="20"/>
  <c r="G66" i="20"/>
  <c r="F66" i="20"/>
  <c r="F62" i="20"/>
  <c r="H62" i="20" s="1"/>
  <c r="I62" i="20" s="1"/>
  <c r="J61" i="20"/>
  <c r="I61" i="20"/>
  <c r="H61" i="20"/>
  <c r="G61" i="20"/>
  <c r="F61" i="20"/>
  <c r="H54" i="20"/>
  <c r="G54" i="20"/>
  <c r="G53" i="20"/>
  <c r="F53" i="20"/>
  <c r="F52" i="20"/>
  <c r="E51" i="20"/>
  <c r="E52" i="20" s="1"/>
  <c r="D50" i="20"/>
  <c r="D51" i="20" s="1"/>
  <c r="J49" i="20"/>
  <c r="C49" i="20"/>
  <c r="H40" i="20"/>
  <c r="G40" i="20"/>
  <c r="B37" i="20"/>
  <c r="B52" i="20" s="1"/>
  <c r="J35" i="20"/>
  <c r="J34" i="20"/>
  <c r="B34" i="20"/>
  <c r="B49" i="20" s="1"/>
  <c r="E33" i="20"/>
  <c r="E48" i="20" s="1"/>
  <c r="H28" i="20"/>
  <c r="H27" i="20"/>
  <c r="G27" i="20"/>
  <c r="C27" i="20"/>
  <c r="G26" i="20"/>
  <c r="J26" i="20" s="1"/>
  <c r="B26" i="20"/>
  <c r="B39" i="20" s="1"/>
  <c r="B54" i="20" s="1"/>
  <c r="J25" i="20"/>
  <c r="F25" i="20"/>
  <c r="F27" i="20" s="1"/>
  <c r="B25" i="20"/>
  <c r="B38" i="20" s="1"/>
  <c r="B53" i="20" s="1"/>
  <c r="E24" i="20"/>
  <c r="F76" i="20" s="1"/>
  <c r="B24" i="20"/>
  <c r="J23" i="20"/>
  <c r="D23" i="20"/>
  <c r="F68" i="20" s="1"/>
  <c r="B23" i="20"/>
  <c r="B36" i="20" s="1"/>
  <c r="B51" i="20" s="1"/>
  <c r="C22" i="20"/>
  <c r="J22" i="20" s="1"/>
  <c r="B22" i="20"/>
  <c r="B35" i="20" s="1"/>
  <c r="B50" i="20" s="1"/>
  <c r="J21" i="20"/>
  <c r="B21" i="20"/>
  <c r="H20" i="20"/>
  <c r="H33" i="20" s="1"/>
  <c r="H48" i="20" s="1"/>
  <c r="G20" i="20"/>
  <c r="G33" i="20" s="1"/>
  <c r="G48" i="20" s="1"/>
  <c r="F20" i="20"/>
  <c r="F33" i="20" s="1"/>
  <c r="F48" i="20" s="1"/>
  <c r="E20" i="20"/>
  <c r="D20" i="20"/>
  <c r="D33" i="20" s="1"/>
  <c r="D48" i="20" s="1"/>
  <c r="C20" i="20"/>
  <c r="C33" i="20" s="1"/>
  <c r="C48" i="20" s="1"/>
  <c r="C7" i="20"/>
  <c r="C6" i="20"/>
  <c r="O4" i="20"/>
  <c r="N4" i="20"/>
  <c r="M4" i="20"/>
  <c r="B504" i="19"/>
  <c r="B503" i="19"/>
  <c r="B502" i="19"/>
  <c r="B501" i="19"/>
  <c r="G495" i="19"/>
  <c r="N491" i="19"/>
  <c r="L491" i="19"/>
  <c r="K491" i="19"/>
  <c r="J491" i="19"/>
  <c r="I491" i="19"/>
  <c r="H491" i="19"/>
  <c r="G491" i="19"/>
  <c r="N483" i="19"/>
  <c r="L483" i="19"/>
  <c r="K483" i="19"/>
  <c r="J483" i="19"/>
  <c r="I483" i="19"/>
  <c r="H483" i="19"/>
  <c r="G483" i="19"/>
  <c r="N476" i="19"/>
  <c r="L476" i="19"/>
  <c r="K476" i="19"/>
  <c r="J476" i="19"/>
  <c r="I476" i="19"/>
  <c r="H476" i="19"/>
  <c r="G476" i="19"/>
  <c r="I472" i="19"/>
  <c r="J472" i="19" s="1"/>
  <c r="K471" i="19"/>
  <c r="J471" i="19"/>
  <c r="I471" i="19"/>
  <c r="H471" i="19"/>
  <c r="G471" i="19"/>
  <c r="B464" i="19"/>
  <c r="B463" i="19"/>
  <c r="B462" i="19"/>
  <c r="B461" i="19"/>
  <c r="N451" i="19"/>
  <c r="L451" i="19"/>
  <c r="K451" i="19"/>
  <c r="J451" i="19"/>
  <c r="I451" i="19"/>
  <c r="H451" i="19"/>
  <c r="G451" i="19"/>
  <c r="N443" i="19"/>
  <c r="L443" i="19"/>
  <c r="K443" i="19"/>
  <c r="J443" i="19"/>
  <c r="I443" i="19"/>
  <c r="H443" i="19"/>
  <c r="G443" i="19"/>
  <c r="N436" i="19"/>
  <c r="L436" i="19"/>
  <c r="K436" i="19"/>
  <c r="J436" i="19"/>
  <c r="I436" i="19"/>
  <c r="H436" i="19"/>
  <c r="G436" i="19"/>
  <c r="K431" i="19"/>
  <c r="J431" i="19"/>
  <c r="I431" i="19"/>
  <c r="H431" i="19"/>
  <c r="G431" i="19"/>
  <c r="B424" i="19"/>
  <c r="B423" i="19"/>
  <c r="B422" i="19"/>
  <c r="B421" i="19"/>
  <c r="N411" i="19"/>
  <c r="L411" i="19"/>
  <c r="K411" i="19"/>
  <c r="J411" i="19"/>
  <c r="I411" i="19"/>
  <c r="H411" i="19"/>
  <c r="G411" i="19"/>
  <c r="N403" i="19"/>
  <c r="L403" i="19"/>
  <c r="K403" i="19"/>
  <c r="J403" i="19"/>
  <c r="I403" i="19"/>
  <c r="H403" i="19"/>
  <c r="G403" i="19"/>
  <c r="N396" i="19"/>
  <c r="L396" i="19"/>
  <c r="K396" i="19"/>
  <c r="J396" i="19"/>
  <c r="I396" i="19"/>
  <c r="H396" i="19"/>
  <c r="G396" i="19"/>
  <c r="K391" i="19"/>
  <c r="J391" i="19"/>
  <c r="I391" i="19"/>
  <c r="H391" i="19"/>
  <c r="G391" i="19"/>
  <c r="B384" i="19"/>
  <c r="B383" i="19"/>
  <c r="B382" i="19"/>
  <c r="B381" i="19"/>
  <c r="N371" i="19"/>
  <c r="L371" i="19"/>
  <c r="K371" i="19"/>
  <c r="J371" i="19"/>
  <c r="I371" i="19"/>
  <c r="H371" i="19"/>
  <c r="G371" i="19"/>
  <c r="N363" i="19"/>
  <c r="L363" i="19"/>
  <c r="K363" i="19"/>
  <c r="J363" i="19"/>
  <c r="I363" i="19"/>
  <c r="H363" i="19"/>
  <c r="G363" i="19"/>
  <c r="N356" i="19"/>
  <c r="L356" i="19"/>
  <c r="K356" i="19"/>
  <c r="J356" i="19"/>
  <c r="I356" i="19"/>
  <c r="H356" i="19"/>
  <c r="G356" i="19"/>
  <c r="K351" i="19"/>
  <c r="J351" i="19"/>
  <c r="I351" i="19"/>
  <c r="H351" i="19"/>
  <c r="G351" i="19"/>
  <c r="B344" i="19"/>
  <c r="B343" i="19"/>
  <c r="B342" i="19"/>
  <c r="B341" i="19"/>
  <c r="N331" i="19"/>
  <c r="L331" i="19"/>
  <c r="K331" i="19"/>
  <c r="J331" i="19"/>
  <c r="I331" i="19"/>
  <c r="H331" i="19"/>
  <c r="G331" i="19"/>
  <c r="N323" i="19"/>
  <c r="L323" i="19"/>
  <c r="K323" i="19"/>
  <c r="J323" i="19"/>
  <c r="I323" i="19"/>
  <c r="H323" i="19"/>
  <c r="G323" i="19"/>
  <c r="N316" i="19"/>
  <c r="L316" i="19"/>
  <c r="K316" i="19"/>
  <c r="J316" i="19"/>
  <c r="I316" i="19"/>
  <c r="H316" i="19"/>
  <c r="G316" i="19"/>
  <c r="K311" i="19"/>
  <c r="J311" i="19"/>
  <c r="I311" i="19"/>
  <c r="H311" i="19"/>
  <c r="G311" i="19"/>
  <c r="B304" i="19"/>
  <c r="B303" i="19"/>
  <c r="B302" i="19"/>
  <c r="B301" i="19"/>
  <c r="N291" i="19"/>
  <c r="L291" i="19"/>
  <c r="K291" i="19"/>
  <c r="J291" i="19"/>
  <c r="I291" i="19"/>
  <c r="H291" i="19"/>
  <c r="G291" i="19"/>
  <c r="N283" i="19"/>
  <c r="L283" i="19"/>
  <c r="K283" i="19"/>
  <c r="J283" i="19"/>
  <c r="I283" i="19"/>
  <c r="H283" i="19"/>
  <c r="G283" i="19"/>
  <c r="N276" i="19"/>
  <c r="L276" i="19"/>
  <c r="K276" i="19"/>
  <c r="J276" i="19"/>
  <c r="I276" i="19"/>
  <c r="H276" i="19"/>
  <c r="G276" i="19"/>
  <c r="K271" i="19"/>
  <c r="J271" i="19"/>
  <c r="I271" i="19"/>
  <c r="H271" i="19"/>
  <c r="G271" i="19"/>
  <c r="B264" i="19"/>
  <c r="B263" i="19"/>
  <c r="B262" i="19"/>
  <c r="B261" i="19"/>
  <c r="N251" i="19"/>
  <c r="L251" i="19"/>
  <c r="K251" i="19"/>
  <c r="J251" i="19"/>
  <c r="I251" i="19"/>
  <c r="H251" i="19"/>
  <c r="G251" i="19"/>
  <c r="N243" i="19"/>
  <c r="L243" i="19"/>
  <c r="K243" i="19"/>
  <c r="J243" i="19"/>
  <c r="I243" i="19"/>
  <c r="H243" i="19"/>
  <c r="G243" i="19"/>
  <c r="N236" i="19"/>
  <c r="L236" i="19"/>
  <c r="K236" i="19"/>
  <c r="J236" i="19"/>
  <c r="I236" i="19"/>
  <c r="H236" i="19"/>
  <c r="G236" i="19"/>
  <c r="K231" i="19"/>
  <c r="J231" i="19"/>
  <c r="I231" i="19"/>
  <c r="H231" i="19"/>
  <c r="G231" i="19"/>
  <c r="B224" i="19"/>
  <c r="B223" i="19"/>
  <c r="B222" i="19"/>
  <c r="B221" i="19"/>
  <c r="N211" i="19"/>
  <c r="L211" i="19"/>
  <c r="K211" i="19"/>
  <c r="J211" i="19"/>
  <c r="I211" i="19"/>
  <c r="H211" i="19"/>
  <c r="G211" i="19"/>
  <c r="N203" i="19"/>
  <c r="L203" i="19"/>
  <c r="K203" i="19"/>
  <c r="J203" i="19"/>
  <c r="I203" i="19"/>
  <c r="H203" i="19"/>
  <c r="G203" i="19"/>
  <c r="N196" i="19"/>
  <c r="L196" i="19"/>
  <c r="K196" i="19"/>
  <c r="J196" i="19"/>
  <c r="I196" i="19"/>
  <c r="H196" i="19"/>
  <c r="G196" i="19"/>
  <c r="K191" i="19"/>
  <c r="J191" i="19"/>
  <c r="I191" i="19"/>
  <c r="H191" i="19"/>
  <c r="G191" i="19"/>
  <c r="B162" i="19"/>
  <c r="K160" i="19"/>
  <c r="L160" i="19" s="1"/>
  <c r="J160" i="19"/>
  <c r="I160" i="19"/>
  <c r="H160" i="19"/>
  <c r="L158" i="19"/>
  <c r="K157" i="19"/>
  <c r="K158" i="19" s="1"/>
  <c r="J156" i="19"/>
  <c r="J157" i="19" s="1"/>
  <c r="I156" i="19"/>
  <c r="I155" i="19"/>
  <c r="H154" i="19"/>
  <c r="H155" i="19" s="1"/>
  <c r="G478" i="19" s="1"/>
  <c r="G154" i="19"/>
  <c r="G472" i="19" s="1"/>
  <c r="N153" i="19"/>
  <c r="G153" i="19"/>
  <c r="B153" i="19"/>
  <c r="L151" i="19"/>
  <c r="K150" i="19"/>
  <c r="K151" i="19" s="1"/>
  <c r="J149" i="19"/>
  <c r="I149" i="19"/>
  <c r="G446" i="19" s="1"/>
  <c r="I148" i="19"/>
  <c r="H148" i="19"/>
  <c r="H147" i="19"/>
  <c r="G146" i="19"/>
  <c r="B146" i="19"/>
  <c r="L144" i="19"/>
  <c r="K144" i="19"/>
  <c r="K143" i="19"/>
  <c r="J142" i="19"/>
  <c r="J143" i="19" s="1"/>
  <c r="I141" i="19"/>
  <c r="I142" i="19" s="1"/>
  <c r="G406" i="19" s="1"/>
  <c r="N140" i="19"/>
  <c r="H140" i="19"/>
  <c r="H141" i="19" s="1"/>
  <c r="G140" i="19"/>
  <c r="G392" i="19" s="1"/>
  <c r="I392" i="19" s="1"/>
  <c r="J392" i="19" s="1"/>
  <c r="N139" i="19"/>
  <c r="G139" i="19"/>
  <c r="B139" i="19"/>
  <c r="L137" i="19"/>
  <c r="K136" i="19"/>
  <c r="K137" i="19" s="1"/>
  <c r="J135" i="19"/>
  <c r="J136" i="19" s="1"/>
  <c r="I135" i="19"/>
  <c r="I134" i="19"/>
  <c r="H133" i="19"/>
  <c r="H134" i="19" s="1"/>
  <c r="G132" i="19"/>
  <c r="N132" i="19" s="1"/>
  <c r="B132" i="19"/>
  <c r="L130" i="19"/>
  <c r="K130" i="19"/>
  <c r="K129" i="19"/>
  <c r="J128" i="19"/>
  <c r="J129" i="19" s="1"/>
  <c r="I127" i="19"/>
  <c r="I128" i="19" s="1"/>
  <c r="H126" i="19"/>
  <c r="H127" i="19" s="1"/>
  <c r="G126" i="19"/>
  <c r="N125" i="19"/>
  <c r="G125" i="19"/>
  <c r="B125" i="19"/>
  <c r="L123" i="19"/>
  <c r="K122" i="19"/>
  <c r="K123" i="19" s="1"/>
  <c r="J122" i="19"/>
  <c r="G295" i="19" s="1"/>
  <c r="J121" i="19"/>
  <c r="I121" i="19"/>
  <c r="G286" i="19" s="1"/>
  <c r="I120" i="19"/>
  <c r="H119" i="19"/>
  <c r="H120" i="19" s="1"/>
  <c r="G118" i="19"/>
  <c r="B118" i="19"/>
  <c r="L116" i="19"/>
  <c r="K116" i="19"/>
  <c r="K115" i="19"/>
  <c r="J115" i="19"/>
  <c r="J114" i="19"/>
  <c r="I113" i="19"/>
  <c r="I114" i="19" s="1"/>
  <c r="N112" i="19"/>
  <c r="H112" i="19"/>
  <c r="H113" i="19" s="1"/>
  <c r="G238" i="19" s="1"/>
  <c r="G112" i="19"/>
  <c r="G232" i="19" s="1"/>
  <c r="I232" i="19" s="1"/>
  <c r="J232" i="19" s="1"/>
  <c r="N111" i="19"/>
  <c r="G111" i="19"/>
  <c r="B111" i="19"/>
  <c r="L109" i="19"/>
  <c r="L167" i="19" s="1"/>
  <c r="K108" i="19"/>
  <c r="J107" i="19"/>
  <c r="I107" i="19"/>
  <c r="I106" i="19"/>
  <c r="H105" i="19"/>
  <c r="G104" i="19"/>
  <c r="G105" i="19" s="1"/>
  <c r="B104" i="19"/>
  <c r="H101" i="19"/>
  <c r="I101" i="19" s="1"/>
  <c r="J101" i="19" s="1"/>
  <c r="K101" i="19" s="1"/>
  <c r="L101" i="19" s="1"/>
  <c r="N92" i="19"/>
  <c r="N91" i="19"/>
  <c r="B91" i="19"/>
  <c r="H89" i="19"/>
  <c r="I89" i="19" s="1"/>
  <c r="J89" i="19" s="1"/>
  <c r="K89" i="19" s="1"/>
  <c r="L89" i="19" s="1"/>
  <c r="N82" i="19"/>
  <c r="N81" i="19"/>
  <c r="B81" i="19"/>
  <c r="N75" i="19"/>
  <c r="N74" i="19"/>
  <c r="B74" i="19"/>
  <c r="N68" i="19"/>
  <c r="N67" i="19"/>
  <c r="B67" i="19"/>
  <c r="N61" i="19"/>
  <c r="N60" i="19"/>
  <c r="B60" i="19"/>
  <c r="N54" i="19"/>
  <c r="N53" i="19"/>
  <c r="B53" i="19"/>
  <c r="N47" i="19"/>
  <c r="N46" i="19"/>
  <c r="B46" i="19"/>
  <c r="N40" i="19"/>
  <c r="N39" i="19"/>
  <c r="B39" i="19"/>
  <c r="N33" i="19"/>
  <c r="N32" i="19"/>
  <c r="B32" i="19"/>
  <c r="I29" i="19"/>
  <c r="J29" i="19" s="1"/>
  <c r="K29" i="19" s="1"/>
  <c r="L29" i="19" s="1"/>
  <c r="H29" i="19"/>
  <c r="L24" i="19"/>
  <c r="K24" i="19"/>
  <c r="J24" i="19"/>
  <c r="I24" i="19"/>
  <c r="H24" i="19"/>
  <c r="G24" i="19"/>
  <c r="N24" i="19" s="1"/>
  <c r="N22" i="19"/>
  <c r="N21" i="19"/>
  <c r="N20" i="19"/>
  <c r="N19" i="19"/>
  <c r="N18" i="19"/>
  <c r="N17" i="19"/>
  <c r="N16" i="19"/>
  <c r="N15" i="19"/>
  <c r="H13" i="19"/>
  <c r="B154" i="19" s="1"/>
  <c r="B7" i="19"/>
  <c r="B4" i="19"/>
  <c r="E2" i="19"/>
  <c r="D2" i="19"/>
  <c r="B2" i="19"/>
  <c r="N1" i="19"/>
  <c r="L1" i="19"/>
  <c r="H55" i="7"/>
  <c r="G55" i="7"/>
  <c r="G54" i="7"/>
  <c r="F53" i="7"/>
  <c r="F54" i="7" s="1"/>
  <c r="F55" i="7" s="1"/>
  <c r="E52" i="7"/>
  <c r="E53" i="7" s="1"/>
  <c r="E54" i="7" s="1"/>
  <c r="E55" i="7" s="1"/>
  <c r="D51" i="7"/>
  <c r="C51" i="7"/>
  <c r="J51" i="7" s="1"/>
  <c r="J50" i="7"/>
  <c r="C50" i="7"/>
  <c r="E49" i="7"/>
  <c r="H40" i="7"/>
  <c r="G40" i="7"/>
  <c r="F40" i="7"/>
  <c r="E40" i="7"/>
  <c r="D40" i="7"/>
  <c r="C40" i="7"/>
  <c r="J39" i="7"/>
  <c r="J40" i="7" s="1"/>
  <c r="J38" i="7"/>
  <c r="B38" i="7"/>
  <c r="B54" i="7" s="1"/>
  <c r="J37" i="7"/>
  <c r="L36" i="7"/>
  <c r="J36" i="7"/>
  <c r="B36" i="7"/>
  <c r="B52" i="7" s="1"/>
  <c r="J35" i="7"/>
  <c r="L34" i="7"/>
  <c r="J34" i="7"/>
  <c r="B34" i="7"/>
  <c r="B50" i="7" s="1"/>
  <c r="E33" i="7"/>
  <c r="K28" i="7"/>
  <c r="E28" i="7"/>
  <c r="H27" i="7"/>
  <c r="H28" i="7" s="1"/>
  <c r="D27" i="7"/>
  <c r="D28" i="7" s="1"/>
  <c r="J26" i="7"/>
  <c r="G26" i="7"/>
  <c r="G27" i="7" s="1"/>
  <c r="G28" i="7" s="1"/>
  <c r="B26" i="7"/>
  <c r="B39" i="7" s="1"/>
  <c r="B55" i="7" s="1"/>
  <c r="F25" i="7"/>
  <c r="J25" i="7" s="1"/>
  <c r="L38" i="7" s="1"/>
  <c r="B25" i="7"/>
  <c r="J24" i="7"/>
  <c r="L37" i="7" s="1"/>
  <c r="E24" i="7"/>
  <c r="E27" i="7" s="1"/>
  <c r="I25" i="19" s="1"/>
  <c r="B24" i="7"/>
  <c r="B37" i="7" s="1"/>
  <c r="B53" i="7" s="1"/>
  <c r="D23" i="7"/>
  <c r="J23" i="7" s="1"/>
  <c r="B23" i="7"/>
  <c r="J22" i="7"/>
  <c r="L35" i="7" s="1"/>
  <c r="C22" i="7"/>
  <c r="C27" i="7" s="1"/>
  <c r="C28" i="7" s="1"/>
  <c r="B22" i="7"/>
  <c r="B35" i="7" s="1"/>
  <c r="B51" i="7" s="1"/>
  <c r="J21" i="7"/>
  <c r="B21" i="7"/>
  <c r="H20" i="7"/>
  <c r="H33" i="7" s="1"/>
  <c r="H49" i="7" s="1"/>
  <c r="G20" i="7"/>
  <c r="G33" i="7" s="1"/>
  <c r="G49" i="7" s="1"/>
  <c r="F20" i="7"/>
  <c r="F33" i="7" s="1"/>
  <c r="F49" i="7" s="1"/>
  <c r="E20" i="7"/>
  <c r="D20" i="7"/>
  <c r="D33" i="7" s="1"/>
  <c r="D49" i="7" s="1"/>
  <c r="C20" i="7"/>
  <c r="C33" i="7" s="1"/>
  <c r="C49" i="7" s="1"/>
  <c r="C7" i="7"/>
  <c r="C6" i="7"/>
  <c r="O4" i="7"/>
  <c r="N4" i="7"/>
  <c r="M4" i="7"/>
  <c r="B153" i="6"/>
  <c r="B152" i="6"/>
  <c r="B150" i="6"/>
  <c r="B149" i="6"/>
  <c r="B148" i="6"/>
  <c r="B147" i="6"/>
  <c r="B146" i="6"/>
  <c r="B145" i="6"/>
  <c r="B144" i="6"/>
  <c r="B143" i="6"/>
  <c r="B142" i="6"/>
  <c r="E141" i="6"/>
  <c r="E165" i="6" s="1"/>
  <c r="C136" i="6"/>
  <c r="B136" i="6"/>
  <c r="D134" i="6"/>
  <c r="D133" i="6"/>
  <c r="C133" i="6"/>
  <c r="D132" i="6"/>
  <c r="C132" i="6"/>
  <c r="E131" i="6"/>
  <c r="D131" i="6"/>
  <c r="E130" i="6"/>
  <c r="B130" i="6"/>
  <c r="D128" i="6"/>
  <c r="D127" i="6"/>
  <c r="C127" i="6"/>
  <c r="D126" i="6"/>
  <c r="C126" i="6"/>
  <c r="E125" i="6"/>
  <c r="E124" i="6" s="1"/>
  <c r="B124" i="6"/>
  <c r="D122" i="6"/>
  <c r="D121" i="6"/>
  <c r="C121" i="6"/>
  <c r="D120" i="6"/>
  <c r="C120" i="6"/>
  <c r="E119" i="6"/>
  <c r="E118" i="6"/>
  <c r="B118" i="6"/>
  <c r="D116" i="6"/>
  <c r="D115" i="6"/>
  <c r="C115" i="6"/>
  <c r="B115" i="6"/>
  <c r="E114" i="6"/>
  <c r="D114" i="6"/>
  <c r="B114" i="6"/>
  <c r="D113" i="6"/>
  <c r="D112" i="6"/>
  <c r="C112" i="6"/>
  <c r="E111" i="6"/>
  <c r="B111" i="6"/>
  <c r="D109" i="6"/>
  <c r="D108" i="6"/>
  <c r="C108" i="6"/>
  <c r="D107" i="6"/>
  <c r="C107" i="6"/>
  <c r="E106" i="6"/>
  <c r="D106" i="6"/>
  <c r="E105" i="6"/>
  <c r="B105" i="6"/>
  <c r="E103" i="6"/>
  <c r="C103" i="6"/>
  <c r="B103" i="6"/>
  <c r="D101" i="6"/>
  <c r="D100" i="6"/>
  <c r="C100" i="6"/>
  <c r="D99" i="6"/>
  <c r="C99" i="6"/>
  <c r="E98" i="6"/>
  <c r="E97" i="6"/>
  <c r="B97" i="6"/>
  <c r="D95" i="6"/>
  <c r="C95" i="6"/>
  <c r="B95" i="6"/>
  <c r="D94" i="6"/>
  <c r="C94" i="6"/>
  <c r="B94" i="6"/>
  <c r="D93" i="6"/>
  <c r="C93" i="6"/>
  <c r="B93" i="6"/>
  <c r="D91" i="6"/>
  <c r="C91" i="6"/>
  <c r="B91" i="6"/>
  <c r="D89" i="6"/>
  <c r="C89" i="6"/>
  <c r="B89" i="6"/>
  <c r="D87" i="6"/>
  <c r="C87" i="6"/>
  <c r="B87" i="6"/>
  <c r="D85" i="6"/>
  <c r="C85" i="6"/>
  <c r="B85" i="6"/>
  <c r="D83" i="6"/>
  <c r="C83" i="6"/>
  <c r="B83" i="6"/>
  <c r="D81" i="6"/>
  <c r="C81" i="6"/>
  <c r="B81" i="6"/>
  <c r="D80" i="6"/>
  <c r="C80" i="6"/>
  <c r="B80" i="6"/>
  <c r="B79" i="6"/>
  <c r="D77" i="6"/>
  <c r="C77" i="6"/>
  <c r="B77" i="6"/>
  <c r="D76" i="6"/>
  <c r="C76" i="6"/>
  <c r="B76" i="6"/>
  <c r="B75" i="6"/>
  <c r="D73" i="6"/>
  <c r="C73" i="6"/>
  <c r="B73" i="6"/>
  <c r="D72" i="6"/>
  <c r="C72" i="6"/>
  <c r="B72" i="6"/>
  <c r="D71" i="6"/>
  <c r="C71" i="6"/>
  <c r="B71" i="6"/>
  <c r="E70" i="6"/>
  <c r="B70" i="6"/>
  <c r="D69" i="6"/>
  <c r="C69" i="6"/>
  <c r="B69" i="6"/>
  <c r="D68" i="6"/>
  <c r="C68" i="6"/>
  <c r="B68" i="6"/>
  <c r="D67" i="6"/>
  <c r="C67" i="6"/>
  <c r="B67" i="6"/>
  <c r="E66" i="6"/>
  <c r="D66" i="6"/>
  <c r="B66" i="6"/>
  <c r="D64" i="6"/>
  <c r="E64" i="6" s="1"/>
  <c r="B64" i="6"/>
  <c r="B63" i="6"/>
  <c r="D62" i="6"/>
  <c r="E62" i="6" s="1"/>
  <c r="B62" i="6"/>
  <c r="B61" i="6"/>
  <c r="D60" i="6"/>
  <c r="E60" i="6" s="1"/>
  <c r="B60" i="6"/>
  <c r="B59" i="6"/>
  <c r="D58" i="6"/>
  <c r="E58" i="6" s="1"/>
  <c r="B58" i="6"/>
  <c r="B57" i="6"/>
  <c r="D56" i="6"/>
  <c r="E56" i="6" s="1"/>
  <c r="B56" i="6"/>
  <c r="E55" i="6"/>
  <c r="B55" i="6"/>
  <c r="C54" i="6"/>
  <c r="B54" i="6"/>
  <c r="B52" i="6"/>
  <c r="C51" i="6"/>
  <c r="B51" i="6"/>
  <c r="B49" i="6"/>
  <c r="B48" i="6"/>
  <c r="B47" i="6"/>
  <c r="B46" i="6"/>
  <c r="B45" i="6"/>
  <c r="B44" i="6"/>
  <c r="B43" i="6"/>
  <c r="B42" i="6"/>
  <c r="C41" i="6"/>
  <c r="B41" i="6"/>
  <c r="B39" i="6"/>
  <c r="B38" i="6"/>
  <c r="B37" i="6"/>
  <c r="B36" i="6"/>
  <c r="B35" i="6"/>
  <c r="B34" i="6"/>
  <c r="B33" i="6"/>
  <c r="C32" i="6"/>
  <c r="B32" i="6"/>
  <c r="A32" i="6"/>
  <c r="A41" i="6" s="1"/>
  <c r="A51" i="6" s="1"/>
  <c r="A54" i="6" s="1"/>
  <c r="A66" i="6" s="1"/>
  <c r="A75" i="6" s="1"/>
  <c r="A79" i="6" s="1"/>
  <c r="A83" i="6" s="1"/>
  <c r="A85" i="6" s="1"/>
  <c r="A87" i="6" s="1"/>
  <c r="A89" i="6" s="1"/>
  <c r="A91" i="6" s="1"/>
  <c r="A93" i="6" s="1"/>
  <c r="A94" i="6" s="1"/>
  <c r="A95" i="6" s="1"/>
  <c r="A97" i="6" s="1"/>
  <c r="A103" i="6" s="1"/>
  <c r="A105" i="6" s="1"/>
  <c r="A111" i="6" s="1"/>
  <c r="A118" i="6" s="1"/>
  <c r="A124" i="6" s="1"/>
  <c r="A130" i="6" s="1"/>
  <c r="A136" i="6" s="1"/>
  <c r="C30" i="6"/>
  <c r="B30" i="6"/>
  <c r="A30" i="6"/>
  <c r="B28" i="6"/>
  <c r="B27" i="6"/>
  <c r="B26" i="6"/>
  <c r="B25" i="6"/>
  <c r="B24" i="6"/>
  <c r="B23" i="6"/>
  <c r="B22" i="6"/>
  <c r="B21" i="6"/>
  <c r="C20" i="6"/>
  <c r="B20" i="6"/>
  <c r="E14" i="6"/>
  <c r="D14" i="6"/>
  <c r="D141" i="6" s="1"/>
  <c r="E13" i="6"/>
  <c r="E140" i="6" s="1"/>
  <c r="D13" i="6"/>
  <c r="D140" i="6" s="1"/>
  <c r="N2" i="6"/>
  <c r="M2" i="6"/>
  <c r="J2" i="6"/>
  <c r="D140" i="5"/>
  <c r="D136" i="5"/>
  <c r="D136" i="6" s="1"/>
  <c r="D131" i="5"/>
  <c r="D130" i="5"/>
  <c r="D130" i="6" s="1"/>
  <c r="D125" i="5"/>
  <c r="D125" i="6" s="1"/>
  <c r="D124" i="5"/>
  <c r="D124" i="6" s="1"/>
  <c r="D119" i="5"/>
  <c r="D119" i="6" s="1"/>
  <c r="B115" i="5"/>
  <c r="D114" i="5"/>
  <c r="B113" i="5"/>
  <c r="B113" i="6" s="1"/>
  <c r="D111" i="5"/>
  <c r="D111" i="6" s="1"/>
  <c r="D106" i="5"/>
  <c r="D105" i="5"/>
  <c r="D105" i="6" s="1"/>
  <c r="D98" i="5"/>
  <c r="D70" i="5"/>
  <c r="D70" i="6" s="1"/>
  <c r="D66" i="5"/>
  <c r="D64" i="5"/>
  <c r="D63" i="5"/>
  <c r="D63" i="6" s="1"/>
  <c r="E63" i="6" s="1"/>
  <c r="D62" i="5"/>
  <c r="D61" i="5"/>
  <c r="D61" i="6" s="1"/>
  <c r="E61" i="6" s="1"/>
  <c r="D60" i="5"/>
  <c r="D59" i="5"/>
  <c r="D59" i="6" s="1"/>
  <c r="E59" i="6" s="1"/>
  <c r="D58" i="5"/>
  <c r="D57" i="5"/>
  <c r="D57" i="6" s="1"/>
  <c r="E57" i="6" s="1"/>
  <c r="D56" i="5"/>
  <c r="D55" i="5"/>
  <c r="D55" i="6" s="1"/>
  <c r="A30" i="5"/>
  <c r="A32" i="5" s="1"/>
  <c r="A41" i="5" s="1"/>
  <c r="A51" i="5" s="1"/>
  <c r="A54" i="5" s="1"/>
  <c r="A66" i="5" s="1"/>
  <c r="A75" i="5" s="1"/>
  <c r="A79" i="5" s="1"/>
  <c r="A83" i="5" s="1"/>
  <c r="A85" i="5" s="1"/>
  <c r="A87" i="5" s="1"/>
  <c r="A89" i="5" s="1"/>
  <c r="A91" i="5" s="1"/>
  <c r="A93" i="5" s="1"/>
  <c r="A94" i="5" s="1"/>
  <c r="A95" i="5" s="1"/>
  <c r="A97" i="5" s="1"/>
  <c r="A103" i="5" s="1"/>
  <c r="A105" i="5" s="1"/>
  <c r="A111" i="5" s="1"/>
  <c r="A118" i="5" s="1"/>
  <c r="A124" i="5" s="1"/>
  <c r="A130" i="5" s="1"/>
  <c r="A136" i="5" s="1"/>
  <c r="D14" i="5"/>
  <c r="D141" i="5" s="1"/>
  <c r="D13" i="5"/>
  <c r="R1" i="5"/>
  <c r="D103" i="5" s="1"/>
  <c r="D103" i="6" s="1"/>
  <c r="Q1" i="5"/>
  <c r="B116" i="5" s="1"/>
  <c r="B116" i="6" s="1"/>
  <c r="N1" i="5"/>
  <c r="A12" i="4"/>
  <c r="A9" i="4"/>
  <c r="E6" i="4"/>
  <c r="D6" i="4"/>
  <c r="C17" i="4" s="1"/>
  <c r="D4" i="4"/>
  <c r="D3" i="4"/>
  <c r="C12" i="11" s="1"/>
  <c r="F78" i="2"/>
  <c r="P77" i="2"/>
  <c r="N77" i="2"/>
  <c r="N78" i="2" s="1"/>
  <c r="L77" i="2"/>
  <c r="J77" i="2"/>
  <c r="H77" i="2"/>
  <c r="F77" i="2"/>
  <c r="N76" i="2"/>
  <c r="J76" i="2"/>
  <c r="J78" i="2" s="1"/>
  <c r="F76" i="2"/>
  <c r="P73" i="2"/>
  <c r="N73" i="2"/>
  <c r="L73" i="2"/>
  <c r="J73" i="2"/>
  <c r="H73" i="2"/>
  <c r="F73" i="2"/>
  <c r="Q70" i="2"/>
  <c r="Q68" i="2"/>
  <c r="Q66" i="2"/>
  <c r="Q63" i="2"/>
  <c r="Q61" i="2"/>
  <c r="Q59" i="2"/>
  <c r="Q57" i="2"/>
  <c r="Q56" i="2"/>
  <c r="Q54" i="2"/>
  <c r="Q51" i="2"/>
  <c r="Q48" i="2"/>
  <c r="Q47" i="2"/>
  <c r="Q44" i="2" s="1"/>
  <c r="Q46" i="2"/>
  <c r="P44" i="2"/>
  <c r="O44" i="2"/>
  <c r="N44" i="2"/>
  <c r="M44" i="2"/>
  <c r="M77" i="2" s="1"/>
  <c r="L44" i="2"/>
  <c r="K44" i="2"/>
  <c r="J44" i="2"/>
  <c r="I44" i="2"/>
  <c r="I77" i="2" s="1"/>
  <c r="H44" i="2"/>
  <c r="G44" i="2"/>
  <c r="F44" i="2"/>
  <c r="O34" i="2"/>
  <c r="M34" i="2"/>
  <c r="K34" i="2"/>
  <c r="I34" i="2"/>
  <c r="G34" i="2"/>
  <c r="Q31" i="2"/>
  <c r="Q29" i="2"/>
  <c r="Q26" i="2"/>
  <c r="Q23" i="2"/>
  <c r="Q21" i="2"/>
  <c r="Q19" i="2"/>
  <c r="Q18" i="2"/>
  <c r="Q17" i="2"/>
  <c r="Q14" i="2"/>
  <c r="P12" i="2"/>
  <c r="O12" i="2"/>
  <c r="O76" i="2" s="1"/>
  <c r="N12" i="2"/>
  <c r="N34" i="2" s="1"/>
  <c r="M12" i="2"/>
  <c r="M76" i="2" s="1"/>
  <c r="L12" i="2"/>
  <c r="K12" i="2"/>
  <c r="K76" i="2" s="1"/>
  <c r="J12" i="2"/>
  <c r="J34" i="2" s="1"/>
  <c r="I12" i="2"/>
  <c r="I76" i="2" s="1"/>
  <c r="H12" i="2"/>
  <c r="G12" i="2"/>
  <c r="G76" i="2" s="1"/>
  <c r="F12" i="2"/>
  <c r="F34" i="2" s="1"/>
  <c r="P2" i="2"/>
  <c r="O2" i="2"/>
  <c r="A1" i="2"/>
  <c r="A103" i="1"/>
  <c r="A100" i="1"/>
  <c r="A94" i="1"/>
  <c r="A91" i="1"/>
  <c r="A88" i="1"/>
  <c r="A85" i="1"/>
  <c r="A82" i="1"/>
  <c r="A79" i="1"/>
  <c r="A76" i="1"/>
  <c r="A73" i="1"/>
  <c r="A70" i="1"/>
  <c r="A67" i="1"/>
  <c r="A64" i="1"/>
  <c r="A61" i="1"/>
  <c r="A58" i="1"/>
  <c r="A55" i="1"/>
  <c r="A52" i="1"/>
  <c r="G278" i="19" l="1"/>
  <c r="G78" i="2"/>
  <c r="Q77" i="2"/>
  <c r="Q73" i="2"/>
  <c r="D97" i="5"/>
  <c r="D97" i="6" s="1"/>
  <c r="D98" i="6"/>
  <c r="E161" i="6"/>
  <c r="D52" i="7"/>
  <c r="D53" i="7" s="1"/>
  <c r="D54" i="7" s="1"/>
  <c r="D55" i="7" s="1"/>
  <c r="K25" i="19"/>
  <c r="G192" i="19"/>
  <c r="I192" i="19" s="1"/>
  <c r="J192" i="19" s="1"/>
  <c r="N105" i="19"/>
  <c r="I164" i="19"/>
  <c r="H237" i="19"/>
  <c r="G119" i="19"/>
  <c r="N118" i="19"/>
  <c r="G326" i="19"/>
  <c r="B133" i="19"/>
  <c r="G455" i="19"/>
  <c r="J150" i="19"/>
  <c r="G349" i="21"/>
  <c r="G173" i="19"/>
  <c r="J97" i="19"/>
  <c r="G398" i="19"/>
  <c r="H76" i="2"/>
  <c r="H78" i="2" s="1"/>
  <c r="H34" i="2"/>
  <c r="P76" i="2"/>
  <c r="P78" i="2" s="1"/>
  <c r="P34" i="2"/>
  <c r="K77" i="2"/>
  <c r="K78" i="2" s="1"/>
  <c r="K73" i="2"/>
  <c r="J27" i="7"/>
  <c r="J28" i="7" s="1"/>
  <c r="C52" i="7"/>
  <c r="B40" i="19"/>
  <c r="B54" i="19"/>
  <c r="B68" i="19"/>
  <c r="B82" i="19"/>
  <c r="B105" i="19"/>
  <c r="K166" i="19"/>
  <c r="K168" i="19" s="1"/>
  <c r="K109" i="19"/>
  <c r="K167" i="19" s="1"/>
  <c r="G312" i="19"/>
  <c r="I312" i="19" s="1"/>
  <c r="J312" i="19" s="1"/>
  <c r="N126" i="19"/>
  <c r="G358" i="19"/>
  <c r="G366" i="19"/>
  <c r="N146" i="19"/>
  <c r="G147" i="19"/>
  <c r="B163" i="19"/>
  <c r="B126" i="19"/>
  <c r="B92" i="19"/>
  <c r="B119" i="19"/>
  <c r="B75" i="19"/>
  <c r="B61" i="19"/>
  <c r="B47" i="19"/>
  <c r="B33" i="19"/>
  <c r="B147" i="19"/>
  <c r="B140" i="19"/>
  <c r="B112" i="19"/>
  <c r="I13" i="19"/>
  <c r="G25" i="19"/>
  <c r="K232" i="19"/>
  <c r="G237" i="19" s="1"/>
  <c r="C261" i="19"/>
  <c r="G41" i="19"/>
  <c r="N41" i="19" s="1"/>
  <c r="H477" i="19"/>
  <c r="L168" i="19"/>
  <c r="G261" i="21"/>
  <c r="G421" i="21"/>
  <c r="L76" i="2"/>
  <c r="L78" i="2" s="1"/>
  <c r="L34" i="2"/>
  <c r="G77" i="2"/>
  <c r="G73" i="2"/>
  <c r="O77" i="2"/>
  <c r="O78" i="2" s="1"/>
  <c r="O73" i="2"/>
  <c r="I78" i="2"/>
  <c r="M78" i="2"/>
  <c r="Q12" i="2"/>
  <c r="E164" i="6"/>
  <c r="E160" i="6"/>
  <c r="E167" i="6"/>
  <c r="E163" i="6"/>
  <c r="E166" i="6"/>
  <c r="E162" i="6"/>
  <c r="L39" i="7"/>
  <c r="L40" i="7" s="1"/>
  <c r="H25" i="19"/>
  <c r="L25" i="19"/>
  <c r="G206" i="19"/>
  <c r="I165" i="19"/>
  <c r="G246" i="19"/>
  <c r="G255" i="19"/>
  <c r="G318" i="19"/>
  <c r="G335" i="19"/>
  <c r="G375" i="19"/>
  <c r="K392" i="19"/>
  <c r="G397" i="19" s="1"/>
  <c r="C421" i="19"/>
  <c r="G69" i="19"/>
  <c r="N69" i="19" s="1"/>
  <c r="G415" i="19"/>
  <c r="G229" i="21"/>
  <c r="G389" i="21"/>
  <c r="G221" i="23"/>
  <c r="K472" i="19"/>
  <c r="G477" i="19" s="1"/>
  <c r="C501" i="19"/>
  <c r="K100" i="21"/>
  <c r="K151" i="21" s="1"/>
  <c r="G309" i="21"/>
  <c r="N123" i="21"/>
  <c r="G124" i="21"/>
  <c r="C85" i="8"/>
  <c r="J84" i="8"/>
  <c r="N19" i="21"/>
  <c r="G95" i="21"/>
  <c r="H15" i="23"/>
  <c r="D47" i="22"/>
  <c r="G281" i="23"/>
  <c r="G341" i="23"/>
  <c r="B76" i="22"/>
  <c r="B87" i="22" s="1"/>
  <c r="B101" i="22" s="1"/>
  <c r="D74" i="22"/>
  <c r="D85" i="22" s="1"/>
  <c r="D99" i="22" s="1"/>
  <c r="D12" i="5"/>
  <c r="D118" i="5"/>
  <c r="D118" i="6" s="1"/>
  <c r="D12" i="6"/>
  <c r="J165" i="19"/>
  <c r="G133" i="19"/>
  <c r="G486" i="19"/>
  <c r="L35" i="20"/>
  <c r="G28" i="20"/>
  <c r="H147" i="21"/>
  <c r="H97" i="21"/>
  <c r="G318" i="21"/>
  <c r="G341" i="21"/>
  <c r="J434" i="21"/>
  <c r="J419" i="21"/>
  <c r="K386" i="21"/>
  <c r="J354" i="21"/>
  <c r="J339" i="21"/>
  <c r="K306" i="21"/>
  <c r="J274" i="21"/>
  <c r="J259" i="21"/>
  <c r="J414" i="21"/>
  <c r="K394" i="21"/>
  <c r="J386" i="21"/>
  <c r="K379" i="21"/>
  <c r="J334" i="21"/>
  <c r="K314" i="21"/>
  <c r="J306" i="21"/>
  <c r="K299" i="21"/>
  <c r="K426" i="21"/>
  <c r="J394" i="21"/>
  <c r="J379" i="21"/>
  <c r="K346" i="21"/>
  <c r="J314" i="21"/>
  <c r="J299" i="21"/>
  <c r="K266" i="21"/>
  <c r="J214" i="21"/>
  <c r="K194" i="21"/>
  <c r="J186" i="21"/>
  <c r="K179" i="21"/>
  <c r="K419" i="21"/>
  <c r="K339" i="21"/>
  <c r="K226" i="21"/>
  <c r="J194" i="21"/>
  <c r="J179" i="21"/>
  <c r="K434" i="21"/>
  <c r="J426" i="21"/>
  <c r="J374" i="21"/>
  <c r="K354" i="21"/>
  <c r="J346" i="21"/>
  <c r="J294" i="21"/>
  <c r="K274" i="21"/>
  <c r="K259" i="21"/>
  <c r="J254" i="21"/>
  <c r="K234" i="21"/>
  <c r="J226" i="21"/>
  <c r="K219" i="21"/>
  <c r="J174" i="21"/>
  <c r="K186" i="21"/>
  <c r="J234" i="21"/>
  <c r="J266" i="21"/>
  <c r="G301" i="21"/>
  <c r="G398" i="21"/>
  <c r="L23" i="21"/>
  <c r="L24" i="21" s="1"/>
  <c r="I98" i="21"/>
  <c r="J219" i="21"/>
  <c r="F27" i="7"/>
  <c r="F28" i="7" s="1"/>
  <c r="G162" i="19"/>
  <c r="H163" i="19"/>
  <c r="H106" i="19"/>
  <c r="G113" i="19"/>
  <c r="G141" i="19"/>
  <c r="G438" i="19"/>
  <c r="E27" i="20"/>
  <c r="J24" i="20"/>
  <c r="J62" i="20"/>
  <c r="C36" i="20"/>
  <c r="B91" i="20"/>
  <c r="G102" i="21"/>
  <c r="N16" i="21"/>
  <c r="G116" i="21"/>
  <c r="N18" i="21"/>
  <c r="G130" i="21"/>
  <c r="N20" i="21"/>
  <c r="I139" i="21"/>
  <c r="I140" i="21" s="1"/>
  <c r="I23" i="21"/>
  <c r="I24" i="21" s="1"/>
  <c r="B55" i="8"/>
  <c r="G50" i="8"/>
  <c r="B51" i="8"/>
  <c r="F57" i="8"/>
  <c r="F58" i="8" s="1"/>
  <c r="G238" i="21"/>
  <c r="G137" i="21"/>
  <c r="G23" i="21"/>
  <c r="N21" i="21"/>
  <c r="B17" i="4"/>
  <c r="I73" i="2"/>
  <c r="M73" i="2"/>
  <c r="B112" i="5"/>
  <c r="B112" i="6" s="1"/>
  <c r="G83" i="19"/>
  <c r="N83" i="19" s="1"/>
  <c r="N104" i="19"/>
  <c r="J108" i="19"/>
  <c r="N154" i="19"/>
  <c r="L34" i="20"/>
  <c r="J27" i="20"/>
  <c r="G221" i="21"/>
  <c r="G278" i="21"/>
  <c r="G358" i="21"/>
  <c r="G381" i="21"/>
  <c r="J140" i="21"/>
  <c r="J141" i="21" s="1"/>
  <c r="J57" i="8"/>
  <c r="J58" i="8" s="1"/>
  <c r="F84" i="8"/>
  <c r="F85" i="8" s="1"/>
  <c r="G109" i="21"/>
  <c r="N17" i="21"/>
  <c r="K141" i="21"/>
  <c r="K142" i="21" s="1"/>
  <c r="K23" i="21"/>
  <c r="K24" i="21" s="1"/>
  <c r="D27" i="20"/>
  <c r="F85" i="20"/>
  <c r="D82" i="8"/>
  <c r="D83" i="8" s="1"/>
  <c r="D84" i="8" s="1"/>
  <c r="D85" i="8" s="1"/>
  <c r="L152" i="21"/>
  <c r="G157" i="21"/>
  <c r="B117" i="21"/>
  <c r="B138" i="21"/>
  <c r="B110" i="21"/>
  <c r="B131" i="21"/>
  <c r="B103" i="21"/>
  <c r="J15" i="21"/>
  <c r="J98" i="21" s="1"/>
  <c r="B96" i="21"/>
  <c r="B124" i="21"/>
  <c r="C50" i="20"/>
  <c r="B52" i="8"/>
  <c r="J54" i="8"/>
  <c r="L67" i="8" s="1"/>
  <c r="L70" i="8" s="1"/>
  <c r="B56" i="8"/>
  <c r="D57" i="8"/>
  <c r="D58" i="8" s="1"/>
  <c r="I13" i="21"/>
  <c r="B39" i="21"/>
  <c r="B53" i="21"/>
  <c r="B67" i="21"/>
  <c r="B147" i="21"/>
  <c r="B83" i="21"/>
  <c r="J88" i="21"/>
  <c r="J86" i="22"/>
  <c r="G90" i="23"/>
  <c r="G245" i="23"/>
  <c r="I245" i="23" s="1"/>
  <c r="J245" i="23" s="1"/>
  <c r="L100" i="23"/>
  <c r="G110" i="23"/>
  <c r="L250" i="9"/>
  <c r="M131" i="9"/>
  <c r="M250" i="9" s="1"/>
  <c r="H47" i="13"/>
  <c r="I34" i="15"/>
  <c r="G191" i="23"/>
  <c r="G251" i="23"/>
  <c r="G311" i="23"/>
  <c r="G371" i="23"/>
  <c r="J87" i="22"/>
  <c r="H17" i="13"/>
  <c r="J18" i="13"/>
  <c r="J17" i="13" s="1"/>
  <c r="J47" i="13" s="1"/>
  <c r="G379" i="23"/>
  <c r="E103" i="22"/>
  <c r="H78" i="22"/>
  <c r="J89" i="22" s="1"/>
  <c r="G120" i="23"/>
  <c r="L22" i="23"/>
  <c r="E48" i="22"/>
  <c r="E49" i="22"/>
  <c r="I16" i="23" s="1"/>
  <c r="I92" i="23" s="1"/>
  <c r="E50" i="22"/>
  <c r="I17" i="23" s="1"/>
  <c r="I97" i="23" s="1"/>
  <c r="E51" i="22"/>
  <c r="I18" i="23" s="1"/>
  <c r="I102" i="23" s="1"/>
  <c r="E52" i="22"/>
  <c r="I19" i="23" s="1"/>
  <c r="I107" i="23" s="1"/>
  <c r="E53" i="22"/>
  <c r="I20" i="23" s="1"/>
  <c r="I112" i="23" s="1"/>
  <c r="E54" i="22"/>
  <c r="I21" i="23" s="1"/>
  <c r="I117" i="23" s="1"/>
  <c r="B116" i="23"/>
  <c r="B106" i="23"/>
  <c r="B96" i="23"/>
  <c r="B86" i="23"/>
  <c r="B128" i="23"/>
  <c r="B63" i="23"/>
  <c r="B53" i="23"/>
  <c r="B43" i="23"/>
  <c r="B121" i="23"/>
  <c r="B111" i="23"/>
  <c r="B101" i="23"/>
  <c r="B91" i="23"/>
  <c r="B75" i="23"/>
  <c r="I13" i="23"/>
  <c r="B48" i="23"/>
  <c r="B68" i="23"/>
  <c r="F48" i="22"/>
  <c r="F49" i="22"/>
  <c r="J16" i="23" s="1"/>
  <c r="J93" i="23" s="1"/>
  <c r="F50" i="22"/>
  <c r="J17" i="23" s="1"/>
  <c r="J98" i="23" s="1"/>
  <c r="F51" i="22"/>
  <c r="J18" i="23" s="1"/>
  <c r="J103" i="23" s="1"/>
  <c r="F52" i="22"/>
  <c r="J19" i="23" s="1"/>
  <c r="J108" i="23" s="1"/>
  <c r="F53" i="22"/>
  <c r="J20" i="23" s="1"/>
  <c r="J113" i="23" s="1"/>
  <c r="F54" i="22"/>
  <c r="J21" i="23" s="1"/>
  <c r="J118" i="23" s="1"/>
  <c r="G24" i="23"/>
  <c r="G25" i="23" s="1"/>
  <c r="G85" i="23"/>
  <c r="G95" i="23"/>
  <c r="L19" i="23"/>
  <c r="G105" i="23"/>
  <c r="G115" i="23"/>
  <c r="C74" i="22"/>
  <c r="C85" i="22" s="1"/>
  <c r="C99" i="22" s="1"/>
  <c r="C101" i="22"/>
  <c r="H100" i="22"/>
  <c r="I78" i="23"/>
  <c r="G136" i="23"/>
  <c r="O123" i="9"/>
  <c r="L17" i="9"/>
  <c r="B46" i="9"/>
  <c r="B55" i="9"/>
  <c r="B64" i="9"/>
  <c r="F54" i="25"/>
  <c r="H54" i="25" s="1"/>
  <c r="I54" i="25" s="1"/>
  <c r="H20" i="25"/>
  <c r="C23" i="25"/>
  <c r="C44" i="25"/>
  <c r="H43" i="25"/>
  <c r="B221" i="9"/>
  <c r="B217" i="9"/>
  <c r="B210" i="9"/>
  <c r="B206" i="9"/>
  <c r="B201" i="9"/>
  <c r="B196" i="9"/>
  <c r="B192" i="9"/>
  <c r="B187" i="9"/>
  <c r="B183" i="9"/>
  <c r="B178" i="9"/>
  <c r="B174" i="9"/>
  <c r="B169" i="9"/>
  <c r="B164" i="9"/>
  <c r="B222" i="9"/>
  <c r="B218" i="9"/>
  <c r="B211" i="9"/>
  <c r="B207" i="9"/>
  <c r="B202" i="9"/>
  <c r="B198" i="9"/>
  <c r="B193" i="9"/>
  <c r="B188" i="9"/>
  <c r="B184" i="9"/>
  <c r="B179" i="9"/>
  <c r="B175" i="9"/>
  <c r="B170" i="9"/>
  <c r="B166" i="9"/>
  <c r="B219" i="9"/>
  <c r="B212" i="9"/>
  <c r="B208" i="9"/>
  <c r="B203" i="9"/>
  <c r="B199" i="9"/>
  <c r="B194" i="9"/>
  <c r="B190" i="9"/>
  <c r="B185" i="9"/>
  <c r="B180" i="9"/>
  <c r="B176" i="9"/>
  <c r="B220" i="9"/>
  <c r="B177" i="9"/>
  <c r="B171" i="9"/>
  <c r="B163" i="9"/>
  <c r="B160" i="9"/>
  <c r="B155" i="9"/>
  <c r="B151" i="9"/>
  <c r="B146" i="9"/>
  <c r="B142" i="9"/>
  <c r="B137" i="9"/>
  <c r="B126" i="9"/>
  <c r="B122" i="9"/>
  <c r="B116" i="9"/>
  <c r="B114" i="9"/>
  <c r="B112" i="9"/>
  <c r="B110" i="9"/>
  <c r="B107" i="9"/>
  <c r="B105" i="9"/>
  <c r="B103" i="9"/>
  <c r="B100" i="9"/>
  <c r="B98" i="9"/>
  <c r="B96" i="9"/>
  <c r="B94" i="9"/>
  <c r="B91" i="9"/>
  <c r="B89" i="9"/>
  <c r="B87" i="9"/>
  <c r="B84" i="9"/>
  <c r="B82" i="9"/>
  <c r="B80" i="9"/>
  <c r="B78" i="9"/>
  <c r="B75" i="9"/>
  <c r="B200" i="9"/>
  <c r="B195" i="9"/>
  <c r="B186" i="9"/>
  <c r="B182" i="9"/>
  <c r="B172" i="9"/>
  <c r="B161" i="9"/>
  <c r="B156" i="9"/>
  <c r="B152" i="9"/>
  <c r="B147" i="9"/>
  <c r="B143" i="9"/>
  <c r="B138" i="9"/>
  <c r="B134" i="9"/>
  <c r="B123" i="9"/>
  <c r="B204" i="9"/>
  <c r="B191" i="9"/>
  <c r="B167" i="9"/>
  <c r="B162" i="9"/>
  <c r="B158" i="9"/>
  <c r="B153" i="9"/>
  <c r="B148" i="9"/>
  <c r="B144" i="9"/>
  <c r="B139" i="9"/>
  <c r="B135" i="9"/>
  <c r="B124" i="9"/>
  <c r="B120" i="9"/>
  <c r="B115" i="9"/>
  <c r="B113" i="9"/>
  <c r="B111" i="9"/>
  <c r="B108" i="9"/>
  <c r="B106" i="9"/>
  <c r="B104" i="9"/>
  <c r="B102" i="9"/>
  <c r="B99" i="9"/>
  <c r="B97" i="9"/>
  <c r="B95" i="9"/>
  <c r="B92" i="9"/>
  <c r="B90" i="9"/>
  <c r="B88" i="9"/>
  <c r="B86" i="9"/>
  <c r="B83" i="9"/>
  <c r="B81" i="9"/>
  <c r="B79" i="9"/>
  <c r="B76" i="9"/>
  <c r="B154" i="9"/>
  <c r="B140" i="9"/>
  <c r="B125" i="9"/>
  <c r="B216" i="9"/>
  <c r="B209" i="9"/>
  <c r="B159" i="9"/>
  <c r="B74" i="9"/>
  <c r="B72" i="9"/>
  <c r="B70" i="9"/>
  <c r="B67" i="9"/>
  <c r="B65" i="9"/>
  <c r="B63" i="9"/>
  <c r="B60" i="9"/>
  <c r="B58" i="9"/>
  <c r="B56" i="9"/>
  <c r="B54" i="9"/>
  <c r="B51" i="9"/>
  <c r="B49" i="9"/>
  <c r="B47" i="9"/>
  <c r="B44" i="9"/>
  <c r="B42" i="9"/>
  <c r="B40" i="9"/>
  <c r="B38" i="9"/>
  <c r="B145" i="9"/>
  <c r="B121" i="9"/>
  <c r="M17" i="9"/>
  <c r="B43" i="9"/>
  <c r="B52" i="9"/>
  <c r="B62" i="9"/>
  <c r="B71" i="9"/>
  <c r="B150" i="9"/>
  <c r="B168" i="9"/>
  <c r="B41" i="9"/>
  <c r="B50" i="9"/>
  <c r="B59" i="9"/>
  <c r="B68" i="9"/>
  <c r="B136" i="9"/>
  <c r="D23" i="25"/>
  <c r="O121" i="9"/>
  <c r="O125" i="9"/>
  <c r="I136" i="9"/>
  <c r="M217" i="9"/>
  <c r="M136" i="9"/>
  <c r="I143" i="9"/>
  <c r="O142" i="9"/>
  <c r="O150" i="9"/>
  <c r="O168" i="9"/>
  <c r="I169" i="9"/>
  <c r="I184" i="9"/>
  <c r="O183" i="9"/>
  <c r="D18" i="25"/>
  <c r="D29" i="25" s="1"/>
  <c r="D42" i="25" s="1"/>
  <c r="E23" i="25"/>
  <c r="E24" i="25" s="1"/>
  <c r="E46" i="25"/>
  <c r="J216" i="9"/>
  <c r="J135" i="9"/>
  <c r="O134" i="9"/>
  <c r="I152" i="9"/>
  <c r="O151" i="9"/>
  <c r="I161" i="9"/>
  <c r="O160" i="9"/>
  <c r="O166" i="9"/>
  <c r="E7" i="25"/>
  <c r="O120" i="9"/>
  <c r="O122" i="9"/>
  <c r="O124" i="9"/>
  <c r="O126" i="9"/>
  <c r="K217" i="9"/>
  <c r="K136" i="9"/>
  <c r="K216" i="9"/>
  <c r="L135" i="9"/>
  <c r="I193" i="9"/>
  <c r="O192" i="9"/>
  <c r="H40" i="11"/>
  <c r="E136" i="6" s="1"/>
  <c r="J159" i="9"/>
  <c r="J160" i="9" s="1"/>
  <c r="J161" i="9" s="1"/>
  <c r="J162" i="9" s="1"/>
  <c r="J163" i="9" s="1"/>
  <c r="J164" i="9" s="1"/>
  <c r="I175" i="9"/>
  <c r="O174" i="9"/>
  <c r="O191" i="9"/>
  <c r="O199" i="9"/>
  <c r="I200" i="9"/>
  <c r="I216" i="9"/>
  <c r="M216" i="9"/>
  <c r="O167" i="9"/>
  <c r="O198" i="9"/>
  <c r="I207" i="9"/>
  <c r="O206" i="9"/>
  <c r="O200" i="9" l="1"/>
  <c r="I201" i="9"/>
  <c r="I176" i="9"/>
  <c r="O175" i="9"/>
  <c r="I194" i="9"/>
  <c r="O193" i="9"/>
  <c r="K218" i="9"/>
  <c r="K137" i="9"/>
  <c r="I170" i="9"/>
  <c r="O169" i="9"/>
  <c r="I144" i="9"/>
  <c r="O143" i="9"/>
  <c r="I217" i="9"/>
  <c r="H44" i="25"/>
  <c r="G229" i="23"/>
  <c r="G365" i="23"/>
  <c r="I365" i="23" s="1"/>
  <c r="J365" i="23" s="1"/>
  <c r="L120" i="23"/>
  <c r="G185" i="23"/>
  <c r="I185" i="23" s="1"/>
  <c r="J185" i="23" s="1"/>
  <c r="L90" i="23"/>
  <c r="G110" i="21"/>
  <c r="N109" i="21"/>
  <c r="G438" i="21"/>
  <c r="C221" i="19"/>
  <c r="G34" i="19"/>
  <c r="K192" i="19"/>
  <c r="G197" i="19" s="1"/>
  <c r="L217" i="9"/>
  <c r="L136" i="9"/>
  <c r="I162" i="9"/>
  <c r="O161" i="9"/>
  <c r="J217" i="9"/>
  <c r="J136" i="9"/>
  <c r="M218" i="9"/>
  <c r="M137" i="9"/>
  <c r="O135" i="9"/>
  <c r="L21" i="23"/>
  <c r="L17" i="23"/>
  <c r="F47" i="22"/>
  <c r="J15" i="23"/>
  <c r="G319" i="23"/>
  <c r="G199" i="23"/>
  <c r="L18" i="23"/>
  <c r="H79" i="22"/>
  <c r="H80" i="22" s="1"/>
  <c r="C51" i="20"/>
  <c r="J50" i="20"/>
  <c r="G215" i="19"/>
  <c r="J166" i="19"/>
  <c r="J168" i="19" s="1"/>
  <c r="G429" i="21"/>
  <c r="N116" i="21"/>
  <c r="G117" i="21"/>
  <c r="J36" i="20"/>
  <c r="N141" i="19"/>
  <c r="N113" i="19"/>
  <c r="H148" i="21"/>
  <c r="G181" i="21"/>
  <c r="N95" i="21"/>
  <c r="G146" i="21"/>
  <c r="N146" i="21" s="1"/>
  <c r="G96" i="21"/>
  <c r="J85" i="8"/>
  <c r="H318" i="19"/>
  <c r="I318" i="19" s="1"/>
  <c r="B164" i="19"/>
  <c r="B127" i="19"/>
  <c r="B120" i="19"/>
  <c r="B83" i="19"/>
  <c r="B69" i="19"/>
  <c r="B55" i="19"/>
  <c r="B41" i="19"/>
  <c r="J13" i="19"/>
  <c r="B141" i="19"/>
  <c r="B113" i="19"/>
  <c r="B93" i="19"/>
  <c r="B134" i="19"/>
  <c r="B76" i="19"/>
  <c r="B62" i="19"/>
  <c r="B48" i="19"/>
  <c r="B34" i="19"/>
  <c r="B148" i="19"/>
  <c r="B106" i="19"/>
  <c r="B155" i="19"/>
  <c r="H397" i="19"/>
  <c r="H399" i="19" s="1"/>
  <c r="I398" i="19"/>
  <c r="H398" i="19"/>
  <c r="G272" i="19"/>
  <c r="I272" i="19" s="1"/>
  <c r="J272" i="19" s="1"/>
  <c r="N119" i="19"/>
  <c r="N163" i="19" s="1"/>
  <c r="G163" i="19"/>
  <c r="J54" i="25"/>
  <c r="C32" i="25"/>
  <c r="C45" i="25" s="1"/>
  <c r="B66" i="25"/>
  <c r="G349" i="23"/>
  <c r="B118" i="21"/>
  <c r="B139" i="21"/>
  <c r="B111" i="21"/>
  <c r="B132" i="21"/>
  <c r="B104" i="21"/>
  <c r="B148" i="21"/>
  <c r="J13" i="21"/>
  <c r="B125" i="21"/>
  <c r="B97" i="21"/>
  <c r="B75" i="21"/>
  <c r="B61" i="21"/>
  <c r="B47" i="21"/>
  <c r="B33" i="21"/>
  <c r="B84" i="21"/>
  <c r="B68" i="21"/>
  <c r="B54" i="21"/>
  <c r="B40" i="21"/>
  <c r="G352" i="19"/>
  <c r="I352" i="19" s="1"/>
  <c r="J352" i="19" s="1"/>
  <c r="N133" i="19"/>
  <c r="D139" i="5"/>
  <c r="B133" i="5"/>
  <c r="B133" i="6" s="1"/>
  <c r="B126" i="5"/>
  <c r="B126" i="6" s="1"/>
  <c r="B108" i="5"/>
  <c r="B108" i="6" s="1"/>
  <c r="B101" i="5"/>
  <c r="B101" i="6" s="1"/>
  <c r="B98" i="5"/>
  <c r="B98" i="6" s="1"/>
  <c r="B132" i="5"/>
  <c r="B132" i="6" s="1"/>
  <c r="B122" i="5"/>
  <c r="B122" i="6" s="1"/>
  <c r="B119" i="5"/>
  <c r="B119" i="6" s="1"/>
  <c r="B107" i="5"/>
  <c r="B107" i="6" s="1"/>
  <c r="B100" i="5"/>
  <c r="B100" i="6" s="1"/>
  <c r="B128" i="5"/>
  <c r="B128" i="6" s="1"/>
  <c r="B125" i="5"/>
  <c r="B125" i="6" s="1"/>
  <c r="B121" i="5"/>
  <c r="B121" i="6" s="1"/>
  <c r="B99" i="5"/>
  <c r="B99" i="6" s="1"/>
  <c r="B134" i="5"/>
  <c r="B134" i="6" s="1"/>
  <c r="B131" i="5"/>
  <c r="B131" i="6" s="1"/>
  <c r="B109" i="5"/>
  <c r="B109" i="6" s="1"/>
  <c r="D52" i="5"/>
  <c r="D52" i="6" s="1"/>
  <c r="E52" i="6" s="1"/>
  <c r="B120" i="5"/>
  <c r="B120" i="6" s="1"/>
  <c r="B127" i="5"/>
  <c r="B127" i="6" s="1"/>
  <c r="B106" i="5"/>
  <c r="B106" i="6" s="1"/>
  <c r="H86" i="23"/>
  <c r="H24" i="23"/>
  <c r="H25" i="23" s="1"/>
  <c r="G399" i="19"/>
  <c r="I397" i="19"/>
  <c r="Q76" i="2"/>
  <c r="Q78" i="2" s="1"/>
  <c r="Q34" i="2"/>
  <c r="G432" i="19"/>
  <c r="I432" i="19" s="1"/>
  <c r="J432" i="19" s="1"/>
  <c r="N147" i="19"/>
  <c r="J52" i="7"/>
  <c r="C53" i="7"/>
  <c r="G335" i="23"/>
  <c r="I335" i="23" s="1"/>
  <c r="J335" i="23" s="1"/>
  <c r="L115" i="23"/>
  <c r="G215" i="23"/>
  <c r="I215" i="23" s="1"/>
  <c r="J215" i="23" s="1"/>
  <c r="L95" i="23"/>
  <c r="B117" i="23"/>
  <c r="B107" i="23"/>
  <c r="B97" i="23"/>
  <c r="B87" i="23"/>
  <c r="B69" i="23"/>
  <c r="B59" i="23"/>
  <c r="B49" i="23"/>
  <c r="B39" i="23"/>
  <c r="B129" i="23"/>
  <c r="B122" i="23"/>
  <c r="B112" i="23"/>
  <c r="B102" i="23"/>
  <c r="B92" i="23"/>
  <c r="B64" i="23"/>
  <c r="B54" i="23"/>
  <c r="B44" i="23"/>
  <c r="B34" i="23"/>
  <c r="B76" i="23"/>
  <c r="J13" i="23"/>
  <c r="G289" i="23"/>
  <c r="I15" i="23"/>
  <c r="E47" i="22"/>
  <c r="H251" i="23"/>
  <c r="I251" i="23" s="1"/>
  <c r="L20" i="23"/>
  <c r="C265" i="23"/>
  <c r="K245" i="23"/>
  <c r="G250" i="23" s="1"/>
  <c r="G48" i="23"/>
  <c r="J90" i="22"/>
  <c r="J99" i="21"/>
  <c r="J149" i="21"/>
  <c r="N162" i="19"/>
  <c r="G24" i="21"/>
  <c r="J83" i="8"/>
  <c r="F67" i="20"/>
  <c r="G67" i="20"/>
  <c r="H164" i="19"/>
  <c r="G198" i="19"/>
  <c r="D139" i="6"/>
  <c r="B169" i="6" s="1"/>
  <c r="E12" i="6"/>
  <c r="E139" i="6" s="1"/>
  <c r="H24" i="21"/>
  <c r="G479" i="19"/>
  <c r="I477" i="19"/>
  <c r="H478" i="19"/>
  <c r="I478" i="19" s="1"/>
  <c r="H238" i="19"/>
  <c r="I238" i="19" s="1"/>
  <c r="H479" i="19"/>
  <c r="E18" i="25"/>
  <c r="E29" i="25" s="1"/>
  <c r="E42" i="25" s="1"/>
  <c r="B21" i="25"/>
  <c r="B32" i="25" s="1"/>
  <c r="B45" i="25" s="1"/>
  <c r="F7" i="25"/>
  <c r="I208" i="9"/>
  <c r="O207" i="9"/>
  <c r="O216" i="9"/>
  <c r="O159" i="9"/>
  <c r="I153" i="9"/>
  <c r="O152" i="9"/>
  <c r="I185" i="9"/>
  <c r="O184" i="9"/>
  <c r="I218" i="9"/>
  <c r="O136" i="9"/>
  <c r="I137" i="9"/>
  <c r="J31" i="25"/>
  <c r="H23" i="25"/>
  <c r="C102" i="22"/>
  <c r="H101" i="22"/>
  <c r="L105" i="23"/>
  <c r="G275" i="23"/>
  <c r="I275" i="23" s="1"/>
  <c r="J275" i="23" s="1"/>
  <c r="L85" i="23"/>
  <c r="G155" i="23"/>
  <c r="I155" i="23" s="1"/>
  <c r="J155" i="23" s="1"/>
  <c r="G127" i="23"/>
  <c r="L127" i="23" s="1"/>
  <c r="G259" i="23"/>
  <c r="G305" i="23"/>
  <c r="I305" i="23" s="1"/>
  <c r="J305" i="23" s="1"/>
  <c r="L110" i="23"/>
  <c r="L16" i="23"/>
  <c r="J23" i="21"/>
  <c r="J24" i="21" s="1"/>
  <c r="G68" i="20"/>
  <c r="H68" i="20" s="1"/>
  <c r="G138" i="21"/>
  <c r="N137" i="21"/>
  <c r="J82" i="8"/>
  <c r="G131" i="21"/>
  <c r="N130" i="21"/>
  <c r="G103" i="21"/>
  <c r="N102" i="21"/>
  <c r="G189" i="21"/>
  <c r="I149" i="21"/>
  <c r="G155" i="19"/>
  <c r="N124" i="21"/>
  <c r="G335" i="21"/>
  <c r="I335" i="21" s="1"/>
  <c r="J335" i="21" s="1"/>
  <c r="K150" i="21"/>
  <c r="K152" i="21" s="1"/>
  <c r="I148" i="21"/>
  <c r="N15" i="21"/>
  <c r="E159" i="6"/>
  <c r="E158" i="6" s="1"/>
  <c r="E157" i="6" s="1"/>
  <c r="G239" i="19"/>
  <c r="I237" i="19"/>
  <c r="K312" i="19"/>
  <c r="G317" i="19" s="1"/>
  <c r="C341" i="19"/>
  <c r="G55" i="19"/>
  <c r="N25" i="19"/>
  <c r="J25" i="19"/>
  <c r="H45" i="25" l="1"/>
  <c r="C54" i="7"/>
  <c r="J53" i="7"/>
  <c r="C461" i="19"/>
  <c r="K432" i="19"/>
  <c r="G76" i="19"/>
  <c r="G127" i="19"/>
  <c r="N55" i="19"/>
  <c r="K335" i="21"/>
  <c r="C364" i="21"/>
  <c r="G61" i="21"/>
  <c r="G215" i="21"/>
  <c r="I215" i="21" s="1"/>
  <c r="J215" i="21" s="1"/>
  <c r="N103" i="21"/>
  <c r="C325" i="23"/>
  <c r="K305" i="23"/>
  <c r="G58" i="23"/>
  <c r="G33" i="23"/>
  <c r="C175" i="23"/>
  <c r="K155" i="23"/>
  <c r="G160" i="23" s="1"/>
  <c r="B22" i="25"/>
  <c r="B33" i="25" s="1"/>
  <c r="B46" i="25" s="1"/>
  <c r="F18" i="25"/>
  <c r="F29" i="25" s="1"/>
  <c r="F42" i="25" s="1"/>
  <c r="N23" i="21"/>
  <c r="N24" i="21" s="1"/>
  <c r="G252" i="23"/>
  <c r="F59" i="25"/>
  <c r="G60" i="25"/>
  <c r="H60" i="25" s="1"/>
  <c r="G59" i="25"/>
  <c r="L36" i="20"/>
  <c r="O162" i="9"/>
  <c r="I163" i="9"/>
  <c r="N34" i="19"/>
  <c r="G106" i="19"/>
  <c r="O144" i="9"/>
  <c r="I145" i="9"/>
  <c r="O176" i="9"/>
  <c r="I177" i="9"/>
  <c r="G53" i="23"/>
  <c r="C295" i="23"/>
  <c r="K275" i="23"/>
  <c r="O208" i="9"/>
  <c r="I209" i="9"/>
  <c r="H198" i="19"/>
  <c r="I198" i="19" s="1"/>
  <c r="H197" i="19"/>
  <c r="L48" i="23"/>
  <c r="G101" i="23"/>
  <c r="M219" i="9"/>
  <c r="M138" i="9"/>
  <c r="K219" i="9"/>
  <c r="K138" i="9"/>
  <c r="G415" i="21"/>
  <c r="I415" i="21" s="1"/>
  <c r="J415" i="21" s="1"/>
  <c r="N138" i="21"/>
  <c r="I138" i="9"/>
  <c r="O185" i="9"/>
  <c r="I186" i="9"/>
  <c r="G69" i="20"/>
  <c r="J150" i="21"/>
  <c r="J152" i="21" s="1"/>
  <c r="G198" i="21"/>
  <c r="H250" i="23"/>
  <c r="H252" i="23" s="1"/>
  <c r="B130" i="23"/>
  <c r="B70" i="23"/>
  <c r="B60" i="23"/>
  <c r="B50" i="23"/>
  <c r="B40" i="23"/>
  <c r="B123" i="23"/>
  <c r="B113" i="23"/>
  <c r="B103" i="23"/>
  <c r="B93" i="23"/>
  <c r="B65" i="23"/>
  <c r="B55" i="23"/>
  <c r="B45" i="23"/>
  <c r="B35" i="23"/>
  <c r="B118" i="23"/>
  <c r="B98" i="23"/>
  <c r="B108" i="23"/>
  <c r="B88" i="23"/>
  <c r="B77" i="23"/>
  <c r="C355" i="23"/>
  <c r="G63" i="23"/>
  <c r="K335" i="23"/>
  <c r="K397" i="19"/>
  <c r="I399" i="19"/>
  <c r="J399" i="19" s="1"/>
  <c r="K398" i="19" s="1"/>
  <c r="G161" i="23"/>
  <c r="H128" i="23"/>
  <c r="B140" i="21"/>
  <c r="B112" i="21"/>
  <c r="B133" i="21"/>
  <c r="B105" i="21"/>
  <c r="B149" i="21"/>
  <c r="B126" i="21"/>
  <c r="B98" i="21"/>
  <c r="B69" i="21"/>
  <c r="B55" i="21"/>
  <c r="B41" i="21"/>
  <c r="B119" i="21"/>
  <c r="B76" i="21"/>
  <c r="B62" i="21"/>
  <c r="B48" i="21"/>
  <c r="B34" i="21"/>
  <c r="K13" i="21"/>
  <c r="B85" i="21"/>
  <c r="C301" i="19"/>
  <c r="K272" i="19"/>
  <c r="G48" i="19"/>
  <c r="G93" i="19" s="1"/>
  <c r="H317" i="19"/>
  <c r="H319" i="19" s="1"/>
  <c r="J137" i="9"/>
  <c r="J218" i="9"/>
  <c r="O218" i="9" s="1"/>
  <c r="L218" i="9"/>
  <c r="L137" i="9"/>
  <c r="K365" i="23"/>
  <c r="C385" i="23"/>
  <c r="G68" i="23"/>
  <c r="I202" i="9"/>
  <c r="O201" i="9"/>
  <c r="K237" i="19"/>
  <c r="N237" i="19" s="1"/>
  <c r="I239" i="19"/>
  <c r="J239" i="19" s="1"/>
  <c r="K238" i="19" s="1"/>
  <c r="O153" i="9"/>
  <c r="I154" i="9"/>
  <c r="C381" i="19"/>
  <c r="K352" i="19"/>
  <c r="G62" i="19"/>
  <c r="H32" i="25"/>
  <c r="B165" i="19"/>
  <c r="B121" i="19"/>
  <c r="B77" i="19"/>
  <c r="B63" i="19"/>
  <c r="B49" i="19"/>
  <c r="B35" i="19"/>
  <c r="K13" i="19"/>
  <c r="B114" i="19"/>
  <c r="B149" i="19"/>
  <c r="B142" i="19"/>
  <c r="B135" i="19"/>
  <c r="B107" i="19"/>
  <c r="B84" i="19"/>
  <c r="B70" i="19"/>
  <c r="B56" i="19"/>
  <c r="B42" i="19"/>
  <c r="B156" i="19"/>
  <c r="B128" i="19"/>
  <c r="B94" i="19"/>
  <c r="J51" i="20"/>
  <c r="I197" i="19"/>
  <c r="G199" i="19"/>
  <c r="G255" i="21"/>
  <c r="I255" i="21" s="1"/>
  <c r="J255" i="21" s="1"/>
  <c r="N110" i="21"/>
  <c r="G319" i="19"/>
  <c r="I317" i="19"/>
  <c r="N155" i="19"/>
  <c r="G375" i="21"/>
  <c r="I375" i="21" s="1"/>
  <c r="J375" i="21" s="1"/>
  <c r="N131" i="21"/>
  <c r="C103" i="22"/>
  <c r="H103" i="22" s="1"/>
  <c r="H102" i="22"/>
  <c r="K477" i="19"/>
  <c r="N477" i="19" s="1"/>
  <c r="I479" i="19"/>
  <c r="J479" i="19" s="1"/>
  <c r="K478" i="19" s="1"/>
  <c r="F69" i="20"/>
  <c r="H67" i="20"/>
  <c r="I87" i="23"/>
  <c r="I24" i="23"/>
  <c r="I25" i="23" s="1"/>
  <c r="L15" i="23"/>
  <c r="L24" i="23" s="1"/>
  <c r="L25" i="23" s="1"/>
  <c r="G43" i="23"/>
  <c r="K215" i="23"/>
  <c r="C235" i="23"/>
  <c r="G175" i="21"/>
  <c r="I175" i="21" s="1"/>
  <c r="J175" i="21" s="1"/>
  <c r="N96" i="21"/>
  <c r="G147" i="21"/>
  <c r="N147" i="21" s="1"/>
  <c r="G295" i="21"/>
  <c r="I295" i="21" s="1"/>
  <c r="J295" i="21" s="1"/>
  <c r="N117" i="21"/>
  <c r="J88" i="23"/>
  <c r="J130" i="23" s="1"/>
  <c r="J24" i="23"/>
  <c r="J25" i="23" s="1"/>
  <c r="H239" i="19"/>
  <c r="K185" i="23"/>
  <c r="C205" i="23"/>
  <c r="G38" i="23"/>
  <c r="O217" i="9"/>
  <c r="I171" i="9"/>
  <c r="O170" i="9"/>
  <c r="O194" i="9"/>
  <c r="I195" i="9"/>
  <c r="G484" i="19" l="1"/>
  <c r="L398" i="19"/>
  <c r="H70" i="19" s="1"/>
  <c r="H142" i="19" s="1"/>
  <c r="N398" i="19"/>
  <c r="G405" i="19" s="1"/>
  <c r="L238" i="19"/>
  <c r="H42" i="19" s="1"/>
  <c r="H114" i="19" s="1"/>
  <c r="N238" i="19"/>
  <c r="G245" i="19" s="1"/>
  <c r="L478" i="19"/>
  <c r="H84" i="19" s="1"/>
  <c r="H156" i="19" s="1"/>
  <c r="N478" i="19"/>
  <c r="G485" i="19" s="1"/>
  <c r="G244" i="19"/>
  <c r="N239" i="19"/>
  <c r="O171" i="9"/>
  <c r="I172" i="9"/>
  <c r="O172" i="9" s="1"/>
  <c r="G190" i="23"/>
  <c r="H191" i="23"/>
  <c r="I191" i="23" s="1"/>
  <c r="H190" i="23"/>
  <c r="G220" i="23"/>
  <c r="H221" i="23"/>
  <c r="I221" i="23" s="1"/>
  <c r="H220" i="23"/>
  <c r="H222" i="23" s="1"/>
  <c r="G169" i="23"/>
  <c r="I129" i="23"/>
  <c r="I131" i="23" s="1"/>
  <c r="B157" i="19"/>
  <c r="B150" i="19"/>
  <c r="B166" i="19"/>
  <c r="B136" i="19"/>
  <c r="B108" i="19"/>
  <c r="B78" i="19"/>
  <c r="B64" i="19"/>
  <c r="B50" i="19"/>
  <c r="B36" i="19"/>
  <c r="B143" i="19"/>
  <c r="B129" i="19"/>
  <c r="B122" i="19"/>
  <c r="B85" i="19"/>
  <c r="B71" i="19"/>
  <c r="B57" i="19"/>
  <c r="B43" i="19"/>
  <c r="B115" i="19"/>
  <c r="B95" i="19"/>
  <c r="L13" i="19"/>
  <c r="J32" i="25"/>
  <c r="O154" i="9"/>
  <c r="I155" i="9"/>
  <c r="L219" i="9"/>
  <c r="L138" i="9"/>
  <c r="K399" i="19"/>
  <c r="C422" i="19" s="1"/>
  <c r="L397" i="19"/>
  <c r="G70" i="19" s="1"/>
  <c r="O137" i="9"/>
  <c r="M220" i="9"/>
  <c r="M139" i="9"/>
  <c r="L101" i="23"/>
  <c r="O145" i="9"/>
  <c r="I146" i="9"/>
  <c r="G75" i="23"/>
  <c r="L33" i="23"/>
  <c r="G86" i="23"/>
  <c r="N76" i="19"/>
  <c r="N93" i="19" s="1"/>
  <c r="G148" i="19"/>
  <c r="C55" i="7"/>
  <c r="J55" i="7" s="1"/>
  <c r="J54" i="7"/>
  <c r="O195" i="9"/>
  <c r="I196" i="9"/>
  <c r="O196" i="9" s="1"/>
  <c r="L43" i="23"/>
  <c r="G96" i="23"/>
  <c r="J67" i="20"/>
  <c r="M67" i="20" s="1"/>
  <c r="H69" i="20"/>
  <c r="I69" i="20" s="1"/>
  <c r="I199" i="19"/>
  <c r="J199" i="19" s="1"/>
  <c r="K197" i="19" s="1"/>
  <c r="N62" i="19"/>
  <c r="G134" i="19"/>
  <c r="G277" i="19"/>
  <c r="H277" i="19"/>
  <c r="H278" i="19"/>
  <c r="I278" i="19" s="1"/>
  <c r="N397" i="19"/>
  <c r="I220" i="9"/>
  <c r="I139" i="9"/>
  <c r="O209" i="9"/>
  <c r="I210" i="9"/>
  <c r="L53" i="23"/>
  <c r="G106" i="23"/>
  <c r="O163" i="9"/>
  <c r="I164" i="9"/>
  <c r="O164" i="9" s="1"/>
  <c r="H59" i="25"/>
  <c r="F61" i="25"/>
  <c r="L58" i="23"/>
  <c r="G111" i="23"/>
  <c r="C244" i="21"/>
  <c r="G40" i="21"/>
  <c r="K215" i="21"/>
  <c r="G340" i="21"/>
  <c r="H340" i="21"/>
  <c r="H341" i="21"/>
  <c r="I341" i="21" s="1"/>
  <c r="G437" i="19"/>
  <c r="H438" i="19"/>
  <c r="I438" i="19" s="1"/>
  <c r="H437" i="19"/>
  <c r="K375" i="21"/>
  <c r="C404" i="21"/>
  <c r="G68" i="21"/>
  <c r="K415" i="21"/>
  <c r="C444" i="21"/>
  <c r="G75" i="21"/>
  <c r="K295" i="21"/>
  <c r="C324" i="21"/>
  <c r="G54" i="21"/>
  <c r="G357" i="19"/>
  <c r="H357" i="19"/>
  <c r="H359" i="19" s="1"/>
  <c r="H358" i="19"/>
  <c r="I358" i="19" s="1"/>
  <c r="G370" i="23"/>
  <c r="H370" i="23"/>
  <c r="H371" i="23"/>
  <c r="I371" i="23" s="1"/>
  <c r="H161" i="23"/>
  <c r="I161" i="23" s="1"/>
  <c r="H160" i="23"/>
  <c r="H162" i="23" s="1"/>
  <c r="G340" i="23"/>
  <c r="H341" i="23"/>
  <c r="I341" i="23" s="1"/>
  <c r="H340" i="23"/>
  <c r="H342" i="23" s="1"/>
  <c r="O186" i="9"/>
  <c r="I187" i="9"/>
  <c r="I219" i="9"/>
  <c r="K220" i="9"/>
  <c r="K139" i="9"/>
  <c r="O177" i="9"/>
  <c r="I178" i="9"/>
  <c r="N106" i="19"/>
  <c r="I160" i="23"/>
  <c r="G162" i="23"/>
  <c r="G310" i="23"/>
  <c r="H310" i="23"/>
  <c r="H311" i="23"/>
  <c r="I311" i="23" s="1"/>
  <c r="K479" i="19"/>
  <c r="C502" i="19" s="1"/>
  <c r="L477" i="19"/>
  <c r="G84" i="19" s="1"/>
  <c r="K239" i="19"/>
  <c r="C262" i="19" s="1"/>
  <c r="L237" i="19"/>
  <c r="G42" i="19" s="1"/>
  <c r="L68" i="23"/>
  <c r="G121" i="23"/>
  <c r="N48" i="19"/>
  <c r="G120" i="19"/>
  <c r="B150" i="21"/>
  <c r="B127" i="21"/>
  <c r="B99" i="21"/>
  <c r="B120" i="21"/>
  <c r="B141" i="21"/>
  <c r="B113" i="21"/>
  <c r="B70" i="21"/>
  <c r="B56" i="21"/>
  <c r="B42" i="21"/>
  <c r="B134" i="21"/>
  <c r="B106" i="21"/>
  <c r="B77" i="21"/>
  <c r="B63" i="21"/>
  <c r="B49" i="21"/>
  <c r="B35" i="21"/>
  <c r="L13" i="21"/>
  <c r="B86" i="21"/>
  <c r="L38" i="23"/>
  <c r="G91" i="23"/>
  <c r="K175" i="21"/>
  <c r="C204" i="21"/>
  <c r="G33" i="21"/>
  <c r="K317" i="19"/>
  <c r="I319" i="19"/>
  <c r="J319" i="19" s="1"/>
  <c r="K255" i="21"/>
  <c r="C284" i="21"/>
  <c r="G47" i="21"/>
  <c r="I203" i="9"/>
  <c r="O202" i="9"/>
  <c r="J219" i="9"/>
  <c r="J138" i="9"/>
  <c r="L63" i="23"/>
  <c r="G116" i="23"/>
  <c r="H199" i="19"/>
  <c r="G280" i="23"/>
  <c r="H280" i="23"/>
  <c r="H281" i="23"/>
  <c r="I281" i="23" s="1"/>
  <c r="G61" i="25"/>
  <c r="I250" i="23"/>
  <c r="N61" i="21"/>
  <c r="G125" i="21"/>
  <c r="N127" i="19"/>
  <c r="F74" i="20" l="1"/>
  <c r="K161" i="23"/>
  <c r="L161" i="23" s="1"/>
  <c r="H34" i="23" s="1"/>
  <c r="L197" i="19"/>
  <c r="G35" i="19" s="1"/>
  <c r="N197" i="19"/>
  <c r="L116" i="23"/>
  <c r="G84" i="21"/>
  <c r="N33" i="21"/>
  <c r="G97" i="21"/>
  <c r="N68" i="21"/>
  <c r="G132" i="21"/>
  <c r="L139" i="9"/>
  <c r="L220" i="9"/>
  <c r="K198" i="19"/>
  <c r="I252" i="23"/>
  <c r="J252" i="23" s="1"/>
  <c r="K250" i="23"/>
  <c r="H282" i="23"/>
  <c r="O203" i="9"/>
  <c r="I204" i="9"/>
  <c r="O204" i="9" s="1"/>
  <c r="K318" i="19"/>
  <c r="K221" i="9"/>
  <c r="K140" i="9"/>
  <c r="K222" i="9" s="1"/>
  <c r="H372" i="23"/>
  <c r="I357" i="19"/>
  <c r="G359" i="19"/>
  <c r="N75" i="21"/>
  <c r="G139" i="21"/>
  <c r="I437" i="19"/>
  <c r="G439" i="19"/>
  <c r="G220" i="21"/>
  <c r="H221" i="21"/>
  <c r="I221" i="21" s="1"/>
  <c r="H220" i="21"/>
  <c r="H222" i="21" s="1"/>
  <c r="G404" i="19"/>
  <c r="N399" i="19"/>
  <c r="N134" i="19"/>
  <c r="L96" i="23"/>
  <c r="G128" i="23"/>
  <c r="L128" i="23" s="1"/>
  <c r="L86" i="23"/>
  <c r="G192" i="23"/>
  <c r="I190" i="23"/>
  <c r="G260" i="21"/>
  <c r="H261" i="21"/>
  <c r="I261" i="21" s="1"/>
  <c r="H260" i="21"/>
  <c r="L121" i="23"/>
  <c r="I310" i="23"/>
  <c r="G312" i="23"/>
  <c r="G300" i="21"/>
  <c r="H301" i="21"/>
  <c r="I301" i="21" s="1"/>
  <c r="H300" i="21"/>
  <c r="H302" i="21" s="1"/>
  <c r="G342" i="21"/>
  <c r="I340" i="21"/>
  <c r="I277" i="19"/>
  <c r="G279" i="19"/>
  <c r="J220" i="9"/>
  <c r="O220" i="9" s="1"/>
  <c r="J139" i="9"/>
  <c r="N47" i="21"/>
  <c r="G111" i="21"/>
  <c r="G180" i="21"/>
  <c r="H180" i="21"/>
  <c r="H182" i="21" s="1"/>
  <c r="H181" i="21"/>
  <c r="I181" i="21" s="1"/>
  <c r="N120" i="19"/>
  <c r="N164" i="19" s="1"/>
  <c r="N42" i="19"/>
  <c r="G114" i="19"/>
  <c r="K160" i="23"/>
  <c r="I162" i="23"/>
  <c r="J162" i="23" s="1"/>
  <c r="N160" i="23"/>
  <c r="G164" i="19"/>
  <c r="G372" i="23"/>
  <c r="I370" i="23"/>
  <c r="N54" i="21"/>
  <c r="G118" i="21"/>
  <c r="G380" i="21"/>
  <c r="H381" i="21"/>
  <c r="I381" i="21" s="1"/>
  <c r="H380" i="21"/>
  <c r="H382" i="21" s="1"/>
  <c r="N40" i="21"/>
  <c r="G104" i="21"/>
  <c r="L106" i="23"/>
  <c r="O138" i="9"/>
  <c r="L75" i="23"/>
  <c r="I147" i="9"/>
  <c r="O146" i="9"/>
  <c r="M221" i="9"/>
  <c r="M140" i="9"/>
  <c r="M222" i="9" s="1"/>
  <c r="N70" i="19"/>
  <c r="G142" i="19"/>
  <c r="I156" i="9"/>
  <c r="O156" i="9" s="1"/>
  <c r="O155" i="9"/>
  <c r="B167" i="19"/>
  <c r="B158" i="19"/>
  <c r="B151" i="19"/>
  <c r="B116" i="19"/>
  <c r="B137" i="19"/>
  <c r="B109" i="19"/>
  <c r="B86" i="19"/>
  <c r="B72" i="19"/>
  <c r="B58" i="19"/>
  <c r="B44" i="19"/>
  <c r="B130" i="19"/>
  <c r="B96" i="19"/>
  <c r="B144" i="19"/>
  <c r="B79" i="19"/>
  <c r="B65" i="19"/>
  <c r="B51" i="19"/>
  <c r="B37" i="19"/>
  <c r="B123" i="19"/>
  <c r="G222" i="23"/>
  <c r="I220" i="23"/>
  <c r="H246" i="19"/>
  <c r="I246" i="19" s="1"/>
  <c r="H244" i="19"/>
  <c r="H247" i="19" s="1"/>
  <c r="H245" i="19"/>
  <c r="I245" i="19"/>
  <c r="N479" i="19"/>
  <c r="N84" i="19"/>
  <c r="G156" i="19"/>
  <c r="I188" i="9"/>
  <c r="O188" i="9" s="1"/>
  <c r="O187" i="9"/>
  <c r="I340" i="23"/>
  <c r="G342" i="23"/>
  <c r="L111" i="23"/>
  <c r="I211" i="9"/>
  <c r="O210" i="9"/>
  <c r="J69" i="20"/>
  <c r="B92" i="20" s="1"/>
  <c r="K67" i="20"/>
  <c r="C37" i="20" s="1"/>
  <c r="G282" i="23"/>
  <c r="I280" i="23"/>
  <c r="K319" i="19"/>
  <c r="C342" i="19" s="1"/>
  <c r="L317" i="19"/>
  <c r="G56" i="19" s="1"/>
  <c r="B135" i="21"/>
  <c r="B107" i="21"/>
  <c r="B151" i="21"/>
  <c r="B128" i="21"/>
  <c r="B100" i="21"/>
  <c r="B121" i="21"/>
  <c r="B78" i="21"/>
  <c r="B64" i="21"/>
  <c r="B50" i="21"/>
  <c r="B36" i="21"/>
  <c r="B142" i="21"/>
  <c r="B114" i="21"/>
  <c r="B87" i="21"/>
  <c r="B71" i="21"/>
  <c r="B57" i="21"/>
  <c r="B43" i="21"/>
  <c r="N125" i="21"/>
  <c r="N317" i="19"/>
  <c r="L91" i="23"/>
  <c r="H312" i="23"/>
  <c r="I179" i="9"/>
  <c r="O178" i="9"/>
  <c r="O219" i="9"/>
  <c r="G420" i="21"/>
  <c r="H420" i="21"/>
  <c r="H422" i="21" s="1"/>
  <c r="H421" i="21"/>
  <c r="I421" i="21" s="1"/>
  <c r="H439" i="19"/>
  <c r="H342" i="21"/>
  <c r="H61" i="25"/>
  <c r="I61" i="25" s="1"/>
  <c r="O139" i="9"/>
  <c r="I221" i="9"/>
  <c r="I140" i="9"/>
  <c r="H279" i="19"/>
  <c r="J68" i="20"/>
  <c r="N148" i="19"/>
  <c r="H192" i="23"/>
  <c r="G247" i="19"/>
  <c r="I244" i="19"/>
  <c r="G487" i="19"/>
  <c r="I180" i="9" l="1"/>
  <c r="O180" i="9" s="1"/>
  <c r="O179" i="9"/>
  <c r="N104" i="21"/>
  <c r="K437" i="19"/>
  <c r="I439" i="19"/>
  <c r="J439" i="19" s="1"/>
  <c r="I359" i="19"/>
  <c r="J359" i="19" s="1"/>
  <c r="K357" i="19" s="1"/>
  <c r="L318" i="19"/>
  <c r="H56" i="19" s="1"/>
  <c r="H128" i="19" s="1"/>
  <c r="N318" i="19"/>
  <c r="G325" i="19" s="1"/>
  <c r="K252" i="23"/>
  <c r="C266" i="23" s="1"/>
  <c r="G141" i="23" s="1"/>
  <c r="D45" i="5" s="1"/>
  <c r="D45" i="6" s="1"/>
  <c r="E45" i="6" s="1"/>
  <c r="L250" i="23"/>
  <c r="G49" i="23" s="1"/>
  <c r="G148" i="21"/>
  <c r="N148" i="21" s="1"/>
  <c r="N97" i="21"/>
  <c r="H87" i="23"/>
  <c r="K68" i="20"/>
  <c r="D37" i="20" s="1"/>
  <c r="M68" i="20"/>
  <c r="G422" i="21"/>
  <c r="I420" i="21"/>
  <c r="I282" i="23"/>
  <c r="J282" i="23" s="1"/>
  <c r="K280" i="23" s="1"/>
  <c r="H486" i="19"/>
  <c r="I486" i="19" s="1"/>
  <c r="H485" i="19"/>
  <c r="I485" i="19" s="1"/>
  <c r="H484" i="19"/>
  <c r="I148" i="9"/>
  <c r="O148" i="9" s="1"/>
  <c r="O147" i="9"/>
  <c r="I372" i="23"/>
  <c r="J372" i="23" s="1"/>
  <c r="K370" i="23" s="1"/>
  <c r="N114" i="19"/>
  <c r="K277" i="19"/>
  <c r="I279" i="19"/>
  <c r="J279" i="19" s="1"/>
  <c r="N277" i="19"/>
  <c r="G262" i="21"/>
  <c r="I260" i="21"/>
  <c r="N139" i="21"/>
  <c r="N250" i="23"/>
  <c r="L198" i="19"/>
  <c r="H35" i="19" s="1"/>
  <c r="N198" i="19"/>
  <c r="G205" i="19" s="1"/>
  <c r="L221" i="9"/>
  <c r="L140" i="9"/>
  <c r="L222" i="9" s="1"/>
  <c r="N84" i="21"/>
  <c r="G204" i="19"/>
  <c r="N199" i="19"/>
  <c r="N161" i="23"/>
  <c r="G168" i="23" s="1"/>
  <c r="I247" i="19"/>
  <c r="J247" i="19" s="1"/>
  <c r="G167" i="23"/>
  <c r="N162" i="23"/>
  <c r="N111" i="21"/>
  <c r="I380" i="21"/>
  <c r="G382" i="21"/>
  <c r="L160" i="23"/>
  <c r="G34" i="23" s="1"/>
  <c r="K162" i="23"/>
  <c r="C176" i="23" s="1"/>
  <c r="G138" i="23" s="1"/>
  <c r="J221" i="9"/>
  <c r="O221" i="9" s="1"/>
  <c r="J140" i="9"/>
  <c r="J222" i="9" s="1"/>
  <c r="K340" i="21"/>
  <c r="I342" i="21"/>
  <c r="J342" i="21" s="1"/>
  <c r="N340" i="21"/>
  <c r="I300" i="21"/>
  <c r="G302" i="21"/>
  <c r="I192" i="23"/>
  <c r="J192" i="23" s="1"/>
  <c r="K190" i="23" s="1"/>
  <c r="H404" i="19"/>
  <c r="H406" i="19"/>
  <c r="I406" i="19" s="1"/>
  <c r="H405" i="19"/>
  <c r="I405" i="19" s="1"/>
  <c r="I220" i="21"/>
  <c r="G222" i="21"/>
  <c r="K251" i="23"/>
  <c r="K199" i="19"/>
  <c r="C222" i="19" s="1"/>
  <c r="G324" i="19"/>
  <c r="N319" i="19"/>
  <c r="I342" i="23"/>
  <c r="J342" i="23" s="1"/>
  <c r="K340" i="23" s="1"/>
  <c r="N142" i="19"/>
  <c r="I312" i="23"/>
  <c r="J312" i="23" s="1"/>
  <c r="J59" i="25"/>
  <c r="I212" i="9"/>
  <c r="O212" i="9" s="1"/>
  <c r="O211" i="9"/>
  <c r="I222" i="23"/>
  <c r="J222" i="23" s="1"/>
  <c r="K220" i="23" s="1"/>
  <c r="O140" i="9"/>
  <c r="N56" i="19"/>
  <c r="G128" i="19"/>
  <c r="J37" i="20"/>
  <c r="C52" i="20"/>
  <c r="N156" i="19"/>
  <c r="N118" i="21"/>
  <c r="G182" i="21"/>
  <c r="I180" i="21"/>
  <c r="H262" i="21"/>
  <c r="G407" i="19"/>
  <c r="I404" i="19"/>
  <c r="N132" i="21"/>
  <c r="N35" i="19"/>
  <c r="G107" i="19"/>
  <c r="L220" i="23" l="1"/>
  <c r="G44" i="23" s="1"/>
  <c r="N220" i="23"/>
  <c r="K192" i="23"/>
  <c r="C206" i="23" s="1"/>
  <c r="G139" i="23" s="1"/>
  <c r="D43" i="5" s="1"/>
  <c r="D43" i="6" s="1"/>
  <c r="E43" i="6" s="1"/>
  <c r="L190" i="23"/>
  <c r="G39" i="23" s="1"/>
  <c r="N190" i="23"/>
  <c r="L370" i="23"/>
  <c r="G69" i="23" s="1"/>
  <c r="N370" i="23"/>
  <c r="L357" i="19"/>
  <c r="G63" i="19" s="1"/>
  <c r="N357" i="19"/>
  <c r="L340" i="23"/>
  <c r="G64" i="23" s="1"/>
  <c r="N340" i="23"/>
  <c r="L280" i="23"/>
  <c r="G54" i="23" s="1"/>
  <c r="N280" i="23"/>
  <c r="K180" i="21"/>
  <c r="I182" i="21"/>
  <c r="J182" i="21" s="1"/>
  <c r="L37" i="20"/>
  <c r="J61" i="25"/>
  <c r="B67" i="25" s="1"/>
  <c r="K59" i="25"/>
  <c r="C33" i="25" s="1"/>
  <c r="M59" i="25"/>
  <c r="L251" i="23"/>
  <c r="H49" i="23" s="1"/>
  <c r="H102" i="23" s="1"/>
  <c r="N251" i="23"/>
  <c r="G258" i="23" s="1"/>
  <c r="K341" i="21"/>
  <c r="D42" i="5"/>
  <c r="D42" i="6" s="1"/>
  <c r="E42" i="6" s="1"/>
  <c r="H169" i="23"/>
  <c r="I169" i="23" s="1"/>
  <c r="H168" i="23"/>
  <c r="I168" i="23" s="1"/>
  <c r="H167" i="23"/>
  <c r="K244" i="19"/>
  <c r="G207" i="19"/>
  <c r="I204" i="19"/>
  <c r="K278" i="19"/>
  <c r="D52" i="20"/>
  <c r="K311" i="23"/>
  <c r="G347" i="21"/>
  <c r="I382" i="21"/>
  <c r="J382" i="21" s="1"/>
  <c r="K380" i="21" s="1"/>
  <c r="H206" i="19"/>
  <c r="I206" i="19" s="1"/>
  <c r="H204" i="19"/>
  <c r="H205" i="19"/>
  <c r="I205" i="19" s="1"/>
  <c r="I262" i="21"/>
  <c r="J262" i="21" s="1"/>
  <c r="N260" i="21"/>
  <c r="K260" i="21"/>
  <c r="K371" i="23"/>
  <c r="K372" i="23" s="1"/>
  <c r="C386" i="23" s="1"/>
  <c r="G145" i="23" s="1"/>
  <c r="D49" i="5" s="1"/>
  <c r="D49" i="6" s="1"/>
  <c r="E49" i="6" s="1"/>
  <c r="H487" i="19"/>
  <c r="I484" i="19"/>
  <c r="F75" i="20"/>
  <c r="M69" i="20"/>
  <c r="L437" i="19"/>
  <c r="G77" i="19" s="1"/>
  <c r="I407" i="19"/>
  <c r="J407" i="19" s="1"/>
  <c r="K404" i="19"/>
  <c r="N404" i="19" s="1"/>
  <c r="N128" i="19"/>
  <c r="K310" i="23"/>
  <c r="H326" i="19"/>
  <c r="I326" i="19" s="1"/>
  <c r="H324" i="19"/>
  <c r="H327" i="19" s="1"/>
  <c r="H325" i="19"/>
  <c r="I325" i="19" s="1"/>
  <c r="H407" i="19"/>
  <c r="K342" i="21"/>
  <c r="C365" i="21" s="1"/>
  <c r="L340" i="21"/>
  <c r="G62" i="21" s="1"/>
  <c r="L34" i="23"/>
  <c r="G87" i="23"/>
  <c r="G170" i="23"/>
  <c r="I167" i="23"/>
  <c r="H107" i="19"/>
  <c r="L277" i="19"/>
  <c r="G49" i="19" s="1"/>
  <c r="K279" i="19"/>
  <c r="C302" i="19" s="1"/>
  <c r="K420" i="21"/>
  <c r="N420" i="21" s="1"/>
  <c r="I422" i="21"/>
  <c r="J422" i="21" s="1"/>
  <c r="N437" i="19"/>
  <c r="K221" i="23"/>
  <c r="K341" i="23"/>
  <c r="K191" i="23"/>
  <c r="G284" i="19"/>
  <c r="K281" i="23"/>
  <c r="K282" i="23" s="1"/>
  <c r="C296" i="23" s="1"/>
  <c r="G142" i="23" s="1"/>
  <c r="D46" i="5" s="1"/>
  <c r="D46" i="6" s="1"/>
  <c r="E46" i="6" s="1"/>
  <c r="K358" i="19"/>
  <c r="K359" i="19" s="1"/>
  <c r="C382" i="19" s="1"/>
  <c r="J52" i="20"/>
  <c r="I222" i="9"/>
  <c r="O222" i="9" s="1"/>
  <c r="G327" i="19"/>
  <c r="K220" i="21"/>
  <c r="I222" i="21"/>
  <c r="J222" i="21" s="1"/>
  <c r="I302" i="21"/>
  <c r="J302" i="21" s="1"/>
  <c r="N300" i="21"/>
  <c r="K300" i="21"/>
  <c r="J60" i="25"/>
  <c r="G257" i="23"/>
  <c r="L49" i="23"/>
  <c r="G102" i="23"/>
  <c r="K438" i="19"/>
  <c r="G412" i="19" l="1"/>
  <c r="K246" i="19"/>
  <c r="G427" i="21"/>
  <c r="L380" i="21"/>
  <c r="G69" i="21" s="1"/>
  <c r="N380" i="21"/>
  <c r="K222" i="21"/>
  <c r="C245" i="21" s="1"/>
  <c r="L220" i="21"/>
  <c r="G41" i="21" s="1"/>
  <c r="L341" i="23"/>
  <c r="H64" i="23" s="1"/>
  <c r="H117" i="23" s="1"/>
  <c r="N341" i="23"/>
  <c r="G348" i="23" s="1"/>
  <c r="N49" i="19"/>
  <c r="G121" i="19"/>
  <c r="G94" i="19"/>
  <c r="L180" i="21"/>
  <c r="G34" i="21" s="1"/>
  <c r="G364" i="19"/>
  <c r="G122" i="23"/>
  <c r="L102" i="23"/>
  <c r="K301" i="21"/>
  <c r="I324" i="19"/>
  <c r="L221" i="23"/>
  <c r="H44" i="23" s="1"/>
  <c r="H97" i="23" s="1"/>
  <c r="N221" i="23"/>
  <c r="G228" i="23" s="1"/>
  <c r="L87" i="23"/>
  <c r="G149" i="19"/>
  <c r="K261" i="21"/>
  <c r="L341" i="21"/>
  <c r="H62" i="21" s="1"/>
  <c r="H126" i="21" s="1"/>
  <c r="N341" i="21"/>
  <c r="N180" i="21"/>
  <c r="G347" i="23"/>
  <c r="N342" i="23"/>
  <c r="G135" i="19"/>
  <c r="G227" i="23"/>
  <c r="N222" i="23"/>
  <c r="L438" i="19"/>
  <c r="H77" i="19" s="1"/>
  <c r="H149" i="19" s="1"/>
  <c r="N438" i="19"/>
  <c r="G445" i="19" s="1"/>
  <c r="G307" i="21"/>
  <c r="I487" i="19"/>
  <c r="J487" i="19" s="1"/>
  <c r="K60" i="25"/>
  <c r="D33" i="25" s="1"/>
  <c r="M60" i="25"/>
  <c r="M61" i="25" s="1"/>
  <c r="N220" i="21"/>
  <c r="G444" i="19"/>
  <c r="N439" i="19"/>
  <c r="K312" i="23"/>
  <c r="C326" i="23" s="1"/>
  <c r="G143" i="23" s="1"/>
  <c r="D47" i="5" s="1"/>
  <c r="D47" i="6" s="1"/>
  <c r="E47" i="6" s="1"/>
  <c r="L310" i="23"/>
  <c r="G59" i="23" s="1"/>
  <c r="N310" i="23"/>
  <c r="L404" i="19"/>
  <c r="G71" i="19" s="1"/>
  <c r="G75" i="20"/>
  <c r="G74" i="20"/>
  <c r="G76" i="20"/>
  <c r="H76" i="20" s="1"/>
  <c r="L371" i="23"/>
  <c r="H69" i="23" s="1"/>
  <c r="H122" i="23" s="1"/>
  <c r="N371" i="23"/>
  <c r="G378" i="23" s="1"/>
  <c r="K405" i="19"/>
  <c r="L278" i="19"/>
  <c r="H49" i="19" s="1"/>
  <c r="N278" i="19"/>
  <c r="L244" i="19"/>
  <c r="G43" i="19" s="1"/>
  <c r="K247" i="19"/>
  <c r="C263" i="19" s="1"/>
  <c r="G176" i="19" s="1"/>
  <c r="D22" i="5" s="1"/>
  <c r="N244" i="19"/>
  <c r="K245" i="19"/>
  <c r="G287" i="23"/>
  <c r="N282" i="23"/>
  <c r="K342" i="23"/>
  <c r="C356" i="23" s="1"/>
  <c r="G144" i="23" s="1"/>
  <c r="D48" i="5" s="1"/>
  <c r="D48" i="6" s="1"/>
  <c r="E48" i="6" s="1"/>
  <c r="G197" i="23"/>
  <c r="G97" i="23"/>
  <c r="G260" i="23"/>
  <c r="L281" i="23"/>
  <c r="H54" i="23" s="1"/>
  <c r="H107" i="23" s="1"/>
  <c r="N281" i="23"/>
  <c r="G288" i="23" s="1"/>
  <c r="L420" i="21"/>
  <c r="G76" i="21" s="1"/>
  <c r="N62" i="21"/>
  <c r="G126" i="21"/>
  <c r="K439" i="19"/>
  <c r="C462" i="19" s="1"/>
  <c r="G267" i="21"/>
  <c r="L311" i="23"/>
  <c r="H59" i="23" s="1"/>
  <c r="H112" i="23" s="1"/>
  <c r="N311" i="23"/>
  <c r="G318" i="23" s="1"/>
  <c r="I207" i="19"/>
  <c r="J207" i="19" s="1"/>
  <c r="K204" i="19" s="1"/>
  <c r="N252" i="23"/>
  <c r="K302" i="21"/>
  <c r="C325" i="21" s="1"/>
  <c r="L300" i="21"/>
  <c r="G55" i="21" s="1"/>
  <c r="K221" i="21"/>
  <c r="L358" i="19"/>
  <c r="H63" i="19" s="1"/>
  <c r="H135" i="19" s="1"/>
  <c r="N358" i="19"/>
  <c r="G365" i="19" s="1"/>
  <c r="L191" i="23"/>
  <c r="H39" i="23" s="1"/>
  <c r="N191" i="23"/>
  <c r="G198" i="23" s="1"/>
  <c r="K421" i="21"/>
  <c r="I170" i="23"/>
  <c r="J170" i="23" s="1"/>
  <c r="H75" i="20"/>
  <c r="F77" i="20"/>
  <c r="K262" i="21"/>
  <c r="C285" i="21" s="1"/>
  <c r="L260" i="21"/>
  <c r="G48" i="21" s="1"/>
  <c r="H207" i="19"/>
  <c r="K381" i="21"/>
  <c r="K382" i="21" s="1"/>
  <c r="C405" i="21" s="1"/>
  <c r="H170" i="23"/>
  <c r="H33" i="25"/>
  <c r="C34" i="25"/>
  <c r="C24" i="25" s="1"/>
  <c r="C46" i="25"/>
  <c r="K181" i="21"/>
  <c r="N107" i="19"/>
  <c r="L54" i="23"/>
  <c r="G107" i="23"/>
  <c r="L64" i="23"/>
  <c r="G117" i="23"/>
  <c r="G377" i="23"/>
  <c r="N372" i="23"/>
  <c r="L39" i="23"/>
  <c r="G92" i="23"/>
  <c r="K222" i="23"/>
  <c r="C236" i="23" s="1"/>
  <c r="G140" i="23" s="1"/>
  <c r="L204" i="19" l="1"/>
  <c r="G36" i="19" s="1"/>
  <c r="N204" i="19"/>
  <c r="K206" i="19"/>
  <c r="K205" i="19"/>
  <c r="D44" i="5"/>
  <c r="D44" i="6" s="1"/>
  <c r="E44" i="6" s="1"/>
  <c r="G147" i="23"/>
  <c r="G380" i="23"/>
  <c r="L421" i="21"/>
  <c r="H76" i="21" s="1"/>
  <c r="H140" i="21" s="1"/>
  <c r="N421" i="21"/>
  <c r="H259" i="23"/>
  <c r="I259" i="23" s="1"/>
  <c r="H257" i="23"/>
  <c r="H258" i="23"/>
  <c r="I258" i="23" s="1"/>
  <c r="G367" i="19"/>
  <c r="L246" i="19"/>
  <c r="I43" i="19" s="1"/>
  <c r="I115" i="19" s="1"/>
  <c r="N246" i="19"/>
  <c r="G254" i="19" s="1"/>
  <c r="L117" i="23"/>
  <c r="J33" i="25"/>
  <c r="J34" i="25" s="1"/>
  <c r="H34" i="25"/>
  <c r="H24" i="25" s="1"/>
  <c r="G112" i="21"/>
  <c r="K167" i="23"/>
  <c r="L221" i="21"/>
  <c r="H41" i="21" s="1"/>
  <c r="H105" i="21" s="1"/>
  <c r="N221" i="21"/>
  <c r="G228" i="21" s="1"/>
  <c r="N126" i="21"/>
  <c r="L97" i="23"/>
  <c r="G115" i="19"/>
  <c r="L405" i="19"/>
  <c r="H71" i="19" s="1"/>
  <c r="H143" i="19" s="1"/>
  <c r="N405" i="19"/>
  <c r="G77" i="20"/>
  <c r="H74" i="20"/>
  <c r="G317" i="23"/>
  <c r="N312" i="23"/>
  <c r="H446" i="19"/>
  <c r="I446" i="19" s="1"/>
  <c r="H445" i="19"/>
  <c r="H444" i="19"/>
  <c r="H447" i="19" s="1"/>
  <c r="G227" i="21"/>
  <c r="N222" i="21"/>
  <c r="H228" i="23"/>
  <c r="H229" i="23"/>
  <c r="I229" i="23" s="1"/>
  <c r="H227" i="23"/>
  <c r="H348" i="23"/>
  <c r="I348" i="23" s="1"/>
  <c r="H349" i="23"/>
  <c r="I349" i="23" s="1"/>
  <c r="H347" i="23"/>
  <c r="H350" i="23" s="1"/>
  <c r="G348" i="21"/>
  <c r="N342" i="21"/>
  <c r="L261" i="21"/>
  <c r="H48" i="21" s="1"/>
  <c r="H112" i="21" s="1"/>
  <c r="N261" i="21"/>
  <c r="I327" i="19"/>
  <c r="J327" i="19" s="1"/>
  <c r="K324" i="19"/>
  <c r="N324" i="19" s="1"/>
  <c r="L122" i="23"/>
  <c r="G85" i="21"/>
  <c r="G98" i="21"/>
  <c r="K406" i="19"/>
  <c r="K422" i="21"/>
  <c r="C445" i="21" s="1"/>
  <c r="G200" i="23"/>
  <c r="L181" i="21"/>
  <c r="H34" i="21" s="1"/>
  <c r="N181" i="21"/>
  <c r="G188" i="21" s="1"/>
  <c r="G119" i="21"/>
  <c r="H289" i="23"/>
  <c r="I289" i="23" s="1"/>
  <c r="H287" i="23"/>
  <c r="H288" i="23"/>
  <c r="I288" i="23" s="1"/>
  <c r="L245" i="19"/>
  <c r="H43" i="19" s="1"/>
  <c r="H115" i="19" s="1"/>
  <c r="N245" i="19"/>
  <c r="G253" i="19" s="1"/>
  <c r="G285" i="19"/>
  <c r="N279" i="19"/>
  <c r="L59" i="23"/>
  <c r="G112" i="23"/>
  <c r="G76" i="23"/>
  <c r="G78" i="23" s="1"/>
  <c r="G447" i="19"/>
  <c r="I444" i="19"/>
  <c r="G230" i="23"/>
  <c r="I227" i="23"/>
  <c r="G350" i="23"/>
  <c r="N149" i="19"/>
  <c r="L301" i="21"/>
  <c r="H55" i="21" s="1"/>
  <c r="H119" i="21" s="1"/>
  <c r="N301" i="21"/>
  <c r="L69" i="23"/>
  <c r="K182" i="21"/>
  <c r="C205" i="21" s="1"/>
  <c r="D22" i="6"/>
  <c r="G143" i="19"/>
  <c r="N63" i="19"/>
  <c r="N69" i="21"/>
  <c r="G133" i="21"/>
  <c r="H92" i="23"/>
  <c r="L92" i="23" s="1"/>
  <c r="H76" i="23"/>
  <c r="H78" i="23" s="1"/>
  <c r="L44" i="23"/>
  <c r="H378" i="23"/>
  <c r="I378" i="23" s="1"/>
  <c r="H377" i="23"/>
  <c r="H380" i="23" s="1"/>
  <c r="H379" i="23"/>
  <c r="I379" i="23" s="1"/>
  <c r="L107" i="23"/>
  <c r="H46" i="25"/>
  <c r="L381" i="21"/>
  <c r="H69" i="21" s="1"/>
  <c r="H133" i="21" s="1"/>
  <c r="N381" i="21"/>
  <c r="G388" i="21" s="1"/>
  <c r="N76" i="21"/>
  <c r="G140" i="21"/>
  <c r="N192" i="23"/>
  <c r="G290" i="23"/>
  <c r="I287" i="23"/>
  <c r="G252" i="19"/>
  <c r="N247" i="19"/>
  <c r="H121" i="19"/>
  <c r="H94" i="19"/>
  <c r="D34" i="25"/>
  <c r="D24" i="25" s="1"/>
  <c r="D46" i="25"/>
  <c r="K484" i="19"/>
  <c r="I445" i="19"/>
  <c r="N135" i="19"/>
  <c r="G187" i="21"/>
  <c r="N77" i="19"/>
  <c r="N94" i="19" s="1"/>
  <c r="I228" i="23"/>
  <c r="N359" i="19"/>
  <c r="N121" i="19"/>
  <c r="N165" i="19" s="1"/>
  <c r="G165" i="19"/>
  <c r="N41" i="21"/>
  <c r="G105" i="21"/>
  <c r="G387" i="21"/>
  <c r="G332" i="19" l="1"/>
  <c r="G390" i="21"/>
  <c r="N143" i="19"/>
  <c r="I230" i="23"/>
  <c r="J230" i="23" s="1"/>
  <c r="K227" i="23" s="1"/>
  <c r="G149" i="21"/>
  <c r="N98" i="21"/>
  <c r="G268" i="21"/>
  <c r="N262" i="21"/>
  <c r="G320" i="23"/>
  <c r="L167" i="23"/>
  <c r="G35" i="23" s="1"/>
  <c r="N167" i="23"/>
  <c r="G428" i="21"/>
  <c r="N422" i="21"/>
  <c r="L206" i="19"/>
  <c r="I36" i="19" s="1"/>
  <c r="N206" i="19"/>
  <c r="G214" i="19" s="1"/>
  <c r="N105" i="21"/>
  <c r="N182" i="21"/>
  <c r="G256" i="19"/>
  <c r="I252" i="19"/>
  <c r="N140" i="21"/>
  <c r="N133" i="21"/>
  <c r="K168" i="23"/>
  <c r="K169" i="23" s="1"/>
  <c r="G308" i="21"/>
  <c r="N302" i="21"/>
  <c r="H85" i="21"/>
  <c r="H98" i="21"/>
  <c r="N34" i="21"/>
  <c r="H77" i="20"/>
  <c r="I77" i="20" s="1"/>
  <c r="N115" i="19"/>
  <c r="N112" i="21"/>
  <c r="G212" i="19"/>
  <c r="H254" i="19"/>
  <c r="H253" i="19"/>
  <c r="I253" i="19" s="1"/>
  <c r="H252" i="19"/>
  <c r="H255" i="19"/>
  <c r="I255" i="19" s="1"/>
  <c r="L484" i="19"/>
  <c r="G85" i="19" s="1"/>
  <c r="N484" i="19"/>
  <c r="H286" i="19"/>
  <c r="I286" i="19" s="1"/>
  <c r="H284" i="19"/>
  <c r="H285" i="19"/>
  <c r="N119" i="21"/>
  <c r="L406" i="19"/>
  <c r="I71" i="19" s="1"/>
  <c r="I143" i="19" s="1"/>
  <c r="N406" i="19"/>
  <c r="G414" i="19" s="1"/>
  <c r="K407" i="19"/>
  <c r="C423" i="19" s="1"/>
  <c r="G180" i="19" s="1"/>
  <c r="D26" i="5" s="1"/>
  <c r="L324" i="19"/>
  <c r="G57" i="19" s="1"/>
  <c r="H349" i="21"/>
  <c r="I349" i="21" s="1"/>
  <c r="H347" i="21"/>
  <c r="H348" i="21"/>
  <c r="H228" i="21"/>
  <c r="I228" i="21" s="1"/>
  <c r="H229" i="21"/>
  <c r="I229" i="21" s="1"/>
  <c r="H227" i="21"/>
  <c r="H230" i="21" s="1"/>
  <c r="N43" i="19"/>
  <c r="N48" i="21"/>
  <c r="I254" i="19"/>
  <c r="H260" i="23"/>
  <c r="I257" i="23"/>
  <c r="I377" i="23"/>
  <c r="G108" i="19"/>
  <c r="H198" i="23"/>
  <c r="I198" i="23" s="1"/>
  <c r="H199" i="23"/>
  <c r="I199" i="23" s="1"/>
  <c r="H197" i="23"/>
  <c r="H129" i="23"/>
  <c r="H131" i="23" s="1"/>
  <c r="I447" i="19"/>
  <c r="J447" i="19" s="1"/>
  <c r="K444" i="19" s="1"/>
  <c r="H366" i="19"/>
  <c r="I366" i="19" s="1"/>
  <c r="H365" i="19"/>
  <c r="I365" i="19" s="1"/>
  <c r="H364" i="19"/>
  <c r="G190" i="21"/>
  <c r="I290" i="23"/>
  <c r="J290" i="23" s="1"/>
  <c r="K287" i="23" s="1"/>
  <c r="L76" i="23"/>
  <c r="L78" i="23" s="1"/>
  <c r="E22" i="6"/>
  <c r="I347" i="23"/>
  <c r="N382" i="21"/>
  <c r="H165" i="19"/>
  <c r="L112" i="23"/>
  <c r="G129" i="23"/>
  <c r="I285" i="19"/>
  <c r="G287" i="19"/>
  <c r="H290" i="23"/>
  <c r="N55" i="21"/>
  <c r="K325" i="19"/>
  <c r="K326" i="19" s="1"/>
  <c r="I348" i="21"/>
  <c r="G350" i="21"/>
  <c r="H230" i="23"/>
  <c r="G230" i="21"/>
  <c r="I227" i="21"/>
  <c r="H319" i="23"/>
  <c r="I319" i="23" s="1"/>
  <c r="H317" i="23"/>
  <c r="H320" i="23" s="1"/>
  <c r="H318" i="23"/>
  <c r="I318" i="23" s="1"/>
  <c r="G413" i="19"/>
  <c r="N407" i="19"/>
  <c r="K485" i="19"/>
  <c r="L205" i="19"/>
  <c r="H36" i="19" s="1"/>
  <c r="N36" i="19" s="1"/>
  <c r="N205" i="19"/>
  <c r="G213" i="19" s="1"/>
  <c r="K207" i="19"/>
  <c r="C223" i="19" s="1"/>
  <c r="G175" i="19" s="1"/>
  <c r="L287" i="23" l="1"/>
  <c r="G55" i="23" s="1"/>
  <c r="N287" i="23"/>
  <c r="L227" i="23"/>
  <c r="G45" i="23" s="1"/>
  <c r="K228" i="23"/>
  <c r="K229" i="23" s="1"/>
  <c r="N227" i="23"/>
  <c r="L444" i="19"/>
  <c r="G78" i="19" s="1"/>
  <c r="N444" i="19"/>
  <c r="L326" i="19"/>
  <c r="I57" i="19" s="1"/>
  <c r="I129" i="19" s="1"/>
  <c r="N326" i="19"/>
  <c r="G334" i="19" s="1"/>
  <c r="L169" i="23"/>
  <c r="I35" i="23" s="1"/>
  <c r="N169" i="23"/>
  <c r="D21" i="5"/>
  <c r="I230" i="21"/>
  <c r="J230" i="21" s="1"/>
  <c r="D26" i="6"/>
  <c r="G430" i="21"/>
  <c r="L485" i="19"/>
  <c r="H85" i="19" s="1"/>
  <c r="H157" i="19" s="1"/>
  <c r="N485" i="19"/>
  <c r="G493" i="19" s="1"/>
  <c r="H389" i="21"/>
  <c r="I389" i="21" s="1"/>
  <c r="H387" i="21"/>
  <c r="H388" i="21"/>
  <c r="I388" i="21" s="1"/>
  <c r="G492" i="19"/>
  <c r="N71" i="19"/>
  <c r="K445" i="19"/>
  <c r="I317" i="23"/>
  <c r="H269" i="21"/>
  <c r="I269" i="21" s="1"/>
  <c r="H267" i="21"/>
  <c r="H268" i="21"/>
  <c r="K288" i="23"/>
  <c r="H367" i="19"/>
  <c r="I364" i="19"/>
  <c r="H350" i="21"/>
  <c r="I347" i="21"/>
  <c r="L325" i="19"/>
  <c r="H57" i="19" s="1"/>
  <c r="H129" i="19" s="1"/>
  <c r="N325" i="19"/>
  <c r="I350" i="23"/>
  <c r="J350" i="23" s="1"/>
  <c r="K347" i="23" s="1"/>
  <c r="K327" i="19"/>
  <c r="C343" i="19" s="1"/>
  <c r="G178" i="19" s="1"/>
  <c r="D24" i="5" s="1"/>
  <c r="H287" i="19"/>
  <c r="I284" i="19"/>
  <c r="K487" i="19"/>
  <c r="C503" i="19" s="1"/>
  <c r="G182" i="19" s="1"/>
  <c r="D28" i="5" s="1"/>
  <c r="N207" i="19"/>
  <c r="J74" i="20"/>
  <c r="N85" i="21"/>
  <c r="H307" i="21"/>
  <c r="H308" i="21"/>
  <c r="H309" i="21"/>
  <c r="I309" i="21" s="1"/>
  <c r="K252" i="19"/>
  <c r="I256" i="19"/>
  <c r="J256" i="19" s="1"/>
  <c r="H187" i="21"/>
  <c r="H189" i="21"/>
  <c r="I189" i="21" s="1"/>
  <c r="H188" i="21"/>
  <c r="I188" i="21" s="1"/>
  <c r="I108" i="19"/>
  <c r="L35" i="23"/>
  <c r="G88" i="23"/>
  <c r="I268" i="21"/>
  <c r="G270" i="21"/>
  <c r="I413" i="19"/>
  <c r="G416" i="19"/>
  <c r="H200" i="23"/>
  <c r="I197" i="23"/>
  <c r="I260" i="23"/>
  <c r="J260" i="23" s="1"/>
  <c r="K257" i="23"/>
  <c r="L168" i="23"/>
  <c r="H35" i="23" s="1"/>
  <c r="N168" i="23"/>
  <c r="N170" i="23" s="1"/>
  <c r="H108" i="19"/>
  <c r="H412" i="19"/>
  <c r="H413" i="19"/>
  <c r="H415" i="19"/>
  <c r="I415" i="19" s="1"/>
  <c r="H414" i="19"/>
  <c r="I414" i="19" s="1"/>
  <c r="L129" i="23"/>
  <c r="L131" i="23" s="1"/>
  <c r="G131" i="23"/>
  <c r="N108" i="19"/>
  <c r="K377" i="23"/>
  <c r="N377" i="23"/>
  <c r="I380" i="23"/>
  <c r="J380" i="23" s="1"/>
  <c r="N57" i="19"/>
  <c r="G129" i="19"/>
  <c r="G157" i="19"/>
  <c r="H256" i="19"/>
  <c r="G216" i="19"/>
  <c r="H149" i="21"/>
  <c r="N149" i="21" s="1"/>
  <c r="I308" i="21"/>
  <c r="G310" i="21"/>
  <c r="H428" i="21"/>
  <c r="I428" i="21" s="1"/>
  <c r="H427" i="21"/>
  <c r="H429" i="21"/>
  <c r="I429" i="21" s="1"/>
  <c r="K170" i="23"/>
  <c r="C177" i="23" s="1"/>
  <c r="K486" i="19"/>
  <c r="L347" i="23" l="1"/>
  <c r="G65" i="23" s="1"/>
  <c r="N347" i="23"/>
  <c r="L229" i="23"/>
  <c r="I45" i="23" s="1"/>
  <c r="I98" i="23" s="1"/>
  <c r="N229" i="23"/>
  <c r="K228" i="21"/>
  <c r="L257" i="23"/>
  <c r="G50" i="23" s="1"/>
  <c r="H190" i="21"/>
  <c r="I187" i="21"/>
  <c r="D24" i="6"/>
  <c r="I367" i="19"/>
  <c r="J367" i="19" s="1"/>
  <c r="G98" i="23"/>
  <c r="K378" i="23"/>
  <c r="K258" i="23"/>
  <c r="L88" i="23"/>
  <c r="H213" i="19"/>
  <c r="I213" i="19" s="1"/>
  <c r="H214" i="19"/>
  <c r="I214" i="19" s="1"/>
  <c r="H212" i="19"/>
  <c r="H215" i="19"/>
  <c r="I215" i="19" s="1"/>
  <c r="I287" i="19"/>
  <c r="J287" i="19" s="1"/>
  <c r="K284" i="19"/>
  <c r="N284" i="19" s="1"/>
  <c r="I320" i="23"/>
  <c r="J320" i="23" s="1"/>
  <c r="K317" i="23"/>
  <c r="K253" i="19"/>
  <c r="I88" i="23"/>
  <c r="G452" i="19"/>
  <c r="K74" i="20"/>
  <c r="C38" i="20" s="1"/>
  <c r="M74" i="20"/>
  <c r="G333" i="19"/>
  <c r="N327" i="19"/>
  <c r="L445" i="19"/>
  <c r="H78" i="19" s="1"/>
  <c r="H150" i="19" s="1"/>
  <c r="N445" i="19"/>
  <c r="G453" i="19" s="1"/>
  <c r="H390" i="21"/>
  <c r="I387" i="21"/>
  <c r="H416" i="19"/>
  <c r="I412" i="19"/>
  <c r="N257" i="23"/>
  <c r="L252" i="19"/>
  <c r="G44" i="19" s="1"/>
  <c r="H310" i="21"/>
  <c r="I307" i="21"/>
  <c r="K349" i="23"/>
  <c r="K348" i="23"/>
  <c r="K350" i="23" s="1"/>
  <c r="C357" i="23" s="1"/>
  <c r="I350" i="21"/>
  <c r="J350" i="21" s="1"/>
  <c r="K289" i="23"/>
  <c r="K290" i="23" s="1"/>
  <c r="C297" i="23" s="1"/>
  <c r="E26" i="6"/>
  <c r="D21" i="6"/>
  <c r="G150" i="19"/>
  <c r="L228" i="23"/>
  <c r="H45" i="23" s="1"/>
  <c r="H98" i="23" s="1"/>
  <c r="N228" i="23"/>
  <c r="N230" i="23" s="1"/>
  <c r="D28" i="6"/>
  <c r="L288" i="23"/>
  <c r="H55" i="23" s="1"/>
  <c r="H108" i="23" s="1"/>
  <c r="N288" i="23"/>
  <c r="J76" i="20"/>
  <c r="H430" i="21"/>
  <c r="I427" i="21"/>
  <c r="L486" i="19"/>
  <c r="I85" i="19" s="1"/>
  <c r="N486" i="19"/>
  <c r="G494" i="19" s="1"/>
  <c r="N129" i="19"/>
  <c r="L377" i="23"/>
  <c r="G70" i="23" s="1"/>
  <c r="K446" i="19"/>
  <c r="H88" i="23"/>
  <c r="I200" i="23"/>
  <c r="J200" i="23" s="1"/>
  <c r="N252" i="19"/>
  <c r="H270" i="21"/>
  <c r="I267" i="21"/>
  <c r="J75" i="20"/>
  <c r="J77" i="20" s="1"/>
  <c r="B93" i="20" s="1"/>
  <c r="D30" i="5" s="1"/>
  <c r="K227" i="21"/>
  <c r="K447" i="19"/>
  <c r="C463" i="19" s="1"/>
  <c r="G181" i="19" s="1"/>
  <c r="D27" i="5" s="1"/>
  <c r="K230" i="23"/>
  <c r="C237" i="23" s="1"/>
  <c r="G108" i="23"/>
  <c r="G292" i="19" l="1"/>
  <c r="K255" i="19"/>
  <c r="D146" i="5"/>
  <c r="D153" i="5" s="1"/>
  <c r="D30" i="6"/>
  <c r="L349" i="23"/>
  <c r="I65" i="23" s="1"/>
  <c r="I118" i="23" s="1"/>
  <c r="N349" i="23"/>
  <c r="L317" i="23"/>
  <c r="G60" i="23" s="1"/>
  <c r="H216" i="19"/>
  <c r="I212" i="19"/>
  <c r="L228" i="21"/>
  <c r="H42" i="21" s="1"/>
  <c r="H106" i="21" s="1"/>
  <c r="N228" i="21"/>
  <c r="G236" i="21" s="1"/>
  <c r="L446" i="19"/>
  <c r="I78" i="19" s="1"/>
  <c r="N446" i="19"/>
  <c r="G454" i="19" s="1"/>
  <c r="I157" i="19"/>
  <c r="N85" i="19"/>
  <c r="I310" i="21"/>
  <c r="J310" i="21" s="1"/>
  <c r="C53" i="20"/>
  <c r="K318" i="23"/>
  <c r="K285" i="19"/>
  <c r="K286" i="19" s="1"/>
  <c r="L258" i="23"/>
  <c r="H50" i="23" s="1"/>
  <c r="H103" i="23" s="1"/>
  <c r="N258" i="23"/>
  <c r="L98" i="23"/>
  <c r="G118" i="23"/>
  <c r="K198" i="23"/>
  <c r="L253" i="19"/>
  <c r="H44" i="19" s="1"/>
  <c r="H116" i="19" s="1"/>
  <c r="K254" i="19"/>
  <c r="N253" i="19"/>
  <c r="L378" i="23"/>
  <c r="H70" i="23" s="1"/>
  <c r="H123" i="23" s="1"/>
  <c r="N378" i="23"/>
  <c r="K230" i="21"/>
  <c r="C246" i="21" s="1"/>
  <c r="G160" i="21" s="1"/>
  <c r="D34" i="5" s="1"/>
  <c r="L227" i="21"/>
  <c r="G42" i="21" s="1"/>
  <c r="K229" i="21"/>
  <c r="N227" i="21"/>
  <c r="N487" i="19"/>
  <c r="K197" i="23"/>
  <c r="K199" i="23" s="1"/>
  <c r="G123" i="23"/>
  <c r="K427" i="21"/>
  <c r="I430" i="21"/>
  <c r="J430" i="21" s="1"/>
  <c r="G496" i="19"/>
  <c r="E28" i="6"/>
  <c r="K347" i="21"/>
  <c r="I390" i="21"/>
  <c r="J390" i="21" s="1"/>
  <c r="K387" i="21" s="1"/>
  <c r="H332" i="19"/>
  <c r="H334" i="19"/>
  <c r="I334" i="19" s="1"/>
  <c r="H333" i="19"/>
  <c r="H335" i="19"/>
  <c r="I335" i="19" s="1"/>
  <c r="N317" i="23"/>
  <c r="K259" i="23"/>
  <c r="L45" i="23"/>
  <c r="D27" i="6"/>
  <c r="K76" i="20"/>
  <c r="E38" i="20" s="1"/>
  <c r="M76" i="20"/>
  <c r="F84" i="20" s="1"/>
  <c r="E21" i="6"/>
  <c r="F82" i="20"/>
  <c r="L284" i="19"/>
  <c r="G50" i="19" s="1"/>
  <c r="I190" i="21"/>
  <c r="J190" i="21" s="1"/>
  <c r="K75" i="20"/>
  <c r="D38" i="20" s="1"/>
  <c r="M75" i="20"/>
  <c r="F83" i="20" s="1"/>
  <c r="I270" i="21"/>
  <c r="J270" i="21" s="1"/>
  <c r="L289" i="23"/>
  <c r="I55" i="23" s="1"/>
  <c r="I108" i="23" s="1"/>
  <c r="L108" i="23" s="1"/>
  <c r="N289" i="23"/>
  <c r="N290" i="23" s="1"/>
  <c r="L348" i="23"/>
  <c r="H65" i="23" s="1"/>
  <c r="H118" i="23" s="1"/>
  <c r="N348" i="23"/>
  <c r="N350" i="23" s="1"/>
  <c r="G116" i="19"/>
  <c r="I416" i="19"/>
  <c r="J416" i="19" s="1"/>
  <c r="I333" i="19"/>
  <c r="G336" i="19"/>
  <c r="K379" i="23"/>
  <c r="K364" i="19"/>
  <c r="E24" i="6"/>
  <c r="G103" i="23"/>
  <c r="L199" i="23" l="1"/>
  <c r="I40" i="23" s="1"/>
  <c r="N199" i="23"/>
  <c r="L286" i="19"/>
  <c r="I50" i="19" s="1"/>
  <c r="N286" i="19"/>
  <c r="G294" i="19" s="1"/>
  <c r="K287" i="19"/>
  <c r="C303" i="19" s="1"/>
  <c r="G177" i="19" s="1"/>
  <c r="L387" i="21"/>
  <c r="G70" i="21" s="1"/>
  <c r="N387" i="21"/>
  <c r="L364" i="19"/>
  <c r="G64" i="19" s="1"/>
  <c r="N364" i="19"/>
  <c r="M77" i="20"/>
  <c r="L259" i="23"/>
  <c r="I50" i="23" s="1"/>
  <c r="N259" i="23"/>
  <c r="N260" i="23" s="1"/>
  <c r="H336" i="19"/>
  <c r="I332" i="19"/>
  <c r="L427" i="21"/>
  <c r="G77" i="21" s="1"/>
  <c r="N380" i="23"/>
  <c r="L198" i="23"/>
  <c r="H40" i="23" s="1"/>
  <c r="N198" i="23"/>
  <c r="L255" i="19"/>
  <c r="J44" i="19" s="1"/>
  <c r="J116" i="19" s="1"/>
  <c r="N255" i="19"/>
  <c r="L379" i="23"/>
  <c r="I70" i="23" s="1"/>
  <c r="N379" i="23"/>
  <c r="D53" i="20"/>
  <c r="G122" i="19"/>
  <c r="F86" i="20"/>
  <c r="K350" i="21"/>
  <c r="C366" i="21" s="1"/>
  <c r="G163" i="21" s="1"/>
  <c r="D37" i="5" s="1"/>
  <c r="L347" i="21"/>
  <c r="G63" i="21" s="1"/>
  <c r="N347" i="21"/>
  <c r="N230" i="21"/>
  <c r="G235" i="21"/>
  <c r="L55" i="23"/>
  <c r="G456" i="19"/>
  <c r="J38" i="20"/>
  <c r="I150" i="19"/>
  <c r="N78" i="19"/>
  <c r="K365" i="19"/>
  <c r="D34" i="6"/>
  <c r="D143" i="5"/>
  <c r="L318" i="23"/>
  <c r="H60" i="23" s="1"/>
  <c r="H113" i="23" s="1"/>
  <c r="N318" i="23"/>
  <c r="K260" i="23"/>
  <c r="C267" i="23" s="1"/>
  <c r="K389" i="21"/>
  <c r="K390" i="21" s="1"/>
  <c r="C406" i="21" s="1"/>
  <c r="G164" i="21" s="1"/>
  <c r="D38" i="5" s="1"/>
  <c r="K388" i="21"/>
  <c r="K428" i="21"/>
  <c r="K429" i="21" s="1"/>
  <c r="L229" i="21"/>
  <c r="I42" i="21" s="1"/>
  <c r="I106" i="21" s="1"/>
  <c r="N229" i="21"/>
  <c r="G237" i="21" s="1"/>
  <c r="K348" i="21"/>
  <c r="L118" i="23"/>
  <c r="L285" i="19"/>
  <c r="H50" i="19" s="1"/>
  <c r="N285" i="19"/>
  <c r="K366" i="19"/>
  <c r="G113" i="23"/>
  <c r="D146" i="6"/>
  <c r="E30" i="6"/>
  <c r="E146" i="6" s="1"/>
  <c r="K188" i="21"/>
  <c r="E27" i="6"/>
  <c r="H492" i="19"/>
  <c r="H493" i="19"/>
  <c r="I493" i="19" s="1"/>
  <c r="H495" i="19"/>
  <c r="I495" i="19" s="1"/>
  <c r="H494" i="19"/>
  <c r="I494" i="19" s="1"/>
  <c r="K413" i="19"/>
  <c r="K412" i="19"/>
  <c r="K414" i="19" s="1"/>
  <c r="K380" i="23"/>
  <c r="C387" i="23" s="1"/>
  <c r="K267" i="21"/>
  <c r="K187" i="21"/>
  <c r="K189" i="21" s="1"/>
  <c r="N447" i="19"/>
  <c r="E53" i="20"/>
  <c r="N427" i="21"/>
  <c r="K200" i="23"/>
  <c r="C207" i="23" s="1"/>
  <c r="L197" i="23"/>
  <c r="G40" i="23" s="1"/>
  <c r="N197" i="23"/>
  <c r="G106" i="21"/>
  <c r="L254" i="19"/>
  <c r="I44" i="19" s="1"/>
  <c r="I116" i="19" s="1"/>
  <c r="N116" i="19" s="1"/>
  <c r="N254" i="19"/>
  <c r="N256" i="19" s="1"/>
  <c r="K256" i="19"/>
  <c r="C264" i="19" s="1"/>
  <c r="K349" i="21"/>
  <c r="L65" i="23"/>
  <c r="K319" i="23"/>
  <c r="K320" i="23" s="1"/>
  <c r="C327" i="23" s="1"/>
  <c r="K307" i="21"/>
  <c r="N157" i="19"/>
  <c r="K212" i="19"/>
  <c r="I216" i="19"/>
  <c r="J216" i="19" s="1"/>
  <c r="L429" i="21" l="1"/>
  <c r="I77" i="21" s="1"/>
  <c r="I141" i="21" s="1"/>
  <c r="N429" i="21"/>
  <c r="G437" i="21" s="1"/>
  <c r="K430" i="21"/>
  <c r="C446" i="21" s="1"/>
  <c r="G165" i="21" s="1"/>
  <c r="D39" i="5" s="1"/>
  <c r="D38" i="6"/>
  <c r="D149" i="5"/>
  <c r="L414" i="19"/>
  <c r="I72" i="19" s="1"/>
  <c r="I144" i="19" s="1"/>
  <c r="N414" i="19"/>
  <c r="L189" i="21"/>
  <c r="I35" i="21" s="1"/>
  <c r="N189" i="21"/>
  <c r="G197" i="21" s="1"/>
  <c r="L307" i="21"/>
  <c r="G56" i="21" s="1"/>
  <c r="N307" i="21"/>
  <c r="L267" i="21"/>
  <c r="G49" i="21" s="1"/>
  <c r="N267" i="21"/>
  <c r="L188" i="21"/>
  <c r="H35" i="21" s="1"/>
  <c r="N188" i="21"/>
  <c r="G196" i="21" s="1"/>
  <c r="D37" i="6"/>
  <c r="D148" i="5"/>
  <c r="I123" i="23"/>
  <c r="L123" i="23" s="1"/>
  <c r="L70" i="23"/>
  <c r="I103" i="23"/>
  <c r="L103" i="23" s="1"/>
  <c r="L50" i="23"/>
  <c r="G136" i="19"/>
  <c r="I122" i="19"/>
  <c r="L349" i="21"/>
  <c r="I63" i="21" s="1"/>
  <c r="I127" i="21" s="1"/>
  <c r="N349" i="21"/>
  <c r="G357" i="21" s="1"/>
  <c r="N106" i="21"/>
  <c r="K415" i="19"/>
  <c r="H496" i="19"/>
  <c r="I492" i="19"/>
  <c r="L365" i="19"/>
  <c r="H64" i="19" s="1"/>
  <c r="H136" i="19" s="1"/>
  <c r="N365" i="19"/>
  <c r="G373" i="19" s="1"/>
  <c r="G95" i="19"/>
  <c r="G97" i="19" s="1"/>
  <c r="H93" i="23"/>
  <c r="H130" i="23" s="1"/>
  <c r="H77" i="23"/>
  <c r="K332" i="19"/>
  <c r="I336" i="19"/>
  <c r="J336" i="19" s="1"/>
  <c r="G83" i="20"/>
  <c r="H83" i="20" s="1"/>
  <c r="G82" i="20"/>
  <c r="G84" i="20"/>
  <c r="H84" i="20" s="1"/>
  <c r="G85" i="20"/>
  <c r="H85" i="20" s="1"/>
  <c r="K367" i="19"/>
  <c r="C383" i="19" s="1"/>
  <c r="G179" i="19" s="1"/>
  <c r="D25" i="5" s="1"/>
  <c r="G134" i="21"/>
  <c r="L212" i="19"/>
  <c r="G37" i="19" s="1"/>
  <c r="L40" i="23"/>
  <c r="G93" i="23"/>
  <c r="G77" i="23"/>
  <c r="H122" i="19"/>
  <c r="H95" i="19"/>
  <c r="H97" i="19" s="1"/>
  <c r="L389" i="21"/>
  <c r="I70" i="21" s="1"/>
  <c r="I134" i="21" s="1"/>
  <c r="N389" i="21"/>
  <c r="G397" i="21" s="1"/>
  <c r="L38" i="20"/>
  <c r="N42" i="21"/>
  <c r="H453" i="19"/>
  <c r="I453" i="19" s="1"/>
  <c r="H455" i="19"/>
  <c r="I455" i="19" s="1"/>
  <c r="H454" i="19"/>
  <c r="I454" i="19" s="1"/>
  <c r="H452" i="19"/>
  <c r="E179" i="6"/>
  <c r="E153" i="6"/>
  <c r="C22" i="4"/>
  <c r="C29" i="4" s="1"/>
  <c r="L366" i="19"/>
  <c r="I64" i="19" s="1"/>
  <c r="I136" i="19" s="1"/>
  <c r="N366" i="19"/>
  <c r="G374" i="19" s="1"/>
  <c r="L348" i="21"/>
  <c r="H63" i="21" s="1"/>
  <c r="H127" i="21" s="1"/>
  <c r="N348" i="21"/>
  <c r="G356" i="21" s="1"/>
  <c r="L428" i="21"/>
  <c r="H77" i="21" s="1"/>
  <c r="H141" i="21" s="1"/>
  <c r="N428" i="21"/>
  <c r="G436" i="21" s="1"/>
  <c r="N44" i="19"/>
  <c r="G355" i="21"/>
  <c r="N122" i="19"/>
  <c r="G166" i="19"/>
  <c r="G168" i="19" s="1"/>
  <c r="K268" i="21"/>
  <c r="D23" i="5"/>
  <c r="G184" i="19"/>
  <c r="L413" i="19"/>
  <c r="H72" i="19" s="1"/>
  <c r="H144" i="19" s="1"/>
  <c r="N413" i="19"/>
  <c r="K308" i="21"/>
  <c r="H236" i="21"/>
  <c r="I236" i="21" s="1"/>
  <c r="H237" i="21"/>
  <c r="H235" i="21"/>
  <c r="H238" i="21"/>
  <c r="I238" i="21" s="1"/>
  <c r="N212" i="19"/>
  <c r="J53" i="20"/>
  <c r="G435" i="21"/>
  <c r="K416" i="19"/>
  <c r="C424" i="19" s="1"/>
  <c r="L412" i="19"/>
  <c r="G72" i="19" s="1"/>
  <c r="N412" i="19"/>
  <c r="K213" i="19"/>
  <c r="K214" i="19" s="1"/>
  <c r="L319" i="23"/>
  <c r="I60" i="23" s="1"/>
  <c r="N319" i="23"/>
  <c r="N320" i="23" s="1"/>
  <c r="N200" i="23"/>
  <c r="L187" i="21"/>
  <c r="G35" i="21" s="1"/>
  <c r="K190" i="21"/>
  <c r="C206" i="21" s="1"/>
  <c r="G159" i="21" s="1"/>
  <c r="N187" i="21"/>
  <c r="D153" i="6"/>
  <c r="B22" i="4"/>
  <c r="B29" i="4" s="1"/>
  <c r="G293" i="19"/>
  <c r="N287" i="19"/>
  <c r="I237" i="21"/>
  <c r="L388" i="21"/>
  <c r="H70" i="21" s="1"/>
  <c r="H134" i="21" s="1"/>
  <c r="N388" i="21"/>
  <c r="G396" i="21" s="1"/>
  <c r="E34" i="6"/>
  <c r="E143" i="6" s="1"/>
  <c r="D143" i="6"/>
  <c r="B19" i="4" s="1"/>
  <c r="N150" i="19"/>
  <c r="I235" i="21"/>
  <c r="G239" i="21"/>
  <c r="N63" i="21"/>
  <c r="G127" i="21"/>
  <c r="N50" i="19"/>
  <c r="K269" i="21"/>
  <c r="N77" i="21"/>
  <c r="G141" i="21"/>
  <c r="G372" i="19"/>
  <c r="N367" i="19"/>
  <c r="G395" i="21"/>
  <c r="N390" i="21"/>
  <c r="I93" i="23"/>
  <c r="I77" i="23"/>
  <c r="L214" i="19" l="1"/>
  <c r="I37" i="19" s="1"/>
  <c r="N214" i="19"/>
  <c r="H372" i="19"/>
  <c r="H374" i="19"/>
  <c r="H375" i="19"/>
  <c r="I375" i="19" s="1"/>
  <c r="H373" i="19"/>
  <c r="D33" i="5"/>
  <c r="K215" i="19"/>
  <c r="G144" i="19"/>
  <c r="H239" i="21"/>
  <c r="G109" i="19"/>
  <c r="K333" i="19"/>
  <c r="I496" i="19"/>
  <c r="J496" i="19" s="1"/>
  <c r="K492" i="19" s="1"/>
  <c r="I95" i="19"/>
  <c r="I97" i="19" s="1"/>
  <c r="G275" i="21"/>
  <c r="L269" i="21"/>
  <c r="I49" i="21" s="1"/>
  <c r="I113" i="21" s="1"/>
  <c r="N269" i="21"/>
  <c r="G277" i="21" s="1"/>
  <c r="I372" i="19"/>
  <c r="G376" i="19"/>
  <c r="E172" i="6"/>
  <c r="C19" i="4"/>
  <c r="G86" i="21"/>
  <c r="G88" i="21" s="1"/>
  <c r="N35" i="21"/>
  <c r="G99" i="21"/>
  <c r="D144" i="5"/>
  <c r="D23" i="6"/>
  <c r="I374" i="19"/>
  <c r="H166" i="19"/>
  <c r="H168" i="19" s="1"/>
  <c r="L93" i="23"/>
  <c r="G130" i="23"/>
  <c r="N134" i="21"/>
  <c r="L332" i="19"/>
  <c r="G58" i="19" s="1"/>
  <c r="I166" i="19"/>
  <c r="I168" i="19" s="1"/>
  <c r="E37" i="6"/>
  <c r="E148" i="6" s="1"/>
  <c r="D148" i="6"/>
  <c r="B24" i="4" s="1"/>
  <c r="G113" i="21"/>
  <c r="G120" i="21"/>
  <c r="D39" i="6"/>
  <c r="D150" i="5"/>
  <c r="I130" i="23"/>
  <c r="K235" i="21"/>
  <c r="K236" i="21" s="1"/>
  <c r="I239" i="21"/>
  <c r="J239" i="21" s="1"/>
  <c r="H293" i="19"/>
  <c r="H294" i="19"/>
  <c r="I294" i="19" s="1"/>
  <c r="H292" i="19"/>
  <c r="H295" i="19"/>
  <c r="I295" i="19" s="1"/>
  <c r="I113" i="23"/>
  <c r="L113" i="23" s="1"/>
  <c r="L60" i="23"/>
  <c r="L308" i="21"/>
  <c r="H56" i="21" s="1"/>
  <c r="H120" i="21" s="1"/>
  <c r="N308" i="21"/>
  <c r="G316" i="21" s="1"/>
  <c r="H396" i="21"/>
  <c r="H397" i="21"/>
  <c r="H398" i="21"/>
  <c r="I398" i="21" s="1"/>
  <c r="H395" i="21"/>
  <c r="N141" i="21"/>
  <c r="N127" i="21"/>
  <c r="I396" i="21"/>
  <c r="I293" i="19"/>
  <c r="G296" i="19"/>
  <c r="N430" i="21"/>
  <c r="L268" i="21"/>
  <c r="H49" i="21" s="1"/>
  <c r="H113" i="21" s="1"/>
  <c r="N268" i="21"/>
  <c r="G276" i="21" s="1"/>
  <c r="N350" i="21"/>
  <c r="I397" i="21"/>
  <c r="L77" i="23"/>
  <c r="N70" i="21"/>
  <c r="G86" i="20"/>
  <c r="H82" i="20"/>
  <c r="N332" i="19"/>
  <c r="I373" i="19"/>
  <c r="K309" i="21"/>
  <c r="N136" i="19"/>
  <c r="N166" i="19" s="1"/>
  <c r="N168" i="19" s="1"/>
  <c r="K270" i="21"/>
  <c r="C286" i="21" s="1"/>
  <c r="G161" i="21" s="1"/>
  <c r="D35" i="5" s="1"/>
  <c r="I395" i="21"/>
  <c r="G399" i="21"/>
  <c r="G195" i="21"/>
  <c r="N190" i="21"/>
  <c r="L213" i="19"/>
  <c r="H37" i="19" s="1"/>
  <c r="N213" i="19"/>
  <c r="G439" i="21"/>
  <c r="G359" i="21"/>
  <c r="H456" i="19"/>
  <c r="I452" i="19"/>
  <c r="K216" i="19"/>
  <c r="C224" i="19" s="1"/>
  <c r="D25" i="6"/>
  <c r="L415" i="19"/>
  <c r="J72" i="19" s="1"/>
  <c r="J144" i="19" s="1"/>
  <c r="N415" i="19"/>
  <c r="N416" i="19" s="1"/>
  <c r="N64" i="19"/>
  <c r="N95" i="19" s="1"/>
  <c r="N97" i="19" s="1"/>
  <c r="H86" i="21"/>
  <c r="H88" i="21" s="1"/>
  <c r="H99" i="21"/>
  <c r="G315" i="21"/>
  <c r="I99" i="21"/>
  <c r="E38" i="6"/>
  <c r="E149" i="6" s="1"/>
  <c r="D149" i="6"/>
  <c r="B25" i="4" s="1"/>
  <c r="L236" i="21" l="1"/>
  <c r="H43" i="21" s="1"/>
  <c r="H107" i="21" s="1"/>
  <c r="N236" i="21"/>
  <c r="L492" i="19"/>
  <c r="G86" i="19" s="1"/>
  <c r="N492" i="19"/>
  <c r="K237" i="21"/>
  <c r="K238" i="21" s="1"/>
  <c r="C25" i="4"/>
  <c r="E177" i="6"/>
  <c r="H150" i="21"/>
  <c r="H152" i="21" s="1"/>
  <c r="H109" i="19"/>
  <c r="D35" i="6"/>
  <c r="D145" i="5"/>
  <c r="J82" i="20"/>
  <c r="H86" i="20"/>
  <c r="I86" i="20" s="1"/>
  <c r="M82" i="20"/>
  <c r="H296" i="19"/>
  <c r="I292" i="19"/>
  <c r="N113" i="21"/>
  <c r="L130" i="23"/>
  <c r="E23" i="6"/>
  <c r="E144" i="6" s="1"/>
  <c r="D144" i="6"/>
  <c r="B20" i="4" s="1"/>
  <c r="N270" i="21"/>
  <c r="K334" i="19"/>
  <c r="K335" i="19" s="1"/>
  <c r="N37" i="19"/>
  <c r="L215" i="19"/>
  <c r="J37" i="19" s="1"/>
  <c r="N215" i="19"/>
  <c r="N216" i="19" s="1"/>
  <c r="H376" i="19"/>
  <c r="K452" i="19"/>
  <c r="N452" i="19" s="1"/>
  <c r="I456" i="19"/>
  <c r="J456" i="19" s="1"/>
  <c r="L309" i="21"/>
  <c r="I56" i="21" s="1"/>
  <c r="N309" i="21"/>
  <c r="H358" i="21"/>
  <c r="I358" i="21" s="1"/>
  <c r="H355" i="21"/>
  <c r="H356" i="21"/>
  <c r="I356" i="21" s="1"/>
  <c r="H357" i="21"/>
  <c r="I357" i="21" s="1"/>
  <c r="L235" i="21"/>
  <c r="G43" i="21" s="1"/>
  <c r="E39" i="6"/>
  <c r="E150" i="6" s="1"/>
  <c r="D150" i="6"/>
  <c r="B26" i="4" s="1"/>
  <c r="N49" i="21"/>
  <c r="K372" i="19"/>
  <c r="K373" i="19" s="1"/>
  <c r="I376" i="19"/>
  <c r="J376" i="19" s="1"/>
  <c r="N372" i="19"/>
  <c r="G279" i="21"/>
  <c r="D33" i="6"/>
  <c r="D142" i="5"/>
  <c r="E25" i="6"/>
  <c r="H198" i="21"/>
  <c r="I198" i="21" s="1"/>
  <c r="H197" i="21"/>
  <c r="I197" i="21" s="1"/>
  <c r="H196" i="21"/>
  <c r="I196" i="21" s="1"/>
  <c r="H195" i="21"/>
  <c r="I399" i="21"/>
  <c r="J399" i="21" s="1"/>
  <c r="G199" i="21"/>
  <c r="H435" i="21"/>
  <c r="H438" i="21"/>
  <c r="I438" i="21" s="1"/>
  <c r="H437" i="21"/>
  <c r="I437" i="21" s="1"/>
  <c r="H436" i="21"/>
  <c r="I436" i="21" s="1"/>
  <c r="H399" i="21"/>
  <c r="G130" i="19"/>
  <c r="N144" i="19"/>
  <c r="I109" i="19"/>
  <c r="N235" i="21"/>
  <c r="E176" i="6"/>
  <c r="C24" i="4"/>
  <c r="N99" i="21"/>
  <c r="G150" i="21"/>
  <c r="K493" i="19"/>
  <c r="L333" i="19"/>
  <c r="H58" i="19" s="1"/>
  <c r="H130" i="19" s="1"/>
  <c r="N333" i="19"/>
  <c r="N72" i="19"/>
  <c r="K310" i="21"/>
  <c r="C326" i="21" s="1"/>
  <c r="G162" i="21" s="1"/>
  <c r="D36" i="5" s="1"/>
  <c r="L238" i="21" l="1"/>
  <c r="J43" i="21" s="1"/>
  <c r="J107" i="21" s="1"/>
  <c r="N238" i="21"/>
  <c r="K239" i="21"/>
  <c r="C247" i="21" s="1"/>
  <c r="L373" i="19"/>
  <c r="H65" i="19" s="1"/>
  <c r="H137" i="19" s="1"/>
  <c r="N373" i="19"/>
  <c r="K374" i="19"/>
  <c r="K375" i="19" s="1"/>
  <c r="L335" i="19"/>
  <c r="J58" i="19" s="1"/>
  <c r="J130" i="19" s="1"/>
  <c r="N335" i="19"/>
  <c r="G167" i="21"/>
  <c r="K494" i="19"/>
  <c r="K495" i="19" s="1"/>
  <c r="H199" i="21"/>
  <c r="H359" i="21"/>
  <c r="I355" i="21"/>
  <c r="H276" i="21"/>
  <c r="I276" i="21" s="1"/>
  <c r="H277" i="21"/>
  <c r="I277" i="21" s="1"/>
  <c r="H278" i="21"/>
  <c r="I278" i="21" s="1"/>
  <c r="H275" i="21"/>
  <c r="K82" i="20"/>
  <c r="C39" i="20" s="1"/>
  <c r="K395" i="21"/>
  <c r="G107" i="21"/>
  <c r="K453" i="19"/>
  <c r="J109" i="19"/>
  <c r="D36" i="6"/>
  <c r="D147" i="5"/>
  <c r="D152" i="5" s="1"/>
  <c r="D154" i="5" s="1"/>
  <c r="G317" i="21"/>
  <c r="N310" i="21"/>
  <c r="E35" i="6"/>
  <c r="E145" i="6" s="1"/>
  <c r="D145" i="6"/>
  <c r="B21" i="4" s="1"/>
  <c r="L493" i="19"/>
  <c r="H86" i="19" s="1"/>
  <c r="H158" i="19" s="1"/>
  <c r="N493" i="19"/>
  <c r="L452" i="19"/>
  <c r="G79" i="19" s="1"/>
  <c r="H439" i="21"/>
  <c r="I435" i="21"/>
  <c r="I195" i="21"/>
  <c r="E33" i="6"/>
  <c r="E142" i="6" s="1"/>
  <c r="D142" i="6"/>
  <c r="B18" i="4" s="1"/>
  <c r="E178" i="6"/>
  <c r="C26" i="4"/>
  <c r="I120" i="21"/>
  <c r="N56" i="21"/>
  <c r="N86" i="21" s="1"/>
  <c r="N88" i="21" s="1"/>
  <c r="I86" i="21"/>
  <c r="I88" i="21" s="1"/>
  <c r="L334" i="19"/>
  <c r="I58" i="19" s="1"/>
  <c r="N334" i="19"/>
  <c r="N336" i="19" s="1"/>
  <c r="K336" i="19"/>
  <c r="C344" i="19" s="1"/>
  <c r="C20" i="4"/>
  <c r="E173" i="6"/>
  <c r="K292" i="19"/>
  <c r="I296" i="19"/>
  <c r="J296" i="19" s="1"/>
  <c r="J84" i="20"/>
  <c r="J85" i="20" s="1"/>
  <c r="J83" i="20"/>
  <c r="G158" i="19"/>
  <c r="G152" i="21"/>
  <c r="L372" i="19"/>
  <c r="G65" i="19" s="1"/>
  <c r="L237" i="21"/>
  <c r="I43" i="21" s="1"/>
  <c r="I107" i="21" s="1"/>
  <c r="N237" i="21"/>
  <c r="N239" i="21" s="1"/>
  <c r="J86" i="20" l="1"/>
  <c r="B94" i="20" s="1"/>
  <c r="L495" i="19"/>
  <c r="J86" i="19" s="1"/>
  <c r="J158" i="19" s="1"/>
  <c r="N495" i="19"/>
  <c r="K496" i="19"/>
  <c r="C504" i="19" s="1"/>
  <c r="L375" i="19"/>
  <c r="J65" i="19" s="1"/>
  <c r="J137" i="19" s="1"/>
  <c r="N375" i="19"/>
  <c r="K376" i="19"/>
  <c r="C384" i="19" s="1"/>
  <c r="K85" i="20"/>
  <c r="F39" i="20" s="1"/>
  <c r="M85" i="20"/>
  <c r="G137" i="19"/>
  <c r="L292" i="19"/>
  <c r="G51" i="19" s="1"/>
  <c r="I150" i="21"/>
  <c r="N120" i="21"/>
  <c r="I130" i="19"/>
  <c r="N130" i="19" s="1"/>
  <c r="N58" i="19"/>
  <c r="I199" i="21"/>
  <c r="J199" i="21" s="1"/>
  <c r="G151" i="19"/>
  <c r="K454" i="19"/>
  <c r="K455" i="19" s="1"/>
  <c r="N43" i="21"/>
  <c r="L395" i="21"/>
  <c r="G71" i="21" s="1"/>
  <c r="N395" i="21"/>
  <c r="C40" i="20"/>
  <c r="C28" i="20" s="1"/>
  <c r="C54" i="20"/>
  <c r="K396" i="21"/>
  <c r="K397" i="21" s="1"/>
  <c r="I439" i="21"/>
  <c r="J439" i="21" s="1"/>
  <c r="K435" i="21" s="1"/>
  <c r="K84" i="20"/>
  <c r="E39" i="20" s="1"/>
  <c r="M84" i="20"/>
  <c r="N292" i="19"/>
  <c r="E171" i="6"/>
  <c r="E152" i="6"/>
  <c r="E154" i="6" s="1"/>
  <c r="C18" i="4"/>
  <c r="K83" i="20"/>
  <c r="D39" i="20" s="1"/>
  <c r="M83" i="20"/>
  <c r="M86" i="20" s="1"/>
  <c r="K294" i="19"/>
  <c r="K293" i="19"/>
  <c r="K295" i="19"/>
  <c r="H317" i="21"/>
  <c r="H318" i="21"/>
  <c r="I318" i="21" s="1"/>
  <c r="H315" i="21"/>
  <c r="H316" i="21"/>
  <c r="I316" i="21" s="1"/>
  <c r="H279" i="21"/>
  <c r="I275" i="21"/>
  <c r="I359" i="21"/>
  <c r="J359" i="21" s="1"/>
  <c r="C21" i="4"/>
  <c r="E174" i="6"/>
  <c r="I317" i="21"/>
  <c r="G319" i="21"/>
  <c r="E36" i="6"/>
  <c r="E147" i="6" s="1"/>
  <c r="D147" i="6"/>
  <c r="L453" i="19"/>
  <c r="H79" i="19" s="1"/>
  <c r="H151" i="19" s="1"/>
  <c r="N453" i="19"/>
  <c r="N107" i="21"/>
  <c r="L494" i="19"/>
  <c r="I86" i="19" s="1"/>
  <c r="N494" i="19"/>
  <c r="N496" i="19" s="1"/>
  <c r="L374" i="19"/>
  <c r="I65" i="19" s="1"/>
  <c r="I137" i="19" s="1"/>
  <c r="N374" i="19"/>
  <c r="N376" i="19" s="1"/>
  <c r="N109" i="19"/>
  <c r="L435" i="21" l="1"/>
  <c r="G78" i="21" s="1"/>
  <c r="N435" i="21"/>
  <c r="L397" i="21"/>
  <c r="I71" i="21" s="1"/>
  <c r="I135" i="21" s="1"/>
  <c r="N397" i="21"/>
  <c r="L455" i="19"/>
  <c r="J79" i="19" s="1"/>
  <c r="J151" i="19" s="1"/>
  <c r="N455" i="19"/>
  <c r="I279" i="21"/>
  <c r="J279" i="21" s="1"/>
  <c r="L294" i="19"/>
  <c r="I51" i="19" s="1"/>
  <c r="N294" i="19"/>
  <c r="E40" i="20"/>
  <c r="E28" i="20" s="1"/>
  <c r="E54" i="20"/>
  <c r="E170" i="6"/>
  <c r="E169" i="6" s="1"/>
  <c r="K398" i="21"/>
  <c r="N65" i="19"/>
  <c r="D40" i="20"/>
  <c r="D28" i="20" s="1"/>
  <c r="D54" i="20"/>
  <c r="J54" i="20" s="1"/>
  <c r="N51" i="19"/>
  <c r="G123" i="19"/>
  <c r="G96" i="19"/>
  <c r="L295" i="19"/>
  <c r="J51" i="19" s="1"/>
  <c r="N295" i="19"/>
  <c r="L396" i="21"/>
  <c r="H71" i="21" s="1"/>
  <c r="H135" i="21" s="1"/>
  <c r="N396" i="21"/>
  <c r="L454" i="19"/>
  <c r="I79" i="19" s="1"/>
  <c r="I151" i="19" s="1"/>
  <c r="N454" i="19"/>
  <c r="N456" i="19" s="1"/>
  <c r="K456" i="19"/>
  <c r="C464" i="19" s="1"/>
  <c r="C23" i="4"/>
  <c r="C28" i="4" s="1"/>
  <c r="C30" i="4" s="1"/>
  <c r="C31" i="4" s="1"/>
  <c r="E175" i="6"/>
  <c r="K355" i="21"/>
  <c r="K356" i="21" s="1"/>
  <c r="H319" i="21"/>
  <c r="I315" i="21"/>
  <c r="L293" i="19"/>
  <c r="H51" i="19" s="1"/>
  <c r="N293" i="19"/>
  <c r="N296" i="19" s="1"/>
  <c r="J39" i="20"/>
  <c r="G135" i="21"/>
  <c r="K195" i="21"/>
  <c r="K196" i="21" s="1"/>
  <c r="K296" i="19"/>
  <c r="C304" i="19" s="1"/>
  <c r="B23" i="4"/>
  <c r="B28" i="4" s="1"/>
  <c r="B30" i="4" s="1"/>
  <c r="B31" i="4" s="1"/>
  <c r="D152" i="6"/>
  <c r="D154" i="6" s="1"/>
  <c r="I158" i="19"/>
  <c r="N158" i="19" s="1"/>
  <c r="N86" i="19"/>
  <c r="K437" i="21"/>
  <c r="K439" i="21" s="1"/>
  <c r="C447" i="21" s="1"/>
  <c r="K436" i="21"/>
  <c r="K438" i="21"/>
  <c r="K399" i="21"/>
  <c r="C407" i="21" s="1"/>
  <c r="N151" i="19"/>
  <c r="I152" i="21"/>
  <c r="N150" i="21"/>
  <c r="N152" i="21" s="1"/>
  <c r="N137" i="19"/>
  <c r="F40" i="20"/>
  <c r="F28" i="20" s="1"/>
  <c r="F54" i="20"/>
  <c r="L196" i="21" l="1"/>
  <c r="H36" i="21" s="1"/>
  <c r="N196" i="21"/>
  <c r="L356" i="21"/>
  <c r="H64" i="21" s="1"/>
  <c r="H128" i="21" s="1"/>
  <c r="N356" i="21"/>
  <c r="L438" i="21"/>
  <c r="J78" i="21" s="1"/>
  <c r="J142" i="21" s="1"/>
  <c r="N438" i="21"/>
  <c r="I319" i="21"/>
  <c r="J319" i="21" s="1"/>
  <c r="K197" i="21"/>
  <c r="L398" i="21"/>
  <c r="J71" i="21" s="1"/>
  <c r="N398" i="21"/>
  <c r="N399" i="21" s="1"/>
  <c r="I123" i="19"/>
  <c r="I167" i="19" s="1"/>
  <c r="I96" i="19"/>
  <c r="L436" i="21"/>
  <c r="H78" i="21" s="1"/>
  <c r="H142" i="21" s="1"/>
  <c r="N436" i="21"/>
  <c r="L39" i="20"/>
  <c r="L40" i="20" s="1"/>
  <c r="J40" i="20"/>
  <c r="J28" i="20" s="1"/>
  <c r="G167" i="19"/>
  <c r="K276" i="21"/>
  <c r="L437" i="21"/>
  <c r="I78" i="21" s="1"/>
  <c r="I142" i="21" s="1"/>
  <c r="N437" i="21"/>
  <c r="N439" i="21" s="1"/>
  <c r="L195" i="21"/>
  <c r="G36" i="21" s="1"/>
  <c r="N195" i="21"/>
  <c r="L355" i="21"/>
  <c r="G64" i="21" s="1"/>
  <c r="N355" i="21"/>
  <c r="N96" i="19"/>
  <c r="H123" i="19"/>
  <c r="H167" i="19" s="1"/>
  <c r="H96" i="19"/>
  <c r="K357" i="21"/>
  <c r="N79" i="19"/>
  <c r="K275" i="21"/>
  <c r="N78" i="21"/>
  <c r="G142" i="21"/>
  <c r="N142" i="21" s="1"/>
  <c r="J123" i="19"/>
  <c r="J167" i="19" s="1"/>
  <c r="J96" i="19"/>
  <c r="K199" i="21" l="1"/>
  <c r="C207" i="21" s="1"/>
  <c r="G100" i="21"/>
  <c r="K198" i="21"/>
  <c r="G128" i="21"/>
  <c r="N123" i="19"/>
  <c r="N167" i="19" s="1"/>
  <c r="J135" i="21"/>
  <c r="N135" i="21" s="1"/>
  <c r="N71" i="21"/>
  <c r="L197" i="21"/>
  <c r="I36" i="21" s="1"/>
  <c r="N197" i="21"/>
  <c r="L357" i="21"/>
  <c r="I64" i="21" s="1"/>
  <c r="I128" i="21" s="1"/>
  <c r="N357" i="21"/>
  <c r="L276" i="21"/>
  <c r="H50" i="21" s="1"/>
  <c r="H114" i="21" s="1"/>
  <c r="N276" i="21"/>
  <c r="L275" i="21"/>
  <c r="G50" i="21" s="1"/>
  <c r="N275" i="21"/>
  <c r="K358" i="21"/>
  <c r="K277" i="21"/>
  <c r="K315" i="21"/>
  <c r="H100" i="21"/>
  <c r="L358" i="21" l="1"/>
  <c r="J64" i="21" s="1"/>
  <c r="J128" i="21" s="1"/>
  <c r="N358" i="21"/>
  <c r="N359" i="21" s="1"/>
  <c r="L315" i="21"/>
  <c r="G57" i="21" s="1"/>
  <c r="G87" i="21" s="1"/>
  <c r="N315" i="21"/>
  <c r="N128" i="21"/>
  <c r="L277" i="21"/>
  <c r="I50" i="21" s="1"/>
  <c r="I114" i="21" s="1"/>
  <c r="N277" i="21"/>
  <c r="G114" i="21"/>
  <c r="K359" i="21"/>
  <c r="C367" i="21" s="1"/>
  <c r="I100" i="21"/>
  <c r="N64" i="21"/>
  <c r="N36" i="21"/>
  <c r="K316" i="21"/>
  <c r="L198" i="21"/>
  <c r="J36" i="21" s="1"/>
  <c r="N198" i="21"/>
  <c r="N199" i="21" s="1"/>
  <c r="K278" i="21"/>
  <c r="N100" i="21" l="1"/>
  <c r="J100" i="21"/>
  <c r="G151" i="21"/>
  <c r="L316" i="21"/>
  <c r="H57" i="21" s="1"/>
  <c r="N316" i="21"/>
  <c r="K317" i="21"/>
  <c r="G121" i="21"/>
  <c r="L278" i="21"/>
  <c r="J50" i="21" s="1"/>
  <c r="N278" i="21"/>
  <c r="N279" i="21" s="1"/>
  <c r="K279" i="21"/>
  <c r="C287" i="21" s="1"/>
  <c r="K318" i="21"/>
  <c r="K319" i="21"/>
  <c r="C327" i="21" s="1"/>
  <c r="N319" i="21" l="1"/>
  <c r="H121" i="21"/>
  <c r="H151" i="21" s="1"/>
  <c r="H87" i="21"/>
  <c r="L318" i="21"/>
  <c r="J57" i="21" s="1"/>
  <c r="N318" i="21"/>
  <c r="J114" i="21"/>
  <c r="N114" i="21" s="1"/>
  <c r="N50" i="21"/>
  <c r="L317" i="21"/>
  <c r="I57" i="21" s="1"/>
  <c r="N317" i="21"/>
  <c r="I121" i="21" l="1"/>
  <c r="N57" i="21"/>
  <c r="I87" i="21"/>
  <c r="J121" i="21"/>
  <c r="J151" i="21" s="1"/>
  <c r="J87" i="21"/>
  <c r="N87" i="21"/>
  <c r="I151" i="21" l="1"/>
  <c r="N151" i="21" s="1"/>
  <c r="N121" i="21"/>
</calcChain>
</file>

<file path=xl/sharedStrings.xml><?xml version="1.0" encoding="utf-8"?>
<sst xmlns="http://schemas.openxmlformats.org/spreadsheetml/2006/main" count="1267" uniqueCount="386">
  <si>
    <t>Budget</t>
  </si>
  <si>
    <t>Realiteit</t>
  </si>
  <si>
    <t>boekjaar</t>
  </si>
  <si>
    <t>Codes</t>
  </si>
  <si>
    <t>Formule</t>
  </si>
  <si>
    <t>+</t>
  </si>
  <si>
    <t>Aangekochte GSC</t>
  </si>
  <si>
    <t>Aangekochte WKC</t>
  </si>
  <si>
    <t>Verkochte GSC</t>
  </si>
  <si>
    <t>-</t>
  </si>
  <si>
    <t>Verkochte WKC</t>
  </si>
  <si>
    <t>Voorraadwijziging groenestroomcertificaten (toename voorraad: negatieve waarde, afname voorraad: positieve waarde)</t>
  </si>
  <si>
    <t>Voorraadwijziging warmtekrachtcertificaten (toename voorraad: negatieve waarde, afname voorraad: positieve waarde)</t>
  </si>
  <si>
    <t>Kapitaalkostvergoeding niet-geïmmobiliseerde GSC en WKC</t>
  </si>
  <si>
    <t>Gemiddelde voorraad geïmmobiliseerde groenestroom- en warmtekrachtcertificaten (boekhoudkundige waarde)</t>
  </si>
  <si>
    <t>Ja</t>
  </si>
  <si>
    <t>Neen</t>
  </si>
  <si>
    <t>DISTRIBUTIENETBEHEERDER :</t>
  </si>
  <si>
    <t>ONDERNEMINGSNUMMER:</t>
  </si>
  <si>
    <t>WERKMAATSCHAPPIJ:</t>
  </si>
  <si>
    <t>ACTIVITEIT :</t>
  </si>
  <si>
    <t>In het kader van volgende reguleringsperiode:</t>
  </si>
  <si>
    <t>van</t>
  </si>
  <si>
    <t>tot en met</t>
  </si>
  <si>
    <t xml:space="preserve">Het rapporteringsmodel heeft als doel om via een standaardformaat tegemoet te komen aan de informatiebehoeften van de VREG </t>
  </si>
  <si>
    <t>RAPPORTERINGSMODEL EXOGENE KOSTEN</t>
  </si>
  <si>
    <t>Distributienetbeheerder:</t>
  </si>
  <si>
    <t>Activiteit:</t>
  </si>
  <si>
    <t>jaar</t>
  </si>
  <si>
    <t>INVLOED OP HET RESULTAAT</t>
  </si>
  <si>
    <t>Saldo van het jaar</t>
  </si>
  <si>
    <t>TOTAAL</t>
  </si>
  <si>
    <r>
      <rPr>
        <b/>
        <sz val="10"/>
        <rFont val="Arial"/>
        <family val="2"/>
      </rPr>
      <t>Boeking</t>
    </r>
    <r>
      <rPr>
        <sz val="10"/>
        <rFont val="Arial"/>
        <family val="2"/>
      </rPr>
      <t xml:space="preserve"> van het saldo </t>
    </r>
    <r>
      <rPr>
        <sz val="10"/>
        <rFont val="Arial"/>
        <family val="2"/>
      </rPr>
      <t>in het resultaat van het exploitatiejaar</t>
    </r>
  </si>
  <si>
    <t>Totaal</t>
  </si>
  <si>
    <t>(1)</t>
  </si>
  <si>
    <t>(2)</t>
  </si>
  <si>
    <t xml:space="preserve">in het </t>
  </si>
  <si>
    <t xml:space="preserve">resultaat </t>
  </si>
  <si>
    <t xml:space="preserve">    Totale jaarlijkse impact</t>
  </si>
  <si>
    <t xml:space="preserve">    op de resultaten</t>
  </si>
  <si>
    <t>Overlopende rekeningen</t>
  </si>
  <si>
    <t>Saldo</t>
  </si>
  <si>
    <t>(+) Debet saldo</t>
  </si>
  <si>
    <t>Beslissing van de VREG</t>
  </si>
  <si>
    <t>Tariefposten</t>
  </si>
  <si>
    <t>Vlaanderen</t>
  </si>
  <si>
    <t>Federaal</t>
  </si>
  <si>
    <t>Toeslagen of heffingen ter financiering van de openbare dienstverplichtingen</t>
  </si>
  <si>
    <t>Bijdragen ter dekking van de verloren kosten</t>
  </si>
  <si>
    <t>Totaal belastingen, heffingen, toeslagen, bijdragen en retributies</t>
  </si>
  <si>
    <t>Bijkomende informatie</t>
  </si>
  <si>
    <t>Belastingen, heffingen, toeslagen, bijdragen en retributies</t>
  </si>
  <si>
    <t>In dit rapporteringsmodel worden de tabellen en bijkomend aan te leveren informatie opgenomen die moeten worden gebruikt in het kader van</t>
  </si>
  <si>
    <t>RICHTLIJNEN BIJ HET INVULLEN EN DE INTERPRETATIE VAN HET RAPPORTERINGSMODEL VOOR EXOGENE KOSTEN</t>
  </si>
  <si>
    <t xml:space="preserve">de bepaling van het inkomen ter dekking van de exogene kosten van de distributienetbeheerder. Desalniettemin behoudt de VREG zich de mogelijkheid  </t>
  </si>
  <si>
    <t>Legenda celkleuren</t>
  </si>
  <si>
    <t>(+) ==&gt; Teruggave overschot, verlaging van de tarieven;</t>
  </si>
  <si>
    <t xml:space="preserve">(-) ==&gt; Recuperatie tekort, verhoging van de tarieven </t>
  </si>
  <si>
    <t>Resterend saldo terug te nemen</t>
  </si>
  <si>
    <t>Kapitaalkostvergoeding volgens tariefmethodologie</t>
  </si>
  <si>
    <t>X</t>
  </si>
  <si>
    <t>Berekende of overgenomen waarde waarvoor dus geen manuele input vereist is</t>
  </si>
  <si>
    <t>Opmerking</t>
  </si>
  <si>
    <t>Verplicht aangekochte groenestroom- en warmtekrachtcertificaten (GSC en WKC) aan minimumwaarde volgens Energiedecreet</t>
  </si>
  <si>
    <t xml:space="preserve">(-) ==&gt; Minder werkelijke exogene kosten dan werkelijke ontvangsten voor exogene kosten; </t>
  </si>
  <si>
    <t>(+) ==&gt; Meer werkelijke exogene kosten dan werkelijke ontvangsten voor exogene kosten.</t>
  </si>
  <si>
    <t>REGULATOIRE SALDI M.B.T. VOLUMEVERSCHILLEN</t>
  </si>
  <si>
    <t xml:space="preserve">(-) ==&gt; Minder werkelijke exogene kosten dan werkelijke ontvangsten voor exogene kosten (overschot); </t>
  </si>
  <si>
    <t>Vergoeding Vlaamse Overheid relatief t.o.v. gemiddelde voorraad aan boekhoudkundige waarde</t>
  </si>
  <si>
    <t>Tabellen</t>
  </si>
  <si>
    <t>van de commissaris van de distributienetbeheerder.</t>
  </si>
  <si>
    <t xml:space="preserve">Lasten van niet-gekapitaliseerde pensioenen </t>
  </si>
  <si>
    <t>TABEL 2: Algemeen overzicht</t>
  </si>
  <si>
    <t>OPBRENGSTEN</t>
  </si>
  <si>
    <t>I. Bedrijfsopbrengsten</t>
  </si>
  <si>
    <t>70/74</t>
  </si>
  <si>
    <t>A. Omzet</t>
  </si>
  <si>
    <t>B. Wijziging in de voorraad goederen in bewerking</t>
  </si>
  <si>
    <t xml:space="preserve">    en gereed product en in de bestellingen in uit-</t>
  </si>
  <si>
    <t xml:space="preserve">    voering (toename +, afname -)</t>
  </si>
  <si>
    <t>C. Geproduceerde vaste activa</t>
  </si>
  <si>
    <t>D. Andere bedrijfsopbrengsten</t>
  </si>
  <si>
    <t>IV. Financiële opbrengsten</t>
  </si>
  <si>
    <t>VII. Uitzonderlijke opbrengsten</t>
  </si>
  <si>
    <t>IX bis. A. Onttrekking aan de uitgestelde</t>
  </si>
  <si>
    <t xml:space="preserve"> belastingen</t>
  </si>
  <si>
    <t>X. B. Regularisering van belastingen en terugne-</t>
  </si>
  <si>
    <t xml:space="preserve">   ming van voorzieningen voor belastingen</t>
  </si>
  <si>
    <t>XI. Verlies van het boekjaar</t>
  </si>
  <si>
    <t>KOSTEN</t>
  </si>
  <si>
    <t>II. Bedrijfskosten</t>
  </si>
  <si>
    <t>60/64</t>
  </si>
  <si>
    <t>A. Handelsgoederen, grond- en hulpstoffen</t>
  </si>
  <si>
    <t>B. Diensten en diverse goederen</t>
  </si>
  <si>
    <t>C. Bezoldigingen, sociale lasten en pensioenen</t>
  </si>
  <si>
    <t>D. Afschrijvingen en waardeverminderingen op</t>
  </si>
  <si>
    <t xml:space="preserve">    oprichtingskosten, op immateriële en </t>
  </si>
  <si>
    <t xml:space="preserve">    materiële vaste activa</t>
  </si>
  <si>
    <t>E. Waardeverminderingen op voorraden, bestellin-</t>
  </si>
  <si>
    <t xml:space="preserve">    gen in uitvoering en handelsvorderingen (toevoe-</t>
  </si>
  <si>
    <t xml:space="preserve">    gingen +, terugnemingen -)</t>
  </si>
  <si>
    <t>631/4</t>
  </si>
  <si>
    <t>F. Voorzieningen voor risico's en kosten (toevoe-</t>
  </si>
  <si>
    <t xml:space="preserve">    gingen +, bestedingen en terugnemingen -)</t>
  </si>
  <si>
    <t>635/7</t>
  </si>
  <si>
    <t>G. Andere bedrijfskosten</t>
  </si>
  <si>
    <t>640/8</t>
  </si>
  <si>
    <t>H. Als herstructureringskosten geactiveerde bedrijfs-</t>
  </si>
  <si>
    <t xml:space="preserve">    kosten (-)</t>
  </si>
  <si>
    <t>V. Financiële kosten</t>
  </si>
  <si>
    <t>VIII. Uitzonderlijke kosten</t>
  </si>
  <si>
    <t>IX bis. B. Overboeking naar de uitgestelde</t>
  </si>
  <si>
    <t>670/3</t>
  </si>
  <si>
    <t>Netbeheer elektriciteit</t>
  </si>
  <si>
    <t>Netbeheer gas</t>
  </si>
  <si>
    <t>Niet-gereguleerde activiteiten</t>
  </si>
  <si>
    <t>Exogene kosten/opbrengsten</t>
  </si>
  <si>
    <t>XI. Winst van het boekjaar</t>
  </si>
  <si>
    <t>Totaal opbrengsten</t>
  </si>
  <si>
    <t>Totaal kosten</t>
  </si>
  <si>
    <t>Resultaat</t>
  </si>
  <si>
    <t>X. A. Belastingen op het resultaat</t>
  </si>
  <si>
    <t>Overige kosten/opbrengsten</t>
  </si>
  <si>
    <t>TABEL 3A: Overzicht exogene kosten (gebudgetteerde waarden)</t>
  </si>
  <si>
    <t>In te vullen door de distributienetbeheerder</t>
  </si>
  <si>
    <t>In te vullen door de VREG</t>
  </si>
  <si>
    <t>Cel die nog niet kan ingevuld worden met de huidig beschikbare informatie</t>
  </si>
  <si>
    <t>TITELBLAD</t>
  </si>
  <si>
    <t>TABEL 7</t>
  </si>
  <si>
    <t>TABEL 8</t>
  </si>
  <si>
    <t>Tariefcomponent</t>
  </si>
  <si>
    <t>Het basistarief voor het gebruik van het net (tarief voor onderschreven en bijkomend vermogen)</t>
  </si>
  <si>
    <t>Het tarief voor het systeembeheer</t>
  </si>
  <si>
    <t>Het tarief voor openbare dienstverplichtingen</t>
  </si>
  <si>
    <t>De tariefposten in verband met de belastingen, heffingen, toeslagen, bijdragen en retributies</t>
  </si>
  <si>
    <t>Exogene kosten i.h.k.v. het basistarief voor het gebruik van het net</t>
  </si>
  <si>
    <t>Exogene kosten i.h.k.v. het tarief voor het systeembeheer</t>
  </si>
  <si>
    <t>Exogene kosten i.h.k.v. het tarief voor de meet-en telactiviteit</t>
  </si>
  <si>
    <t>Het tarief ter vergoeding van de meet- en telactiviteit</t>
  </si>
  <si>
    <t>Exogene kosten i.h.k.v. het tarief voor openbare dienstverplichtingen</t>
  </si>
  <si>
    <t>Exogene kosten i.h.k.v. het tarief voor de regeling van de spanning en het reactief vermogen</t>
  </si>
  <si>
    <t>Exogene kosten i.h.k.v. het tarief voor de compensatie van de netverliezen</t>
  </si>
  <si>
    <t>Exogene kosten i.h.k.v. het tarief voor de supplementaire en complementaire diensten</t>
  </si>
  <si>
    <t>Exogene kosten i.h.k.v. het tarief voor belastingen, heffingen, toeslagen, bijdragen en retributies</t>
  </si>
  <si>
    <t>(+) ==&gt; Tekort, meer kosten dan gebudgetteerd</t>
  </si>
  <si>
    <t>(-) ==&gt; Overschot, minder kosten dan gebudgetteerd</t>
  </si>
  <si>
    <t>BTW-REGIME:</t>
  </si>
  <si>
    <t>Exogene kosten i.h.k.v. het tarief voor het gebruik van het transmissienet</t>
  </si>
  <si>
    <t>1.</t>
  </si>
  <si>
    <t>Tarief gebruik van het net</t>
  </si>
  <si>
    <t>1.1</t>
  </si>
  <si>
    <t>1.2.</t>
  </si>
  <si>
    <t>Tarief systeemdiensten</t>
  </si>
  <si>
    <t>1.3.</t>
  </si>
  <si>
    <t>Tarief meet- en telactiviteit</t>
  </si>
  <si>
    <t>2.</t>
  </si>
  <si>
    <t>Tarief openbare dienstverplichtingen</t>
  </si>
  <si>
    <t>3.</t>
  </si>
  <si>
    <t>Tarief ondersteunende diensten</t>
  </si>
  <si>
    <t>3.1.</t>
  </si>
  <si>
    <t>Tarief netverliezen</t>
  </si>
  <si>
    <t>3.2.</t>
  </si>
  <si>
    <t>Tarief reactieve energie</t>
  </si>
  <si>
    <t>4.</t>
  </si>
  <si>
    <t>Toeslagen</t>
  </si>
  <si>
    <t>5.</t>
  </si>
  <si>
    <t>Tarief voor het systeembeheer</t>
  </si>
  <si>
    <t>TOTAAL  (ELEKTRICITEIT - AFNAME)</t>
  </si>
  <si>
    <t>TOTAAL  (ELEKTRICITEIT - INJECTIE)</t>
  </si>
  <si>
    <t>I. De tarieven voor het gebruik van het distributienet</t>
  </si>
  <si>
    <t>1)</t>
  </si>
  <si>
    <t xml:space="preserve">Het basistarief voor overbrenging met het net </t>
  </si>
  <si>
    <t>2)</t>
  </si>
  <si>
    <t xml:space="preserve">Het tarief voor het systeembeheer </t>
  </si>
  <si>
    <t>3)</t>
  </si>
  <si>
    <t>Het tarief voor de metingactiviteit</t>
  </si>
  <si>
    <t>II. Het tarief openbare dienstverplichtingen</t>
  </si>
  <si>
    <t>TOTAAL PERIODIEKE TARIEVEN (GAS)</t>
  </si>
  <si>
    <t>TABEL 5A</t>
  </si>
  <si>
    <t>Overdrachten en/of terugnames</t>
  </si>
  <si>
    <t>Gereguleerde activiteiten</t>
  </si>
  <si>
    <t>Controle met tabel 3B:</t>
  </si>
  <si>
    <r>
      <t xml:space="preserve">Gelieve </t>
    </r>
    <r>
      <rPr>
        <b/>
        <i/>
        <sz val="10"/>
        <rFont val="Arial"/>
        <family val="2"/>
      </rPr>
      <t>positieve</t>
    </r>
    <r>
      <rPr>
        <i/>
        <sz val="10"/>
        <rFont val="Arial"/>
        <family val="2"/>
      </rPr>
      <t xml:space="preserve"> waarden in te geven (voor kosten indien debetsaldo en voor opbrengsten indien creditsaldo).</t>
    </r>
  </si>
  <si>
    <r>
      <t xml:space="preserve">Gelieve </t>
    </r>
    <r>
      <rPr>
        <b/>
        <i/>
        <sz val="10"/>
        <rFont val="Arial"/>
        <family val="2"/>
      </rPr>
      <t>positieve</t>
    </r>
    <r>
      <rPr>
        <i/>
        <sz val="10"/>
        <rFont val="Arial"/>
        <family val="2"/>
      </rPr>
      <t xml:space="preserve"> waarden in te geven (voor activa (indien debetsaldo), passiva (indien creditsaldo), kosten (indien debetsaldo) en opbrengsten (indien creditsaldo)), tenzij anders aangegeven in kolom B.</t>
    </r>
  </si>
  <si>
    <t>Aanvullend capaciteitstarief voor prosumenten met terugdraaiende teller</t>
  </si>
  <si>
    <t>Rechtspersonenbelasting</t>
  </si>
  <si>
    <t>Toeslagen ter dekking van de werkingskosten van de CREG</t>
  </si>
  <si>
    <t>Gedeelte m.b.t. distributie</t>
  </si>
  <si>
    <t>Gedeelte m.b.t. transmissie</t>
  </si>
  <si>
    <t>Rapportering over boekjaren</t>
  </si>
  <si>
    <t>ex-ante</t>
  </si>
  <si>
    <t>Evolutie saldo exogene kosten m.b.t. distributie op overlopende rekeningen</t>
  </si>
  <si>
    <t>REGULATOIRE SALDI INZAKE EXOGENE KOSTEN M.B.T. TRANSMISSIENETTARIEVEN</t>
  </si>
  <si>
    <t>TABEL 4A</t>
  </si>
  <si>
    <t>TABEL 4B</t>
  </si>
  <si>
    <t>OMSCHRIJVING RUBRIEKEN</t>
  </si>
  <si>
    <t>CODES</t>
  </si>
  <si>
    <t>FORMULE</t>
  </si>
  <si>
    <t>Rapportering over boekjaar:</t>
  </si>
  <si>
    <t>teneinde een toegestaan inkomen m.b.t. exogene kosten voor elke distributienetbeheerder te bepalen.</t>
  </si>
  <si>
    <t>Het rapporteringsmodel dient in 1 exemplaar te worden opgeleverd, alsook onder elektronische vorm (Excel-formaat).</t>
  </si>
  <si>
    <r>
      <t xml:space="preserve">In geval van rapportering van de werkelijke cijfers </t>
    </r>
    <r>
      <rPr>
        <b/>
        <sz val="10"/>
        <rFont val="Arial"/>
        <family val="2"/>
      </rPr>
      <t xml:space="preserve">ex-post </t>
    </r>
    <r>
      <rPr>
        <sz val="10"/>
        <rFont val="Arial"/>
        <family val="2"/>
      </rPr>
      <t>dient het ingevulde rapporteringsmodel te zijn gewaarmerkt door een rapport van feitelijke bevindingen</t>
    </r>
  </si>
  <si>
    <t>Kosten m.b.t. REG-premies (volgens het Energiebesluit artikels 6.4.1/1 t.e.m. 6.4.1/5)</t>
  </si>
  <si>
    <t>Kosten m.b.t. de actieverplichting energiescans (volgens het Energiebesluit artikel 6.4.1/8)</t>
  </si>
  <si>
    <t>Kosten m.b.t. de actieverplichting sociale dakisolatieprojecten (volgens het Energiebesluit artikel 6.4.1/9)</t>
  </si>
  <si>
    <t>Recuperatie van kosten van de openbaredienstverplichtingen m.b.t. het stimuleren van rationeel energiegebruik (REG):</t>
  </si>
  <si>
    <t>Kosten van de openbaredienstverplichtingen m.b.t. het stimuleren van rationeel energiegebruik (REG):</t>
  </si>
  <si>
    <t>Recuperatie van kosten m.b.t. de actieverplichting energiescans (volgens het Energiebesluit artikel 6.4.1/12 §3)</t>
  </si>
  <si>
    <t>Recuperatie van kosten m.b.t. de actieverplichting sociale dakisolatieprojecten (volgens het Energiebesluit artikel 6.4.1/12 §4)</t>
  </si>
  <si>
    <t xml:space="preserve">Verkochte GSC en WKC </t>
  </si>
  <si>
    <t>Netto-uitgaven/ -inkomsten (positieve waarde voor een netto-uitgave, en omgekeerd) i.h.k.v. de verrekening van de kost van groenestroom- en warmtekrachtcertificaten onder distributienetbeheerders volgens Energiedecreet (solidarisering opkoopverplichting)</t>
  </si>
  <si>
    <r>
      <t>Inkomsten verkregen van Vlaamse Overheid (VEA) m.b.t. op de markt verkochte geïmmobiliseerde certificaten (cfr Energiebesluit artikel 6.4.14/2 §3) (</t>
    </r>
    <r>
      <rPr>
        <b/>
        <u/>
        <sz val="10"/>
        <rFont val="Arial"/>
        <family val="2"/>
      </rPr>
      <t>niet</t>
    </r>
    <r>
      <rPr>
        <u/>
        <sz val="10"/>
        <rFont val="Arial"/>
        <family val="2"/>
      </rPr>
      <t xml:space="preserve"> </t>
    </r>
    <r>
      <rPr>
        <sz val="10"/>
        <rFont val="Arial"/>
        <family val="2"/>
      </rPr>
      <t>inkomsten verkregen van Vlaamse Overheid (VEA) m.b.t. werkelijke externe financieringskosten zoals beschreven in Energiebesluit artikel 6.4.14/2 §2)</t>
    </r>
  </si>
  <si>
    <t>Overige lokale, provinciale, gewestelijke of federale belastingen, heffingen, toeslagen, bijdragen en retributies</t>
  </si>
  <si>
    <t>Gelieve positieve waarden te rapporteren voor kosten (indien debetsaldo).</t>
  </si>
  <si>
    <t>Bijkomende verantwoording in afzonderlijk verklarende nota vereist:</t>
  </si>
  <si>
    <t>M.b.t. het basistarief voor het gebruik van het net</t>
  </si>
  <si>
    <t>M.b.t. het tarief voor het systeembeheer</t>
  </si>
  <si>
    <t>M.b.t. het tarief voor de meet-en telactiviteit</t>
  </si>
  <si>
    <t>M.b.t. het tarief voor openbare dienstverplichtingen</t>
  </si>
  <si>
    <t>M.b.t. het tarief voor de regeling van de spanning en het reactief vermogen</t>
  </si>
  <si>
    <t>M.b.t. het tarief voor de compensatie van de netverliezen</t>
  </si>
  <si>
    <t>M.b.t. het tarief voor de supplementaire en complementaire diensten</t>
  </si>
  <si>
    <t>M.b.t. het tarief voor belastingen, heffingen, toeslagen, bijdragen en retributies</t>
  </si>
  <si>
    <t>Naam distributienetbeheerder</t>
  </si>
  <si>
    <r>
      <rPr>
        <b/>
        <sz val="10"/>
        <rFont val="Arial"/>
        <family val="2"/>
      </rPr>
      <t>Terugname</t>
    </r>
    <r>
      <rPr>
        <sz val="10"/>
        <rFont val="Arial"/>
        <family val="2"/>
      </rPr>
      <t xml:space="preserve"> van het saldo in het resultaat van het exploitatiejaar (zoals vastgelegd in de tariefmethodologie)</t>
    </r>
  </si>
  <si>
    <t>Tarief voor het niet respecteren van een aanvaard programma</t>
  </si>
  <si>
    <t>3.3.</t>
  </si>
  <si>
    <t>TABEL 5A: Opvolging regulatoir saldo inzake volumeverschillen m.b.t. inkomsten uit periodieke distributienettarieven voor endogene kosten op basis van energieverbruikgerelateerde tariefdragers (kWh, kWmax, kW, kVarh en kVA)</t>
  </si>
  <si>
    <t>Relatief aandeel endogene kosten (%)</t>
  </si>
  <si>
    <t>Endogene kosten/opbrengsten</t>
  </si>
  <si>
    <t>Onderschreven en bijkomend vermogen (~ basistarief voor gebruik van het net)</t>
  </si>
  <si>
    <t>III. Tarieven voor de complementaire diensten</t>
  </si>
  <si>
    <t>IV. Tarieven voor de supplementaire diensten</t>
  </si>
  <si>
    <t>V. Belastingen, heffingen, toeslagen, bijdragen en retributies</t>
  </si>
  <si>
    <t>TABEL 5B</t>
  </si>
  <si>
    <t>REGULATOIRE SALDI INZAKE EXOGENE KOSTEN M.B.T. DISTRIBUTIENETTARIEVEN</t>
  </si>
  <si>
    <t>TABEL 4B: Overzicht regulatoir saldo inzake exogene kosten m.b.t. distributienettarieven per tariefcomponent</t>
  </si>
  <si>
    <t>Het tarief voor de compensatie van de netverliezen</t>
  </si>
  <si>
    <t>Boeking regulatoir saldo inzake exogene kosten m.b.t. distributienettarieven per tariefcomponent</t>
  </si>
  <si>
    <t>Het tarief voor de regeling van de spanning en van het reactief vermogen</t>
  </si>
  <si>
    <t>Afgebouwd regulatoir saldo inzake exogene kosten m.b.t. distributienettarieven per tariefcomponent</t>
  </si>
  <si>
    <t>Nog af te bouwen regulatoir saldo inzake exogene kosten m.b.t. distributienettarieven per tariefcomponent</t>
  </si>
  <si>
    <t>Controle met TABEL 4A:</t>
  </si>
  <si>
    <r>
      <t xml:space="preserve">Afbouw regulatoir saldo inzake exogene kosten </t>
    </r>
    <r>
      <rPr>
        <sz val="10"/>
        <rFont val="Arial"/>
        <family val="2"/>
      </rPr>
      <t>m.b.t. distributie, zoals vastgelegd in de tariefmethodologie (positieve waarde voor recuperatie tekort, en omgekeerd)</t>
    </r>
  </si>
  <si>
    <t>Afbouw regulatoir saldo inzake exogene kosten m.b.t. transmissie, zoals vastgelegd in de tariefmethodologie (positieve waarde voor recuperatie tekort, en omgekeerd)</t>
  </si>
  <si>
    <t>Evolutie saldo m.b.t. volumeverschillen op overlopende rekeningen</t>
  </si>
  <si>
    <t xml:space="preserve">TABEL 5B: Overzicht regulatoir saldo per tariefcomponent inzake volumeverschillen m.b.t. inkomsten uit periodieke distributienettarieven voor endogene kosten op basis van energieverbruikgerelateerde tariefdragers (kWh, kWmax, kW, kVarh en kVA) </t>
  </si>
  <si>
    <t>Controle met TABEL 5A:</t>
  </si>
  <si>
    <t>Nog af te bouwen regulatoir saldo inzake volumeverschillen m.b.t. endogene kosten (uitgezonderd EAN's) per tariefcomponent</t>
  </si>
  <si>
    <t>Afgebouwd regulatoir saldo inzake volumeverschillen m.b.t. endogene kosten (uitgezonderd EAN's) per tariefcomponent</t>
  </si>
  <si>
    <t>Boeking regulatoir saldo inzake volumeverschillen m.b.t. endogene kosten (uitgezonderd EAN's) per tariefcomponent</t>
  </si>
  <si>
    <t>Kapitaalkostvergoeding voor het regulatoire saldo inzake volumeverschillen m.b.t. endogene kosten (uitgezonderd volumeverschillen m.b.t. EAN's)</t>
  </si>
  <si>
    <t>TABEL 5C, 5D en 5E</t>
  </si>
  <si>
    <t>Opmerking:</t>
  </si>
  <si>
    <t>Afbouw regulatoir saldo inzake volumeverschillen voor endogene kosten (uitgezonderd volumeverschillen m.b.t. EAN's), zoals vastgelegd in de tariefmethodologie (positieve waarde voor recuperatie tekort, en omgekeerd)</t>
  </si>
  <si>
    <t>Afbouw regulatoir saldo inzake herindexering van het budget voor endogene kosten, zoals vastgelegd in de tariefmethodologie (positieve waarde voor recuperatie tekort, en omgekeerd)</t>
  </si>
  <si>
    <t>Kapitaalkostvergoeding voor het regulatoire saldo inzake herindexering van het budget voor endogene kosten</t>
  </si>
  <si>
    <t>(+) ==&gt; Minder werkelijke ontvangsten dan budget endogene kosten (tekort)</t>
  </si>
  <si>
    <t>(-) ==&gt; Meer werkelijke ontvangsten dan budget endogene kosten (overschot)</t>
  </si>
  <si>
    <t>TABEL 6A: Opvolging regulatoir saldo inzake herindexering van het budget voor endogene kosten</t>
  </si>
  <si>
    <t>x-waarde voor de betreffende reguleringsperiode</t>
  </si>
  <si>
    <t>Financieel effect van de kwaliteitsprikkel</t>
  </si>
  <si>
    <t>Budget endogene kosten en werkelijke ontvangsten voor endogene kosten, excl tariefdrager EAN's</t>
  </si>
  <si>
    <t>(-) ==&gt; Lagere inflatie dan verwacht (overschot)</t>
  </si>
  <si>
    <t>Evolutie saldo m.b.t. herindexering budget endogene kosten op overlopende rekeningen</t>
  </si>
  <si>
    <t>Boeking regulatoir saldo inzake herindexering budget endogene kosten per tariefcomponent</t>
  </si>
  <si>
    <t>Afgebouwd regulatoir saldo inzake herindexering endogene kosten per tariefcomponent</t>
  </si>
  <si>
    <t>Nog af te bouwen regulatoir saldo inzake herindexering budget endogene kosten per tariefcomponent</t>
  </si>
  <si>
    <t>Controle met TABEL 6A:</t>
  </si>
  <si>
    <t>TABEL 6B</t>
  </si>
  <si>
    <t>TABEL 6A</t>
  </si>
  <si>
    <t>REGULATOIRE SALDI M.B.T. HERINDEXERING BUDGET ENDOGENE KOSTEN</t>
  </si>
  <si>
    <t>TABEL 7: Opvolging regulatoir saldo inzake vennootschapsbelasting</t>
  </si>
  <si>
    <t>Afbouw regulatoir saldo inzake vennootschapsbelasting, zoals vastgelegd in de tariefmethodologie (positieve waarde voor recuperatie tekort, en omgekeerd)</t>
  </si>
  <si>
    <t>Kapitaalkostvergoeding voor het regulatoire saldo inzake vennootschapsbelasting</t>
  </si>
  <si>
    <t>Het tarief ter vergoeding van de meet-en telactiviteit</t>
  </si>
  <si>
    <t>De niet-periodieke tarieven</t>
  </si>
  <si>
    <t>Het tarief in verband met het gebruik van het transmissienet (exclusief federale bijdrage elektriciteit)</t>
  </si>
  <si>
    <t>Kapitaalkostvergoeding voor het regulatoir actief/passief geboekt onder voorgaande tariefmethodologieën</t>
  </si>
  <si>
    <t>TABEL 10: Belastingen, heffingen, toeslagen, bijdragen en retributies</t>
  </si>
  <si>
    <t>Omschrijving</t>
  </si>
  <si>
    <r>
      <t>Opbrengsten gevorderd door de distributienetbeheerder van de Vlaamse Overheid (VEA) i.h.k.v. banking certificaten (geïmmobiliseerde certificaten), alleen voor vergoeding van de werkelijke externe financieringskosten (</t>
    </r>
    <r>
      <rPr>
        <b/>
        <sz val="10"/>
        <rFont val="Arial"/>
        <family val="2"/>
      </rPr>
      <t xml:space="preserve">niet </t>
    </r>
    <r>
      <rPr>
        <sz val="10"/>
        <rFont val="Arial"/>
        <family val="2"/>
      </rPr>
      <t xml:space="preserve">de vergoeding </t>
    </r>
    <r>
      <rPr>
        <sz val="10"/>
        <rFont val="Arial"/>
        <family val="2"/>
      </rPr>
      <t>bij verkoop van de certificaten)</t>
    </r>
  </si>
  <si>
    <t>TABEL 9</t>
  </si>
  <si>
    <t>Werd de vergoeding m.b.t. de werkelijke externe financieringskost voor de geïmmobiliseerde certificaten geplafonneerd? (input VREG)</t>
  </si>
  <si>
    <t>Bij de rapportering van de post 'lasten van niet-gekapitaliseerde pensioenen' dienen de betreffende financiële lasten buiten beschouwing worden gelaten.</t>
  </si>
  <si>
    <t>In kolom G wordt met 'X' aangegeven voor welke rubrieken de distributienetbeheerder een gedetailleerde onderbouwing van het budget dient op te geven in een afzonderlijk verklarende nota.</t>
  </si>
  <si>
    <t>ONDERBOUWING BUDGET</t>
  </si>
  <si>
    <t>Het tarief voor de supplementaire en complementaire diensten</t>
  </si>
  <si>
    <t>Afbouw van regulatoir actief/passief geboekt onder voorgaande tariefmethodologieën, zoals vastgelegd in de VREG tariefmethodologie (positieve waarde voor recuperatie tekort, en omgekeerd)</t>
  </si>
  <si>
    <t>M.b.t. de niet-periodieke tarieven</t>
  </si>
  <si>
    <t>Recuperatie van kosten m.b.t. REG-premies (volgens het Energiebesluit artikel 6.4.1/12 §2)</t>
  </si>
  <si>
    <t>TABEL 10</t>
  </si>
  <si>
    <t>TOTAAL EXOGENE KOSTEN M.B.T. DISTRIBUTIE</t>
  </si>
  <si>
    <t>TOTAAL EXOGENE KOSTEN M.B.T. TRANSMISSIE</t>
  </si>
  <si>
    <t>TOTAAL EXOGENE KOSTEN</t>
  </si>
  <si>
    <t>Evolutie saldo exogene kosten m.b.t. transmissie op overlopende rekeningen</t>
  </si>
  <si>
    <t>Totale werkelijke ontvangsten uit periodieke nettarieven voor exogene kosten</t>
  </si>
  <si>
    <t>TABEL 9: Saldo kapitaalkostvergoeding voor geïmmobiliseerde GSC en WKC in portefeuille van de distributienetbeheerder</t>
  </si>
  <si>
    <t xml:space="preserve">om, indien nodig, nog bijkomende inlichtingen buiten dit rapporteringsmodel op te vragen. </t>
  </si>
  <si>
    <r>
      <t xml:space="preserve">Op </t>
    </r>
    <r>
      <rPr>
        <b/>
        <sz val="10"/>
        <rFont val="Arial"/>
        <family val="2"/>
      </rPr>
      <t xml:space="preserve">ex-ante </t>
    </r>
    <r>
      <rPr>
        <sz val="10"/>
        <rFont val="Arial"/>
        <family val="2"/>
      </rPr>
      <t>basis (gebudgetteerde waarden) is een rapport van feitelijke bevindingen van de commissaris dus niet vereist.</t>
    </r>
  </si>
  <si>
    <r>
      <t xml:space="preserve">In het titelblad (de identificatie) dient de distributienetbeheerder de velden: distributienetbeheerder, ondernemingsnummer, BTW-regime, werkmaatschappij, activiteit en het boekjaar waarover wordt gerapporteerd in te vullen. De distributienetbeheerder dient hierbij eveneens aan te geven of het een </t>
    </r>
    <r>
      <rPr>
        <b/>
        <sz val="10"/>
        <rFont val="Arial"/>
        <family val="2"/>
      </rPr>
      <t>ex-ante</t>
    </r>
    <r>
      <rPr>
        <sz val="10"/>
        <rFont val="Arial"/>
        <family val="2"/>
      </rPr>
      <t xml:space="preserve"> of </t>
    </r>
    <r>
      <rPr>
        <b/>
        <sz val="10"/>
        <rFont val="Arial"/>
        <family val="2"/>
      </rPr>
      <t>ex-post</t>
    </r>
    <r>
      <rPr>
        <sz val="10"/>
        <rFont val="Arial"/>
        <family val="2"/>
      </rPr>
      <t xml:space="preserve"> rapportering betreft. In de verdere tabellen van het rapporteringsmodel zijn de vergelijkbare velden gelinkt aan dit titelblad. Deze velden worden dus automatisch aangevuld.</t>
    </r>
  </si>
  <si>
    <t>Overzicht gerapporteerde waarden per tariefcomponent:</t>
  </si>
  <si>
    <r>
      <t xml:space="preserve">Deze tabel detailleert de verschillende kostenrubrieken inzake exogene kosten die in rekening worden genomen ter bepaling van het toegestaan inkomen inzake exogene kosten. Hierbij rapporteert de distributienetbeheerder </t>
    </r>
    <r>
      <rPr>
        <b/>
        <sz val="10"/>
        <rFont val="Arial"/>
        <family val="2"/>
      </rPr>
      <t>ex-ante</t>
    </r>
    <r>
      <rPr>
        <sz val="10"/>
        <rFont val="Arial"/>
        <family val="2"/>
      </rPr>
      <t xml:space="preserve"> zijn budget voor elk van de betreffende kostenrubrieken. De distributienetbeheerder dient voor een aantal rubrieken eveneens een gedetailleerde onderbouwing van het budget in een afzonderlijk verklarende nota bij te voegen (aangegeven a.d.h.v. 'X' in kolom G).</t>
    </r>
  </si>
  <si>
    <t>Deze tabel laat een jaarlijkse opvolging toe van enerzijds de saldi inzake de exogene kosten m.b.t. distributienettarieven, die door de VREG werden goedgekeurd, en anderzijds de saldi, die door de distributienetbeheerder jaar na jaar werden ingeboekt. Tenslotte blijkt uit deze tabel eveneens het gedeelte van het saldo dat reeds werd afgebouwd in de daaropvolgende jaren en het gedeelte van het saldo dat nog moet worden afgebouwd.</t>
  </si>
  <si>
    <t xml:space="preserve">Geef in een afzonderlijk verklarende nota de wettelijke basis voor alle gerapporteerde waarden in onderstaande tabel, indien van toepassing.   </t>
  </si>
  <si>
    <t>Gelieve in een afzonderlijk verklarende nota eveneens een opsplitsing van de post "overige lokale, provinciale, gewestelijke of federale belastingen, heffingen, toeslagen, bijdragen en retributies" te geven. Geef hierbij per onderscheiden component de bedragen op.</t>
  </si>
  <si>
    <r>
      <t xml:space="preserve">In deze tabel dient de distributienetbeheerder zowel de gebudgetteerde (op </t>
    </r>
    <r>
      <rPr>
        <b/>
        <sz val="10"/>
        <rFont val="Arial"/>
        <family val="2"/>
      </rPr>
      <t xml:space="preserve">ex-ante </t>
    </r>
    <r>
      <rPr>
        <sz val="10"/>
        <rFont val="Arial"/>
        <family val="2"/>
      </rPr>
      <t xml:space="preserve">basis) als de werkelijke (op </t>
    </r>
    <r>
      <rPr>
        <b/>
        <sz val="10"/>
        <rFont val="Arial"/>
        <family val="2"/>
      </rPr>
      <t>ex-post</t>
    </r>
    <r>
      <rPr>
        <sz val="10"/>
        <rFont val="Arial"/>
        <family val="2"/>
      </rPr>
      <t xml:space="preserve"> basis) waarden te rapporteren voor elk van de onderscheiden tariefposten. 
In een afzonderlijk verklarende nota dient de distributienetbeheerder eveneens, indien van toepassing, de wettelijke basis voor de gerapporteerde waarden op te geven. Hiernaast dient hij in een afzonderlijk verklarende nota eveneens een opsplitsing van de post 'overige lokale, provinciale, gewestelijke of federale belastingen, heffingen, toeslagen, bijdragen en retributies' op te geven waarbij hij per onderscheiden component eveneens de bedragen dient op te geven. 
Voorts dienen bij de rapportering van de post 'lasten van niet-gekapitaliseerde pensioenen' de betreffende financiële lasten buiten beschouwing worden gelaten.</t>
    </r>
  </si>
  <si>
    <t xml:space="preserve">TABEL 4A: Opvolging regulatoir saldo inzake exogene kosten m.b.t. distributienettarieven </t>
  </si>
  <si>
    <t>TABEL 6B: Overzicht regulatoir saldo inzake herindexering van het budget voor endogene kosten per tariefcomponent</t>
  </si>
  <si>
    <t>Saldo kapitaalkostvergoeding geïmmobiliseerde GSC en WKC indien financieringskostvergoeding door de Vlaamse Overheid werd geplafonneerd en lager is dan de vergoeding volgens de tariefmethodologie</t>
  </si>
  <si>
    <r>
      <t xml:space="preserve">Kapitaalkostvergoeding voor het regulatoir saldo inzake exogene kosten </t>
    </r>
    <r>
      <rPr>
        <sz val="10"/>
        <rFont val="Arial"/>
        <family val="2"/>
      </rPr>
      <t>m.b.t. distributie</t>
    </r>
  </si>
  <si>
    <t>Kapitaalkostvergoeding voor het regulatoir saldo inzake exogene kosten m.b.t. transmissie</t>
  </si>
  <si>
    <r>
      <t xml:space="preserve">In deze tabel rapporteert de distributienetbeheerder </t>
    </r>
    <r>
      <rPr>
        <b/>
        <sz val="10"/>
        <rFont val="Arial"/>
        <family val="2"/>
      </rPr>
      <t xml:space="preserve">ex-post </t>
    </r>
    <r>
      <rPr>
        <sz val="10"/>
        <rFont val="Arial"/>
        <family val="2"/>
      </rPr>
      <t>de werkelijke waarden voor elk van de kostenrubrieken. Verder worden in deze tabel per tariefcomonent ook de werkelijke ontvangsten m.b.t. exogene kosten voor het betreffende boekjaar opgenomen, hetgeen toelaat om per tariefcomponent het regulatoir saldo inzake exogene kosten te bepalen.</t>
    </r>
  </si>
  <si>
    <t>TABEL 4C: Opvolging regulatoir saldo inzake exogene kosten m.b.t. transmissienettarieven (exclusief federale bijdrage elektriciteit)</t>
  </si>
  <si>
    <t>TABEL 4C</t>
  </si>
  <si>
    <r>
      <t xml:space="preserve">Kost m.b.t. de door Elia aan de distributienetbeheerder aangerekende vergoeding voor het gebruik van het transmissienet (elektriciteit) - </t>
    </r>
    <r>
      <rPr>
        <b/>
        <sz val="10"/>
        <rFont val="Arial"/>
        <family val="2"/>
      </rPr>
      <t xml:space="preserve">exclusief </t>
    </r>
    <r>
      <rPr>
        <sz val="10"/>
        <rFont val="Arial"/>
        <family val="2"/>
      </rPr>
      <t>federale bijdrage elektriciteit</t>
    </r>
  </si>
  <si>
    <r>
      <t xml:space="preserve">Kost m.b.t. de door een andere distributienetbeheerder (via doorvoer) aangerekende vergoeding voor het gebruik van het transmissienet (elektriciteit) - </t>
    </r>
    <r>
      <rPr>
        <b/>
        <sz val="10"/>
        <rFont val="Arial"/>
        <family val="2"/>
      </rPr>
      <t xml:space="preserve">exclusief </t>
    </r>
    <r>
      <rPr>
        <sz val="10"/>
        <rFont val="Arial"/>
        <family val="2"/>
      </rPr>
      <t>federale bijdrage elektriciteit</t>
    </r>
  </si>
  <si>
    <r>
      <t xml:space="preserve">Opbrengst uit de aan een andere distributienetbeheer (via doorvoer) aangerekende vergoeding voor het gebruik van het transmissienet (elektriciteit) - </t>
    </r>
    <r>
      <rPr>
        <b/>
        <sz val="10"/>
        <rFont val="Arial"/>
        <family val="2"/>
      </rPr>
      <t>exclusief</t>
    </r>
    <r>
      <rPr>
        <sz val="10"/>
        <rFont val="Arial"/>
        <family val="2"/>
      </rPr>
      <t xml:space="preserve"> federale bijdrage elektriciteit</t>
    </r>
  </si>
  <si>
    <t>Tarief in verband met het gebruik van het transmissienet (exclusief federale bijdrage elektriciteit)</t>
  </si>
  <si>
    <t>TABEL 5C</t>
  </si>
  <si>
    <t>M.b.t. het tarief in verband met het gebruik van het transmissienet (excl federale bijdrage elektriciteit)</t>
  </si>
  <si>
    <t>Saldo indien vergoeding Vlaamse Overheid geplafonneerd en lager dan vergoeding in tariefmethodologie 2015-2016</t>
  </si>
  <si>
    <t>Afrekeningskosten van de gratis kWh, zoals was vermeld in het Energiedecreet</t>
  </si>
  <si>
    <t>Wettelijke rentevoet voor boekjaar 2016 (input VREG)</t>
  </si>
  <si>
    <t>Beginvoorraad geïmmobiliseerde groenestroom- en warmtekrachtcertificaten (1/01/2016)</t>
  </si>
  <si>
    <t>Eindvoorraad geïmmobiliseerde groenestroom- en warmtekrachtcertificaten (31/12/2016)</t>
  </si>
  <si>
    <t>TOTAAL EXOGENE KOSTEN BUDGET</t>
  </si>
  <si>
    <t>Budget endogene kosten, volgens tariefvoorstel</t>
  </si>
  <si>
    <t>De ex-ante correctie voor vennootschapsbelasting, zoals vastgesteld door de VREG m.b.t. het toegelaten inkomen voor endogene kosten (idem waarde in de bijlage 9 van de tariefmethodologie 'tabel 1' - Budgetwaarde)</t>
  </si>
  <si>
    <r>
      <t>Werkelijke inflatie jaar op jaar voor de maand juli van dat jaar (CPI</t>
    </r>
    <r>
      <rPr>
        <b/>
        <vertAlign val="subscript"/>
        <sz val="10"/>
        <rFont val="Arial"/>
        <family val="2"/>
      </rPr>
      <t>j</t>
    </r>
    <r>
      <rPr>
        <b/>
        <sz val="10"/>
        <rFont val="Arial"/>
        <family val="2"/>
      </rPr>
      <t>)</t>
    </r>
  </si>
  <si>
    <r>
      <t>Inflatie jaar op jaar voor de maand juli die in het jaar voordien werd verwacht, gehanteerd door de VREG bij vaststelling toegelaten inkomen voor het betreffende boekjaar (CPI</t>
    </r>
    <r>
      <rPr>
        <b/>
        <vertAlign val="subscript"/>
        <sz val="10"/>
        <rFont val="Arial"/>
        <family val="2"/>
      </rPr>
      <t>j,v</t>
    </r>
    <r>
      <rPr>
        <b/>
        <sz val="10"/>
        <rFont val="Arial"/>
        <family val="2"/>
      </rPr>
      <t>)</t>
    </r>
  </si>
  <si>
    <t>REGULATOIR SALDO HERINDEXERING</t>
  </si>
  <si>
    <t>REGULATOIR SALDO VOLUMEVERSCHILLEN</t>
  </si>
  <si>
    <t>REGULATOIRE SALDI M.B.T. VENNOOTSCHAPSBELASTING, CFR. BIJLAGE 9 TARIEFMETHODOLOGIE</t>
  </si>
  <si>
    <r>
      <t xml:space="preserve">In deze tabel rapporteert de distributienetbeheerder de resultatenrekening voor het betreffende boekjaar, gesplitst over de verschillende activiteiten ('netbeheer elektriciteit', 'netbeheer gas' en 'niet-gereguleerde activiteiten', waarbij 'netbeheer elektriciteit' en 'netbeheer gas' verder worden uitgesplitst in endogene kosten/opbrengsten, exogene kosten/opbrengsten, overige kosten/opbrengsten, overdrachten en/of terugnames en niet-gereguleerde activiteiten).
Deze tabel kan enkel op </t>
    </r>
    <r>
      <rPr>
        <b/>
        <sz val="10"/>
        <rFont val="Arial"/>
        <family val="2"/>
      </rPr>
      <t>ex-post</t>
    </r>
    <r>
      <rPr>
        <sz val="10"/>
        <rFont val="Arial"/>
        <family val="2"/>
      </rPr>
      <t xml:space="preserve"> basis gerapporteerd worden waarbij de totaalwaarden dienen overeen te komen met de gepubliceerde jaarrekening.</t>
    </r>
  </si>
  <si>
    <t>TABEL 3B: Bepaling regulatoir saldo inzake exogene kosten (werkelijke waarden)</t>
  </si>
  <si>
    <t>Totaal nog af te bouwen regulatoir saldo</t>
  </si>
  <si>
    <t>Totaal afgebouwd regulatoir saldo</t>
  </si>
  <si>
    <t>(+) ==&gt; Hogere inflatie dan verwacht (tekort);</t>
  </si>
  <si>
    <t>(+) ==&gt; Tekort, meer kosten dan gebudgetteerd;</t>
  </si>
  <si>
    <t>(-) ==&gt; Recuperatie tekort, verhoging van de tarieven ;</t>
  </si>
  <si>
    <t>(+) ==&gt; Teruggave overschot, verlaging van de tarieven</t>
  </si>
  <si>
    <t>(-) Credit saldo;</t>
  </si>
  <si>
    <t>(+) ==&gt; Minder werkelijke ontvangsten dan budget endogene kosten (tekort);</t>
  </si>
  <si>
    <t>(+) ==&gt; Meer werkelijke exogene kosten dan werkelijke ontvangsten voor exogene kosten (tekort)</t>
  </si>
  <si>
    <t>Evolutie saldo m.b.t. venootschapsbelasting op overlopende rekeningen</t>
  </si>
  <si>
    <t>Het eventueel voorschot zoals toegekend door de VREG en opgenomen in het tariefvoorstel</t>
  </si>
  <si>
    <r>
      <t xml:space="preserve">Deze tabel geeft een algemeen overzicht van de gerapporteerde gegevens zowel op </t>
    </r>
    <r>
      <rPr>
        <b/>
        <sz val="10"/>
        <rFont val="Arial"/>
        <family val="2"/>
      </rPr>
      <t>ex-ante</t>
    </r>
    <r>
      <rPr>
        <sz val="10"/>
        <rFont val="Arial"/>
        <family val="2"/>
      </rPr>
      <t xml:space="preserve"> als </t>
    </r>
    <r>
      <rPr>
        <b/>
        <sz val="10"/>
        <rFont val="Arial"/>
        <family val="2"/>
      </rPr>
      <t>ex-post</t>
    </r>
    <r>
      <rPr>
        <sz val="10"/>
        <rFont val="Arial"/>
        <family val="2"/>
      </rPr>
      <t xml:space="preserve"> basis, opgesplitst per tariefcomponent. De gerapporteerde waarden op </t>
    </r>
    <r>
      <rPr>
        <b/>
        <sz val="10"/>
        <rFont val="Arial"/>
        <family val="2"/>
      </rPr>
      <t>ex-ante</t>
    </r>
    <r>
      <rPr>
        <sz val="10"/>
        <rFont val="Arial"/>
        <family val="2"/>
      </rPr>
      <t xml:space="preserve"> basis vormen, mits controle en goedkeuring door de VREG, het toegestaan inkomen inzake exogene kosten, hetgeen op haar beurt door de distributienetbeheerder in rekening moet worden genomen bij de opmaak van zijn tariefvoorstel, rekening houdende met de opsplitsing per tariefcomponent.</t>
    </r>
  </si>
  <si>
    <t>Werkelijke ontvangsten m.b.t. endogene kosten</t>
  </si>
  <si>
    <t>Indien in een boekjaar periodieke elektriciteitsdistributienettarieven (afname) en/of transmissienettarieven van meer dan één tariefvoorstel worden toegepast, zal per tariefcomponent het relatief aandeel van de endogene kosten voor boekjaar 20XX worden bepaald op basis van het pro rata aandeel van de endogene kosten , conform de methodiek zoals beschreven in paragraaf 5.5.6 van de hoofdtekst van de tariefmethodologie. Dit pro rata aandeel wordt aldus bepaald op basis van het aantal kalenderdagen dat de periodieke elektriciteitsdistributienettarieven (afname) en/of transmissienettarieven volgens elk van de tariefvoorstellen van kracht waren. Hierbij dient de distributienetbeheerder in een afzonderlijk verklarende nota de detailberekening van het pro rata aandeel van de endogene kosten per tariefcomponent op te geven, d.w.z. dat uit de detailberekening voor elke tariefcomponent duidelijk dient te zijn wat het aandeel van de endogene kosten in elk van de toepasselijke tariefvoorstellen was en hoeveel kalenderdagen de tarieven uit elk van de tariefvoorstellen van kracht waren in boekjaar 20XX.</t>
  </si>
  <si>
    <t>Indien in een boekjaar periodieke elektriciteitsdistributienettarieven (injectie) van meer dan één tariefvoorstel worden toegepast, zal per tariefcomponent het relatief aandeel van de endogene kosten voor boekjaar 20XX worden bepaald op basis van het pro rata aandeel van de endogene kosten, conform de methodiek zoals beschreven in paragraaf 5.5.6 van de hoofdtekst van de tariefmethodologie. Dit pro rata aandeel wordt aldus bepaald op basis van het aantal kalenderdagen dat de periodieke elektriciteitsdistributienettarieven (injectie) volgens elk van de tariefvoorstellen van kracht waren. Hierbij dient de distributienetbeheerder in een afzonderlijk verklarende nota de detailberekening van het pro rata aandeel van de endogene kosten per tariefcomponent op te geven, d.w.z. dat uit de detailberekening voor elke tariefcomponent duidelijk dient te zijn wat het aandeel van de endogene kosten in elk van de toepasselijke tariefvoorstellen was en hoeveel kalenderdagen de tarieven uit elk van de tariefvoorstellen van kracht waren in boekjaar 20XX.</t>
  </si>
  <si>
    <r>
      <t xml:space="preserve">Teneinde per tariefcomponent de werkelijke ontvangsten uit periodieke distributienettarieven voor zowel exogene als endogene kosten m.b.t. het boekjaar te kunnen bepalen, dient de distributienetbeheerder op </t>
    </r>
    <r>
      <rPr>
        <b/>
        <sz val="10"/>
        <rFont val="Arial"/>
        <family val="2"/>
      </rPr>
      <t xml:space="preserve">ex-post </t>
    </r>
    <r>
      <rPr>
        <sz val="10"/>
        <rFont val="Arial"/>
        <family val="2"/>
      </rPr>
      <t>basis in deze tabel per tariefcomponent de werkelijke ontvangsten uit periodieke distributienettarieven (gas - afname) te rapporteren. 
Vervolgens dient de distributienetbeheerder per tariefcomponent het relatief aandeel van de endogene kosten in de totale werkelijke ontvangsten te bepalen. Dit aandeel kan per tariefcomponent worden afgeleid uit het aandeel van de endogene kosten in 'tabel 10' van het tariefvoorstel.
Op basis hiervan kunnen dan de werkelijke ontvangsten m.b.t periodieke distributienettarieven (gas - afname) voor zowel de endogene kosten als de exogene kosten worden bepaald.
De werkelijke ontvangsten inzake endogene kosten dienen door de distributienetbeheerder per tariefcomponent (uitgezonderd voor het tarief m.b.t. meet- en telactiviteit) in beschouwing worden genomen in 'TABEL 5A' van het rapporteringsmodel. 
De werkelijke ontvangsten inzake exogene kosten per tariefcomponent dienen als basis ter bepaling van het saldo inzake exogene kosten m.b.t. distributienettarieven per tariefcomponent in 'TABEL 3B'.</t>
    </r>
  </si>
  <si>
    <r>
      <t xml:space="preserve">Teneinde per tariefcomponent de werkelijke ontvangsten uit periodieke distributienettarieven voor zowel exogene als endogene kosten m.b.t. het boekjaar te kunnen bepalen, dient de distributienetbeheerder op </t>
    </r>
    <r>
      <rPr>
        <b/>
        <sz val="10"/>
        <rFont val="Arial"/>
        <family val="2"/>
      </rPr>
      <t xml:space="preserve">ex-post </t>
    </r>
    <r>
      <rPr>
        <sz val="10"/>
        <rFont val="Arial"/>
        <family val="2"/>
      </rPr>
      <t>basis in deze tabel per tariefcomponent de werkelijke ontvangsten uit periodieke distributienettarieven (elektriciteit - injectie) te rapporteren. 
Vervolgens dient de distributienetbeheerder per tariefcomponent het relatief aandeel van de endogene kosten in de totale werkelijke ontvangsten te bepalen. Dit aandeel kan per tariefcomponent worden afgeleid uit het aandeel van de endogene kosten in 'tabel 3' van het tariefvoorstel m.b.t. het injectietarief. 
Op basis hiervan kunnen dan de werkelijke ontvangsten m.b.t periodieke distributienettarieven (elektriciteit - injectie) voor zowel de endogene kosten als de exogene kosten worden bepaald.
De werkelijke ontvangsten inzake endogene kosten dienen door de distributienetbeheerder per tariefcomponent (uitgezonderd voor het tarief m.b.t. meet- en telactiviteit) in beschouwing worden genomen in 'TABEL 5A' van het rapporteringsmodel. De VREG merkt op dat in 'TABEL 5A' eveneens de werkelijke ontvangsten inzake endogene kosten m.b.t. afname door de distributienetbeheerder per tariefcomponent (uitgezonderd voor het tarief m.b.t. meet- en telactiviteit) in beschouwing moeten worden genomen en dit ter bepaling van de totale werkelijke ontvangsten inzake endogene kosten voor de gereguleerde activiteit elektriciteit.
De werkelijke ontvangsten inzake exogene kosten per tariefcomponent dienen als basis ter bepaling van het saldo inzake exogene kosten m.b.t. distributienettarieven per tariefcomponent in 'TABEL 3B'.</t>
    </r>
  </si>
  <si>
    <t>Indien in een boekjaar periodieke gasdistributienettarieven (afname) van meer dan één tariefvoorstel worden toegepast, zal per tariefcomponent het relatief aandeel van de endogene kosten voor boekjaar 20XX worden bepaald op basis van het pro rata aandeel van de endogene kosten, conform de methodiek zoals beschreven in paragraaf 5.5.6 van de hoofdtekst van de tariefmethodologie. Dit pro rata aandeel wordt aldus bepaald op basis van het aantal kalenderdagen dat de periodieke gasdistributienettarieven (afname) volgens elk van de tariefvoorstellen van kracht waren. Hierbij dient de distributienetbeheerder in een afzonderlijk verklarende nota de detailberekening van het pro rata aandeel van de endogene kosten per tariefcomponent op te geven, d.w.z. dat uit de detailberekening voor elke tariefcomponent duidelijk dient te zijn wat het aandeel van de endogene kosten in elk van de toepasselijke tariefvoorstellen was en hoeveel kalenderdagen de tarieven uit elk van de tariefvoorstellen van kracht waren in boekjaar 20XX.</t>
  </si>
  <si>
    <t>Saldo inzake 'beheersbare' kosten</t>
  </si>
  <si>
    <t>Deze tabel laat een jaarlijkse vergelijking toe tussen de door de Vlaamse Overheid (via VEA) uitbetaalde kapitaalkostvergoeding i.h.k.v. werkelijke externe financieringskosten m.b.t. de geïmmobiliseerde groenestroom- en warmtekrachtcertificaten en de vergoeding die in de tariefmethodologie 2015-2016 van de VREG werd voorzien voor de financieringskost van deze certificaten in boekjaar 2016. In het geval dat de in boekjaar 20XX uitbetaalde vergoeding voor de werkelijke externe financieringskosten van de geïmmobiliseerde certificaten door de Vlaamse Overheid werd geplafonneerd en lager ligt dan de kapitaalkostvergoeding die in de tariefmethodologie 2015-2016 werd voorzien voor boekjaar 2016, wordt het verschil tussen beide als een exogene kost beschouwd.</t>
  </si>
  <si>
    <r>
      <t xml:space="preserve">Gelieve </t>
    </r>
    <r>
      <rPr>
        <b/>
        <i/>
        <sz val="10"/>
        <rFont val="Arial"/>
        <family val="2"/>
      </rPr>
      <t>positieve</t>
    </r>
    <r>
      <rPr>
        <i/>
        <sz val="10"/>
        <rFont val="Arial"/>
        <family val="2"/>
      </rPr>
      <t xml:space="preserve"> waarden in te geven (voor activa (indien debetsaldo), passiva (indien creditsaldo), kosten (indien debetsaldo) en opbrengsten (indien creditsaldo)).
Deze tabel is enkel van toepassing indien de door de Vlaamse Overheid aan de distributienetbeheerder uitbetaalde kapitaalkostvergoeding voor het boekjaar 2016 pas in een later boekjaar zou volgen.</t>
    </r>
  </si>
  <si>
    <t>Deze tabel laat finaal een jaarlijkse opvolging toe van enerzijds de saldi inzake volumeverschillen m.b.t. inkomsten voor endogene kosten (uitgezonderd volumeverschillen EAN's), die door de VREG werden goedgekeurd, en anderzijds de saldi, die door de distributienetbeheerder jaar na jaar werden ingeboekt. Tenslotte blijkt uit deze tabel eveneens het gedeelte van het saldo dat reeds werd afgebouwd in de daaropvolgende jaren en het gedeelte van het saldo dat nog moet worden afgebouwd.
Ter bepaling van het jaarlijks regulatoir saldo dient de distributienetbeheerder vooreerst echter per tariefcomponent het budget endogene kosten enerzijds en de werkelijk ontvangsten m.b.t. endogene kosten anderzijds te rapporteren.</t>
  </si>
  <si>
    <r>
      <t xml:space="preserve">Teneinde per tariefcomponent de werkelijke ontvangsten uit periodieke nettarieven voor zowel exogene als endogene kosten m.b.t. het boekjaar te kunnen bepalen, dient de distributienetbeheerder op </t>
    </r>
    <r>
      <rPr>
        <b/>
        <sz val="10"/>
        <rFont val="Arial"/>
        <family val="2"/>
      </rPr>
      <t xml:space="preserve">ex-post </t>
    </r>
    <r>
      <rPr>
        <sz val="10"/>
        <rFont val="Arial"/>
        <family val="2"/>
      </rPr>
      <t>basis in deze tabel per tariefcomponent de werkelijke ontvangsten uit periodieke nettarieven (elektriciteit - afname) te rapporteren. Dit houdt zowel de werkelijke ontvangsten uit de distributienettarieven (elektriciteit - afname) als de transmissienettarieven in. 
Vervolgens dient de distributienetbeheerder per tariefcomponent het relatief aandeel van de endogene kosten in de totale werkelijke ontvangsten te bepalen. Dit aandeel kan per tariefcomponent worden afgeleid uit het aandeel van de endogene kosten in 'tabel 3' van het tariefvoorstel m.b.t. het afnametarief. 
Op basis hiervan kunnen dan de werkelijke ontvangsten m.b.t periodieke distributienettarieven (elektriciteit - afname) en transmissienettarieven voor zowel de endogene kosten als de exogene kosten worden bepaald.
De werkelijke ontvangsten inzake endogene kosten dienen door de distributienetbeheerder per tariefcomponent (uitgezonderd voor het tarief m.b.t. meet- en telactiviteit) in beschouwing worden genomen in 'TABEL 5A' van het rapporteringsmodel. De VREG merkt op dat in 'TABEL 5A' eveneens de werkelijke ontvangsten inzake endogene kosten m.b.t. injectie door de distributienetbeheerder per tariefcomponent (uitgezonderd voor het tarief m.b.t. meet- en telactiviteit) in beschouwing moeten worden genomen en dit ter bepaling van de totale werkelijke ontvangsten inzake endogene kosten voor de gereguleerde activiteit elektriciteit.
De werkelijke ontvangsten inzake exogene kosten per tariefcomponent dienen als basis ter bepaling van het saldo inzake exogene kosten per tariefcomponent in 'TABEL 3B'.</t>
    </r>
  </si>
  <si>
    <t>De eventuele, geheel of gedeeltelijke, terugname van een eerder toegekend voorschot door de VREG en opgenomen in het tariefvoorstel</t>
  </si>
  <si>
    <t>Deze tabel laat finaal een jaarlijkse opvolging toe van enerzijds de saldi inzake herindexering van het budget voor endogene kosten, die door de VREG werden goedgekeurd, en anderzijds de saldi, die door de distributienetbeheerder jaar na jaar werden ingeboekt. Tenslotte blijkt uit deze tabel eveneens het gedeelte van het saldo dat reeds werd afgebouwd in de daaropvolgende jaren en het gedeelte van het saldo dat nog moet worden afgebouwd.
Ter bepaling van het jaarlijks regulatoir saldo wordt vooreerst per tariefcomponent het in 'tabel 5A' jaarlijks gerapporteerde budget endogene kosten automatisch overgenomen. Enkel inzake het tarief voor de meet- en telactiviteit dient de distributienetbeheerder nog het budget endogene kosten voor het betreffende boekjaar te rapporteren. Verder wordt door de VREG het voor het betreffende boekjaar toegelaten inkomen inzake de ex-ante correctie m.b.t. de vennootschapsbelasting in rekening genomen. Vervolgens dient de distributienetbeheerder per tariefcomponent het eventueel voorschot te rapporteren zoals toegekend door de VREG voor het betreffende boekjaar alsook de eventuele, geheel of gedeeltelijke, terugname van een voorschot dat eerder door de VREG werd toegekend. Ook neemt de VREG de inflatie jaar op jaar voor de maand juli van het betreffende boekjaar, die in het vorige boekjaar werd verwacht, in rekening alsook de werkelijke jaar op jaar inflatie voor de maand juli van het boekjaar. Tenslotte worden door de VREG ook de x-waarde en de q-waarde van de distributienetbeheerder in rekening gebracht. Uit deze parameters kan dan het regulatoir saldo inzake herindexering van het budget endogene kosten worden bepaald.</t>
  </si>
  <si>
    <t>6.</t>
  </si>
  <si>
    <t>Bepaling van het af te bouwen regulatoir saldo over boekjaar:</t>
  </si>
  <si>
    <t>Regulatoir saldo ontstaan in boekjaar</t>
  </si>
  <si>
    <t>Afbouw regulatoir saldo op te nemen in het toegelaten inkomen van boekjaar:</t>
  </si>
  <si>
    <r>
      <t xml:space="preserve">Deze tabel geeft een gedetailleerd overzicht van de jaarlijkse regulatoire saldi inzake exogene kosten m.b.t. distributienettarieven, opgesplitst per tariefcomponent. Hierbij krijgt de VREG per tariefcomponent een inzicht in zowel het jaarlijks geboekte saldo, het jaarlijks reeds afgebouwde gedeelte van het saldo en het jaarlijks nog af te bouwen gedeelte van het saldo.
Onderaan deze tabel wordt eveneens per tariefcomponent bepaald welk gedeelte van het saldo op </t>
    </r>
    <r>
      <rPr>
        <b/>
        <sz val="10"/>
        <rFont val="Arial"/>
        <family val="2"/>
      </rPr>
      <t xml:space="preserve">ex-ante </t>
    </r>
    <r>
      <rPr>
        <sz val="10"/>
        <rFont val="Arial"/>
        <family val="2"/>
      </rPr>
      <t xml:space="preserve">basis in het toegelaten inkomen van het betreffende boekjaar wordt opgenomen. </t>
    </r>
  </si>
  <si>
    <r>
      <t xml:space="preserve">Deze tabel geeft een gedetailleerd overzicht van de jaarlijkse regulatoire saldi inzake volumeverschillen m.b.t. inkomsten voor endogene kosten (uitgezonderd volumeverschillen EAN's), opgesplitst per tariefcomponent. Hierbij krijgt de VREG per tariefcomponent een inzicht in zowel het jaarlijks geboekte saldo, het jaarlijks reeds afgebouwde gedeelte van het saldo en het jaarlijks nog af te bouwen gedeelte van het saldo.
Onderaan deze tabel wordt eveneens per tariefcomponent bepaald welk gedeelte van het saldo op </t>
    </r>
    <r>
      <rPr>
        <b/>
        <sz val="10"/>
        <rFont val="Arial"/>
        <family val="2"/>
      </rPr>
      <t>ex-ante</t>
    </r>
    <r>
      <rPr>
        <sz val="10"/>
        <rFont val="Arial"/>
        <family val="2"/>
      </rPr>
      <t xml:space="preserve"> basis in het toegelaten inkomen van het betreffende boekjaar wordt opgenomen. </t>
    </r>
  </si>
  <si>
    <t xml:space="preserve">Deze tabel geeft een gedetailleerd overzicht van de jaarlijkse regulatoire saldi inzake herindexering van het budget voor endogene kosten, opgesplitst per tariefcomponent. Hierbij krijgt de VREG per tariefcomponent een inzicht in zowel het jaarlijks geboekte saldo, het jaarlijks reeds afgebouwde gedeelte van het saldo en het jaarlijks nog af te bouwen gedeelte van het saldo.
Onderaan deze tabel wordt eveneens per tariefcomponent bepaald welk gedeelte van het saldo op ex-ante basis in het toegelaten inkomen van het betreffende boekjaar wordt opgenomen. </t>
  </si>
  <si>
    <t>OVERLOPENDE REKENINGEN</t>
  </si>
  <si>
    <t>BEPALING VAN HET AF TE BOUWEN REGULATOIR SALDO</t>
  </si>
  <si>
    <r>
      <t xml:space="preserve">Deze tabel laat een jaarlijkse opvolging toe van enerzijds de saldi inzake de exogene kosten m.b.t. transmissienettarieven, die door de VREG werden goedgekeurd, en anderzijds de saldi, die door de distributienetbeheerder jaar na jaar werden ingeboekt. Tenslotte blijkt uit deze tabel eveneens het gedeelte van het saldo dat reeds werd afgebouwd in de daaropvolgende jaren, het gedeelte van het saldo dat nog moet worden afgebouwd en het gedeelte van het saldo dat op </t>
    </r>
    <r>
      <rPr>
        <b/>
        <sz val="10"/>
        <rFont val="Arial"/>
        <family val="2"/>
      </rPr>
      <t xml:space="preserve">ex-ante </t>
    </r>
    <r>
      <rPr>
        <sz val="10"/>
        <rFont val="Arial"/>
        <family val="2"/>
      </rPr>
      <t>basis in het toegelaten inkomen van het betreffende boekjaar wordt opgenomen</t>
    </r>
    <r>
      <rPr>
        <sz val="10"/>
        <rFont val="Arial"/>
        <family val="2"/>
      </rPr>
      <t>.</t>
    </r>
  </si>
  <si>
    <r>
      <t xml:space="preserve">Deze tabel laat een jaarlijkse opvolging toe van enerzijds de saldi inzake vennootschapsbelasting, die door de VREG werden goedgekeurd, en anderzijds de saldi, die door de distributienetbeheerder jaar na jaar werden ingeboekt. Tenslotte blijkt uit deze tabel eveneens het gedeelte van het saldo dat reeds werd afgebouwd in de daaropvolgende jaren, het gedeelte van het saldo dat nog moet worden afgebouwd en het gedeelte van het saldo dat op </t>
    </r>
    <r>
      <rPr>
        <b/>
        <sz val="10"/>
        <rFont val="Arial"/>
        <family val="2"/>
      </rPr>
      <t>ex-ante</t>
    </r>
    <r>
      <rPr>
        <sz val="10"/>
        <rFont val="Arial"/>
        <family val="2"/>
      </rPr>
      <t xml:space="preserve"> basis in het toegelaten inkomen van het betreffende boekjaar wordt opgenomen. 
De afbouw van dit saldo wordt integraal aan het 'basistarief voor het gebruik van het net' toegewezen. De VREG merkt tevens op dat pas vanaf het toegelaten inkomen voor het boekjaar 2019 kan gestart worden met de afbouw van dit saldo.</t>
    </r>
  </si>
  <si>
    <t>elektriciteit</t>
  </si>
  <si>
    <t>TABEL 8: Overzicht afbouw saldi voor 'niet-beheersbare' kosten per tariefcomponent en saldi voor 'beheersbare' kosten m.b.t. exploitatiejaren 2010-2014</t>
  </si>
  <si>
    <t>Saldo door afwijking tussen geherindexeerd budget en werkelijkheid</t>
  </si>
  <si>
    <t>[Deze tabel geeft een overzicht van de saldi voor 'niet-beheersbare' kosten voor de periode 2010-2014 met daarbij een onderverdeling per tariefcomponent. Hierbij krijgt de VREG per tariefcomponent een inzicht in zowel het jaarlijks saldo voor 'niet-beheersbare' kosten, het jaarlijks reeds afgebouwde gedeelte en het jaarlijks nog af te bouwen gedeelte.
Onderaan deze tabel dient de distributienetbeheerder eveneens per tariefcomponent te rapporteren welk gedeelte van het saldo voor de periode 2010-2014 op ex-ante basis in het toegelaten inkomen van het betreffende boekjaar moet worden opgenomen.
Verder wordt ook een overzicht gegeven van het saldo voor 'beheersbare' kosten voor de periode 2010-2014.]
[...]</t>
  </si>
  <si>
    <t>Toegevoegd en geschrapt bij beslissing van de VREG van 6 juli 2018.</t>
  </si>
  <si>
    <t>TABEL 8: Overzicht afbouw […] [saldi voor 'niet-beheersbare' kosten per tariefcomponent en saldi voor 'beheersbare' kosten m.b.t. exploitatiejaren 2010-2014]</t>
  </si>
  <si>
    <t xml:space="preserve">[…] </t>
  </si>
  <si>
    <t xml:space="preserve">[Door de gewestgrensoverschrijdende distributienetbeheerders dient hierbij enkel het gedeelte voor Vlaanderen in rekening worden genomen.]
</t>
  </si>
  <si>
    <t>[…] [Exploitatiesaldo voor 'niet-beheersbare' kosten per tariefcomponent]</t>
  </si>
  <si>
    <t>[… [Afgebouwd exploitatiesaldo voor 'niet-beheersbare' kosten per tariefcomponent]</t>
  </si>
  <si>
    <t>[Totaal afgebouwd exploitatiesaldo voor 'niet-beheersbare' kosten] […]</t>
  </si>
  <si>
    <t>[…] [Nog af te bouwen exploitatiesaldo voor 'niet-beheersbare' kosten per tariefcomponent]</t>
  </si>
  <si>
    <t>Totaal nog af te bouwen [exploitatiesaldo voor 'niet-beheersbare' kosten]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</si>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</sst>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 _€_-;\-* #,##0.00\ _€_-;_-* &quot;-&quot;??\ _€_-;_-@_-"/>
    <numFmt numFmtId="164" formatCode="#,##0.00\ &quot;€&quot;"/>
    <numFmt numFmtId="165" formatCode="#,##0.0000"/>
    <numFmt numFmtId="166" formatCode="#,##0.00000"/>
    <numFmt numFmtId="167" formatCode="#,##0.000000"/>
    <numFmt numFmtId="168" formatCode="#,##0.0000000000000"/>
    <numFmt numFmtId="169" formatCode="0.00000000000%"/>
  </numFmts>
  <fonts count="89" x14ac:knownFonts="1">
    <font>
      <sz val="10"/>
      <name val="Arial"/>
      <family val="2"/>
    </font>
    <font>
      <sz val="11"/>
      <color indexed="8"/>
      <name val="Calibri"/>
      <family val="2"/>
    </font>
    <font>
      <sz val="10"/>
      <name val="Arial"/>
      <family val="2"/>
    </font>
    <font>
      <b/>
      <sz val="12"/>
      <name val="Arial"/>
      <family val="2"/>
    </font>
    <font>
      <b/>
      <u/>
      <sz val="10"/>
      <name val="Arial"/>
      <family val="2"/>
    </font>
    <font>
      <i/>
      <sz val="10"/>
      <name val="Arial"/>
      <family val="2"/>
    </font>
    <font>
      <b/>
      <sz val="10"/>
      <name val="Arial"/>
      <family val="2"/>
    </font>
    <font>
      <sz val="10"/>
      <color indexed="8"/>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20"/>
      <color indexed="9"/>
      <name val="Arial"/>
      <family val="2"/>
    </font>
    <font>
      <b/>
      <u/>
      <sz val="14"/>
      <name val="Arial"/>
      <family val="2"/>
    </font>
    <font>
      <sz val="11"/>
      <name val="Arial"/>
      <family val="2"/>
    </font>
    <font>
      <b/>
      <sz val="11"/>
      <name val="Arial"/>
      <family val="2"/>
    </font>
    <font>
      <u/>
      <sz val="11"/>
      <name val="Arial"/>
      <family val="2"/>
    </font>
    <font>
      <u/>
      <sz val="10"/>
      <color indexed="12"/>
      <name val="Arial"/>
      <family val="2"/>
    </font>
    <font>
      <b/>
      <i/>
      <sz val="10"/>
      <name val="Arial"/>
      <family val="2"/>
    </font>
    <font>
      <b/>
      <sz val="14"/>
      <name val="Arial"/>
      <family val="2"/>
    </font>
    <font>
      <b/>
      <sz val="8"/>
      <name val="Arial"/>
      <family val="2"/>
    </font>
    <font>
      <b/>
      <u/>
      <sz val="12"/>
      <name val="Arial"/>
      <family val="2"/>
    </font>
    <font>
      <b/>
      <sz val="13"/>
      <name val="Arial"/>
      <family val="2"/>
    </font>
    <font>
      <b/>
      <sz val="10"/>
      <color indexed="10"/>
      <name val="Arial"/>
      <family val="2"/>
    </font>
    <font>
      <i/>
      <sz val="9"/>
      <name val="Arial"/>
      <family val="2"/>
    </font>
    <font>
      <b/>
      <u/>
      <sz val="11"/>
      <name val="Arial"/>
      <family val="2"/>
    </font>
    <font>
      <b/>
      <i/>
      <sz val="12"/>
      <name val="Arial"/>
      <family val="2"/>
    </font>
    <font>
      <sz val="12"/>
      <name val="Arial"/>
      <family val="2"/>
    </font>
    <font>
      <sz val="14"/>
      <name val="Arial"/>
      <family val="2"/>
    </font>
    <font>
      <sz val="8"/>
      <name val="Arial"/>
      <family val="2"/>
    </font>
    <font>
      <sz val="10"/>
      <name val="Arial"/>
      <family val="2"/>
    </font>
    <font>
      <sz val="10"/>
      <color indexed="8"/>
      <name val="MS Sans Serif"/>
      <family val="2"/>
    </font>
    <font>
      <sz val="13"/>
      <name val="Arial"/>
      <family val="2"/>
    </font>
    <font>
      <sz val="9"/>
      <name val="Arial"/>
      <family val="2"/>
    </font>
    <font>
      <sz val="10"/>
      <name val="Tahoma"/>
      <family val="2"/>
    </font>
    <font>
      <sz val="10"/>
      <color indexed="8"/>
      <name val="Tahoma"/>
      <family val="2"/>
    </font>
    <font>
      <i/>
      <sz val="8"/>
      <name val="Arial"/>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u/>
      <sz val="8"/>
      <name val="Arial"/>
      <family val="2"/>
    </font>
    <font>
      <u/>
      <sz val="10"/>
      <name val="Arial"/>
      <family val="2"/>
    </font>
    <font>
      <sz val="10"/>
      <color indexed="12"/>
      <name val="Arial"/>
      <family val="2"/>
    </font>
    <font>
      <b/>
      <u/>
      <sz val="9"/>
      <name val="Arial"/>
      <family val="2"/>
    </font>
    <font>
      <b/>
      <sz val="18"/>
      <color indexed="62"/>
      <name val="Cambria"/>
      <family val="2"/>
    </font>
    <font>
      <strike/>
      <sz val="10"/>
      <name val="Arial"/>
      <family val="2"/>
    </font>
    <font>
      <b/>
      <vertAlign val="subscript"/>
      <sz val="10"/>
      <name val="Arial"/>
      <family val="2"/>
    </font>
    <font>
      <sz val="11"/>
      <color theme="1"/>
      <name val="Calibri"/>
      <family val="2"/>
      <scheme val="minor"/>
    </font>
    <font>
      <b/>
      <sz val="8"/>
      <color theme="4" tint="-0.249977111117893"/>
      <name val="Arial"/>
      <family val="2"/>
    </font>
    <font>
      <sz val="10"/>
      <color theme="4" tint="-0.249977111117893"/>
      <name val="Arial"/>
      <family val="2"/>
    </font>
    <font>
      <b/>
      <i/>
      <sz val="12"/>
      <color theme="4" tint="-0.249977111117893"/>
      <name val="Arial"/>
      <family val="2"/>
    </font>
    <font>
      <b/>
      <sz val="12"/>
      <color theme="4" tint="-0.249977111117893"/>
      <name val="Arial"/>
      <family val="2"/>
    </font>
    <font>
      <i/>
      <sz val="10"/>
      <color theme="4" tint="-0.249977111117893"/>
      <name val="Arial"/>
      <family val="2"/>
    </font>
    <font>
      <b/>
      <sz val="10"/>
      <color theme="4" tint="-0.249977111117893"/>
      <name val="Arial"/>
      <family val="2"/>
    </font>
    <font>
      <sz val="10"/>
      <color theme="0"/>
      <name val="Arial"/>
      <family val="2"/>
    </font>
    <font>
      <b/>
      <u/>
      <sz val="12"/>
      <color theme="0"/>
      <name val="Arial"/>
      <family val="2"/>
    </font>
    <font>
      <b/>
      <sz val="8"/>
      <color theme="0"/>
      <name val="Arial"/>
      <family val="2"/>
    </font>
    <font>
      <sz val="8"/>
      <color theme="0"/>
      <name val="Arial"/>
      <family val="2"/>
    </font>
    <font>
      <b/>
      <sz val="12"/>
      <color theme="0"/>
      <name val="Arial"/>
      <family val="2"/>
    </font>
    <font>
      <sz val="14"/>
      <color theme="0"/>
      <name val="Arial"/>
      <family val="2"/>
    </font>
    <font>
      <sz val="10"/>
      <color theme="5" tint="0.39997558519241921"/>
      <name val="Arial"/>
      <family val="2"/>
    </font>
    <font>
      <sz val="10"/>
      <color rgb="FF00B050"/>
      <name val="Arial"/>
      <family val="2"/>
    </font>
    <font>
      <b/>
      <sz val="10"/>
      <color rgb="FF00B050"/>
      <name val="Arial"/>
      <family val="2"/>
    </font>
    <font>
      <sz val="11"/>
      <color rgb="FF000000"/>
      <name val="Calibri"/>
      <family val="2"/>
    </font>
    <font>
      <sz val="11"/>
      <color rgb="FF00B050"/>
      <name val="Arial"/>
      <family val="2"/>
    </font>
    <font>
      <i/>
      <sz val="10"/>
      <color rgb="FF00B050"/>
      <name val="Arial"/>
      <family val="2"/>
    </font>
    <font>
      <i/>
      <sz val="10"/>
      <color theme="0"/>
      <name val="Arial"/>
      <family val="2"/>
    </font>
    <font>
      <b/>
      <sz val="8"/>
      <color rgb="FFFF0000"/>
      <name val="Arial"/>
      <family val="2"/>
    </font>
    <font>
      <sz val="10"/>
      <color rgb="FFFF0000"/>
      <name val="Arial"/>
      <family val="2"/>
    </font>
    <font>
      <b/>
      <sz val="14"/>
      <color rgb="FFFF0000"/>
      <name val="Arial"/>
      <family val="2"/>
    </font>
    <font>
      <u/>
      <sz val="10"/>
      <color rgb="FF00B050"/>
      <name val="Arial"/>
      <family val="2"/>
    </font>
    <font>
      <i/>
      <strike/>
      <sz val="10"/>
      <color rgb="FF00B050"/>
      <name val="Arial"/>
      <family val="2"/>
    </font>
    <font>
      <b/>
      <strike/>
      <sz val="10"/>
      <color rgb="FF00B050"/>
      <name val="Arial"/>
      <family val="2"/>
    </font>
    <font>
      <strike/>
      <sz val="10"/>
      <color rgb="FF00B050"/>
      <name val="Arial"/>
      <family val="2"/>
    </font>
    <font>
      <b/>
      <i/>
      <strike/>
      <sz val="10"/>
      <color rgb="FF00B050"/>
      <name val="Arial"/>
      <family val="2"/>
    </font>
  </fonts>
  <fills count="40">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lightUp"/>
    </fill>
    <fill>
      <patternFill patternType="solid">
        <fgColor rgb="FFFFFFB3"/>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lightUp">
        <bgColor theme="0"/>
      </patternFill>
    </fill>
    <fill>
      <patternFill patternType="solid">
        <fgColor theme="3" tint="0.79995117038483843"/>
        <bgColor indexed="64"/>
      </patternFill>
    </fill>
    <fill>
      <patternFill patternType="solid">
        <fgColor rgb="FFFFFFCC"/>
        <bgColor indexed="64"/>
      </patternFill>
    </fill>
    <fill>
      <patternFill patternType="lightUp">
        <bgColor rgb="FFFFFFB3"/>
      </patternFill>
    </fill>
    <fill>
      <patternFill patternType="solid">
        <fgColor theme="0" tint="-0.14999847407452621"/>
        <bgColor indexed="64"/>
      </patternFill>
    </fill>
  </fills>
  <borders count="10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medium">
        <color indexed="64"/>
      </left>
      <right style="thin">
        <color indexed="64"/>
      </right>
      <top/>
      <bottom/>
      <diagonal/>
    </border>
    <border>
      <left style="medium">
        <color indexed="64"/>
      </left>
      <right/>
      <top/>
      <bottom/>
      <diagonal/>
    </border>
    <border>
      <left/>
      <right/>
      <top/>
      <bottom style="medium">
        <color indexed="64"/>
      </bottom>
      <diagonal/>
    </border>
    <border>
      <left style="double">
        <color indexed="64"/>
      </left>
      <right/>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top style="medium">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bottom style="thin">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hair">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94">
    <xf numFmtId="0" fontId="0" fillId="0" borderId="0"/>
    <xf numFmtId="0" fontId="2" fillId="0" borderId="0"/>
    <xf numFmtId="0" fontId="48" fillId="2" borderId="0" applyNumberFormat="0" applyBorder="0" applyAlignment="0" applyProtection="0"/>
    <xf numFmtId="0" fontId="39" fillId="12" borderId="1" applyNumberFormat="0" applyAlignment="0" applyProtection="0"/>
    <xf numFmtId="0" fontId="40" fillId="13" borderId="2"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52" fillId="0" borderId="0" applyNumberFormat="0" applyFill="0" applyBorder="0" applyAlignment="0" applyProtection="0"/>
    <xf numFmtId="0" fontId="42" fillId="3" borderId="0" applyNumberFormat="0" applyBorder="0" applyAlignment="0" applyProtection="0"/>
    <xf numFmtId="0" fontId="44" fillId="0" borderId="4" applyNumberFormat="0" applyFill="0" applyAlignment="0" applyProtection="0"/>
    <xf numFmtId="0" fontId="45" fillId="0" borderId="5" applyNumberFormat="0" applyFill="0" applyAlignment="0" applyProtection="0"/>
    <xf numFmtId="0" fontId="46" fillId="0" borderId="6" applyNumberFormat="0" applyFill="0" applyAlignment="0" applyProtection="0"/>
    <xf numFmtId="0" fontId="46" fillId="0" borderId="0" applyNumberFormat="0" applyFill="0" applyBorder="0" applyAlignment="0" applyProtection="0"/>
    <xf numFmtId="0" fontId="19" fillId="0" borderId="0" applyNumberFormat="0" applyFill="0" applyBorder="0" applyAlignment="0" applyProtection="0">
      <alignment vertical="top"/>
      <protection locked="0"/>
    </xf>
    <xf numFmtId="0" fontId="43" fillId="4" borderId="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41" fillId="0" borderId="3" applyNumberFormat="0" applyFill="0" applyAlignment="0" applyProtection="0"/>
    <xf numFmtId="43" fontId="2"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0" fontId="47" fillId="14" borderId="0" applyNumberFormat="0" applyBorder="0" applyAlignment="0" applyProtection="0"/>
    <xf numFmtId="0" fontId="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0" fontId="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0" fontId="61" fillId="0" borderId="0"/>
    <xf numFmtId="0" fontId="61" fillId="0" borderId="0"/>
    <xf numFmtId="0" fontId="61" fillId="0" borderId="0"/>
    <xf numFmtId="0" fontId="61" fillId="0" borderId="0"/>
    <xf numFmtId="0" fontId="61" fillId="0" borderId="0"/>
    <xf numFmtId="0" fontId="2" fillId="0" borderId="0"/>
    <xf numFmtId="0" fontId="2" fillId="0" borderId="0"/>
    <xf numFmtId="0" fontId="2" fillId="15" borderId="7" applyNumberFormat="0" applyFont="0" applyAlignment="0" applyProtection="0"/>
    <xf numFmtId="0" fontId="51" fillId="12"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1" fillId="0" borderId="0" applyFont="0" applyFill="0" applyBorder="0" applyAlignment="0" applyProtection="0"/>
    <xf numFmtId="4" fontId="8" fillId="14" borderId="9" applyNumberFormat="0" applyProtection="0">
      <alignment vertical="center"/>
    </xf>
    <xf numFmtId="4" fontId="9" fillId="16" borderId="9" applyNumberFormat="0" applyProtection="0">
      <alignment vertical="center"/>
    </xf>
    <xf numFmtId="4" fontId="8" fillId="16" borderId="9" applyNumberFormat="0" applyProtection="0">
      <alignment horizontal="left" vertical="center" indent="1"/>
    </xf>
    <xf numFmtId="0" fontId="8" fillId="16" borderId="9" applyNumberFormat="0" applyProtection="0">
      <alignment horizontal="left" vertical="top" indent="1"/>
    </xf>
    <xf numFmtId="4" fontId="8" fillId="17" borderId="0" applyNumberFormat="0" applyProtection="0">
      <alignment horizontal="left" vertical="center" indent="1"/>
    </xf>
    <xf numFmtId="4" fontId="8" fillId="18" borderId="0" applyNumberFormat="0" applyProtection="0">
      <alignment horizontal="left" vertical="center" indent="1"/>
    </xf>
    <xf numFmtId="4" fontId="7" fillId="2" borderId="9" applyNumberFormat="0" applyProtection="0">
      <alignment horizontal="right" vertical="center"/>
    </xf>
    <xf numFmtId="4" fontId="7" fillId="5" borderId="9" applyNumberFormat="0" applyProtection="0">
      <alignment horizontal="right" vertical="center"/>
    </xf>
    <xf numFmtId="4" fontId="7" fillId="9" borderId="9" applyNumberFormat="0" applyProtection="0">
      <alignment horizontal="right" vertical="center"/>
    </xf>
    <xf numFmtId="4" fontId="7" fillId="7" borderId="9" applyNumberFormat="0" applyProtection="0">
      <alignment horizontal="right" vertical="center"/>
    </xf>
    <xf numFmtId="4" fontId="7" fillId="8" borderId="9" applyNumberFormat="0" applyProtection="0">
      <alignment horizontal="right" vertical="center"/>
    </xf>
    <xf numFmtId="4" fontId="7" fillId="11" borderId="9" applyNumberFormat="0" applyProtection="0">
      <alignment horizontal="right" vertical="center"/>
    </xf>
    <xf numFmtId="4" fontId="7" fillId="10" borderId="9" applyNumberFormat="0" applyProtection="0">
      <alignment horizontal="right" vertical="center"/>
    </xf>
    <xf numFmtId="4" fontId="7" fillId="19" borderId="9" applyNumberFormat="0" applyProtection="0">
      <alignment horizontal="right" vertical="center"/>
    </xf>
    <xf numFmtId="4" fontId="7" fillId="6" borderId="9" applyNumberFormat="0" applyProtection="0">
      <alignment horizontal="right" vertical="center"/>
    </xf>
    <xf numFmtId="4" fontId="8" fillId="20" borderId="10" applyNumberFormat="0" applyProtection="0">
      <alignment horizontal="left" vertical="center" indent="1"/>
    </xf>
    <xf numFmtId="4" fontId="7" fillId="21" borderId="0" applyNumberFormat="0" applyProtection="0">
      <alignment horizontal="left" vertical="center" indent="1"/>
    </xf>
    <xf numFmtId="4" fontId="10" fillId="22" borderId="0" applyNumberFormat="0" applyProtection="0">
      <alignment horizontal="left" vertical="center" indent="1"/>
    </xf>
    <xf numFmtId="4" fontId="7" fillId="18" borderId="9" applyNumberFormat="0" applyProtection="0">
      <alignment horizontal="right" vertical="center"/>
    </xf>
    <xf numFmtId="4" fontId="7" fillId="21" borderId="0" applyNumberFormat="0" applyProtection="0">
      <alignment horizontal="left" vertical="center" indent="1"/>
    </xf>
    <xf numFmtId="4" fontId="7" fillId="17" borderId="0" applyNumberFormat="0" applyProtection="0">
      <alignment horizontal="left" vertical="center" indent="1"/>
    </xf>
    <xf numFmtId="0" fontId="2" fillId="22" borderId="9" applyNumberFormat="0" applyProtection="0">
      <alignment horizontal="left" vertical="center" indent="1"/>
    </xf>
    <xf numFmtId="0" fontId="2" fillId="22" borderId="9" applyNumberFormat="0" applyProtection="0">
      <alignment horizontal="left" vertical="top" indent="1"/>
    </xf>
    <xf numFmtId="0" fontId="2" fillId="17" borderId="9" applyNumberFormat="0" applyProtection="0">
      <alignment horizontal="left" vertical="center" indent="1"/>
    </xf>
    <xf numFmtId="0" fontId="2" fillId="17" borderId="9" applyNumberFormat="0" applyProtection="0">
      <alignment horizontal="left" vertical="top" indent="1"/>
    </xf>
    <xf numFmtId="0" fontId="2" fillId="23" borderId="9" applyNumberFormat="0" applyProtection="0">
      <alignment horizontal="left" vertical="center" indent="1"/>
    </xf>
    <xf numFmtId="0" fontId="2" fillId="23" borderId="9" applyNumberFormat="0" applyProtection="0">
      <alignment horizontal="left" vertical="top" indent="1"/>
    </xf>
    <xf numFmtId="0" fontId="2" fillId="24" borderId="9" applyNumberFormat="0" applyProtection="0">
      <alignment horizontal="left" vertical="center" indent="1"/>
    </xf>
    <xf numFmtId="0" fontId="2" fillId="24" borderId="9" applyNumberFormat="0" applyProtection="0">
      <alignment horizontal="left" vertical="top" indent="1"/>
    </xf>
    <xf numFmtId="0" fontId="2" fillId="25" borderId="11" applyNumberFormat="0">
      <protection locked="0"/>
    </xf>
    <xf numFmtId="4" fontId="7" fillId="26" borderId="9" applyNumberFormat="0" applyProtection="0">
      <alignment vertical="center"/>
    </xf>
    <xf numFmtId="4" fontId="11" fillId="26" borderId="9" applyNumberFormat="0" applyProtection="0">
      <alignment vertical="center"/>
    </xf>
    <xf numFmtId="4" fontId="7" fillId="26" borderId="9" applyNumberFormat="0" applyProtection="0">
      <alignment horizontal="left" vertical="center" indent="1"/>
    </xf>
    <xf numFmtId="0" fontId="7" fillId="26" borderId="9" applyNumberFormat="0" applyProtection="0">
      <alignment horizontal="left" vertical="top" indent="1"/>
    </xf>
    <xf numFmtId="4" fontId="7" fillId="21" borderId="9" applyNumberFormat="0" applyProtection="0">
      <alignment horizontal="right" vertical="center"/>
    </xf>
    <xf numFmtId="4" fontId="11" fillId="21" borderId="9" applyNumberFormat="0" applyProtection="0">
      <alignment horizontal="right" vertical="center"/>
    </xf>
    <xf numFmtId="4" fontId="7" fillId="18" borderId="9" applyNumberFormat="0" applyProtection="0">
      <alignment horizontal="left" vertical="center" indent="1"/>
    </xf>
    <xf numFmtId="4" fontId="7" fillId="18" borderId="9" applyNumberFormat="0" applyProtection="0">
      <alignment horizontal="left" vertical="center" indent="1"/>
    </xf>
    <xf numFmtId="0" fontId="7" fillId="17" borderId="9" applyNumberFormat="0" applyProtection="0">
      <alignment horizontal="left" vertical="top" indent="1"/>
    </xf>
    <xf numFmtId="4" fontId="12" fillId="27" borderId="0" applyNumberFormat="0" applyProtection="0">
      <alignment horizontal="left" vertical="center" indent="1"/>
    </xf>
    <xf numFmtId="4" fontId="13" fillId="21" borderId="9" applyNumberFormat="0" applyProtection="0">
      <alignment horizontal="right" vertical="center"/>
    </xf>
    <xf numFmtId="0" fontId="58" fillId="0" borderId="0" applyNumberFormat="0" applyFill="0" applyBorder="0" applyAlignment="0" applyProtection="0"/>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xf numFmtId="0" fontId="61" fillId="0" borderId="0"/>
    <xf numFmtId="0" fontId="2" fillId="0" borderId="0">
      <alignment vertical="top"/>
    </xf>
    <xf numFmtId="0" fontId="1" fillId="0" borderId="0"/>
    <xf numFmtId="0" fontId="2" fillId="0" borderId="0">
      <alignment vertical="top"/>
    </xf>
    <xf numFmtId="0" fontId="2" fillId="0" borderId="0">
      <alignment vertical="top"/>
    </xf>
    <xf numFmtId="0" fontId="32" fillId="0" borderId="0"/>
    <xf numFmtId="0" fontId="2" fillId="0" borderId="0"/>
    <xf numFmtId="0" fontId="2" fillId="0" borderId="0"/>
    <xf numFmtId="0" fontId="33" fillId="0" borderId="0"/>
    <xf numFmtId="0" fontId="2" fillId="0" borderId="0"/>
    <xf numFmtId="0" fontId="2" fillId="0" borderId="0"/>
    <xf numFmtId="0" fontId="7" fillId="0" borderId="0">
      <alignment vertical="top"/>
    </xf>
    <xf numFmtId="0" fontId="7" fillId="0" borderId="0">
      <alignment vertical="top"/>
    </xf>
    <xf numFmtId="0" fontId="49" fillId="0" borderId="0" applyNumberFormat="0" applyFill="0" applyBorder="0" applyAlignment="0" applyProtection="0"/>
    <xf numFmtId="0" fontId="50" fillId="0" borderId="12" applyNumberFormat="0" applyFill="0" applyAlignment="0" applyProtection="0"/>
    <xf numFmtId="44" fontId="2" fillId="0" borderId="0" applyFont="0" applyFill="0" applyBorder="0" applyAlignment="0" applyProtection="0"/>
    <xf numFmtId="0" fontId="53" fillId="0" borderId="0" applyNumberFormat="0" applyFill="0" applyBorder="0" applyAlignment="0" applyProtection="0"/>
  </cellStyleXfs>
  <cellXfs count="1215">
    <xf numFmtId="0" fontId="0" fillId="0" borderId="0" xfId="0"/>
    <xf numFmtId="164" fontId="2" fillId="31" borderId="11" xfId="192" applyNumberFormat="1" applyFont="1" applyFill="1" applyBorder="1" applyAlignment="1" applyProtection="1">
      <alignment vertical="top"/>
      <protection locked="0"/>
    </xf>
    <xf numFmtId="164" fontId="5" fillId="31" borderId="11" xfId="192" applyNumberFormat="1" applyFont="1" applyFill="1" applyBorder="1" applyAlignment="1" applyProtection="1">
      <alignment horizontal="right" vertical="top"/>
      <protection locked="0"/>
    </xf>
    <xf numFmtId="164" fontId="5" fillId="31" borderId="13" xfId="192" applyNumberFormat="1" applyFont="1" applyFill="1" applyBorder="1" applyAlignment="1" applyProtection="1">
      <alignment horizontal="right" vertical="top"/>
      <protection locked="0"/>
    </xf>
    <xf numFmtId="0" fontId="2" fillId="0" borderId="0" xfId="174" applyFont="1" applyProtection="1">
      <protection locked="0"/>
    </xf>
    <xf numFmtId="3" fontId="2" fillId="31" borderId="11" xfId="192" applyNumberFormat="1" applyFont="1" applyFill="1" applyBorder="1" applyAlignment="1" applyProtection="1">
      <alignment vertical="top"/>
      <protection locked="0"/>
    </xf>
    <xf numFmtId="0" fontId="19" fillId="32" borderId="0" xfId="13" applyFill="1" applyAlignment="1" applyProtection="1"/>
    <xf numFmtId="0" fontId="19" fillId="0" borderId="11" xfId="13" applyBorder="1" applyAlignment="1" applyProtection="1">
      <alignment horizontal="center" vertical="center"/>
    </xf>
    <xf numFmtId="0" fontId="2" fillId="0" borderId="0" xfId="171" applyFont="1" applyFill="1" applyProtection="1"/>
    <xf numFmtId="0" fontId="6" fillId="0" borderId="0" xfId="171" applyFont="1" applyFill="1" applyProtection="1"/>
    <xf numFmtId="0" fontId="6" fillId="0" borderId="0" xfId="171" applyFont="1" applyFill="1" applyAlignment="1" applyProtection="1">
      <alignment horizontal="center"/>
    </xf>
    <xf numFmtId="0" fontId="2" fillId="33" borderId="0" xfId="171" applyFont="1" applyFill="1" applyProtection="1"/>
    <xf numFmtId="0" fontId="14" fillId="33" borderId="14" xfId="171" applyFont="1" applyFill="1" applyBorder="1" applyAlignment="1" applyProtection="1"/>
    <xf numFmtId="0" fontId="14" fillId="33" borderId="0" xfId="171" applyFont="1" applyFill="1" applyBorder="1" applyAlignment="1" applyProtection="1"/>
    <xf numFmtId="0" fontId="4" fillId="0" borderId="0" xfId="171" applyFont="1" applyFill="1" applyAlignment="1" applyProtection="1">
      <alignment horizontal="center"/>
    </xf>
    <xf numFmtId="0" fontId="2" fillId="32" borderId="0" xfId="171" applyFont="1" applyFill="1" applyProtection="1"/>
    <xf numFmtId="0" fontId="6" fillId="32" borderId="0" xfId="171" applyFont="1" applyFill="1" applyProtection="1"/>
    <xf numFmtId="44" fontId="2" fillId="32" borderId="15" xfId="192" applyFont="1" applyFill="1" applyBorder="1" applyAlignment="1" applyProtection="1">
      <alignment horizontal="center"/>
    </xf>
    <xf numFmtId="0" fontId="6" fillId="32" borderId="0" xfId="0" applyFont="1" applyFill="1" applyProtection="1"/>
    <xf numFmtId="0" fontId="4" fillId="0" borderId="0" xfId="171" applyFont="1" applyFill="1" applyProtection="1"/>
    <xf numFmtId="0" fontId="0" fillId="32" borderId="0" xfId="0" applyFill="1" applyProtection="1"/>
    <xf numFmtId="0" fontId="0" fillId="32" borderId="0" xfId="0" applyFill="1" applyBorder="1" applyProtection="1"/>
    <xf numFmtId="0" fontId="6" fillId="0" borderId="0" xfId="171" applyFont="1" applyFill="1" applyAlignment="1" applyProtection="1">
      <alignment horizontal="left"/>
    </xf>
    <xf numFmtId="0" fontId="2" fillId="0" borderId="0" xfId="171" applyFont="1" applyFill="1" applyAlignment="1" applyProtection="1">
      <alignment horizontal="left"/>
    </xf>
    <xf numFmtId="0" fontId="16" fillId="0" borderId="0" xfId="171" applyFont="1" applyAlignment="1" applyProtection="1"/>
    <xf numFmtId="0" fontId="2" fillId="0" borderId="0" xfId="171" applyFont="1" applyAlignment="1" applyProtection="1"/>
    <xf numFmtId="0" fontId="2" fillId="0" borderId="0" xfId="171" applyNumberFormat="1" applyFont="1" applyAlignment="1" applyProtection="1"/>
    <xf numFmtId="0" fontId="0" fillId="0" borderId="0" xfId="171" applyNumberFormat="1" applyFont="1" applyAlignment="1" applyProtection="1"/>
    <xf numFmtId="0" fontId="2" fillId="0" borderId="0" xfId="1" applyFont="1" applyProtection="1"/>
    <xf numFmtId="0" fontId="36" fillId="16" borderId="11" xfId="185" applyFont="1" applyFill="1" applyBorder="1" applyProtection="1"/>
    <xf numFmtId="0" fontId="36" fillId="0" borderId="0" xfId="171" applyFont="1" applyFill="1" applyProtection="1"/>
    <xf numFmtId="0" fontId="0" fillId="0" borderId="0" xfId="171" applyFont="1" applyAlignment="1" applyProtection="1"/>
    <xf numFmtId="0" fontId="36" fillId="28" borderId="0" xfId="185" applyFont="1" applyFill="1" applyBorder="1" applyProtection="1"/>
    <xf numFmtId="0" fontId="36" fillId="32" borderId="11" xfId="185" applyFont="1" applyFill="1" applyBorder="1" applyAlignment="1" applyProtection="1">
      <alignment horizontal="left" vertical="top" wrapText="1"/>
    </xf>
    <xf numFmtId="0" fontId="36" fillId="32" borderId="0" xfId="171" applyFont="1" applyFill="1" applyBorder="1" applyProtection="1"/>
    <xf numFmtId="0" fontId="36" fillId="0" borderId="0" xfId="171" applyFont="1" applyFill="1" applyAlignment="1" applyProtection="1"/>
    <xf numFmtId="0" fontId="37" fillId="28" borderId="0" xfId="185" applyFont="1" applyFill="1" applyBorder="1" applyProtection="1"/>
    <xf numFmtId="0" fontId="36" fillId="34" borderId="11" xfId="185" applyFont="1" applyFill="1" applyBorder="1" applyProtection="1"/>
    <xf numFmtId="0" fontId="36" fillId="0" borderId="0" xfId="1" applyFont="1" applyProtection="1"/>
    <xf numFmtId="0" fontId="36" fillId="35" borderId="11" xfId="185" applyFont="1" applyFill="1" applyBorder="1" applyAlignment="1" applyProtection="1">
      <alignment horizontal="left" vertical="top" wrapText="1"/>
    </xf>
    <xf numFmtId="0" fontId="36" fillId="0" borderId="0" xfId="171" applyFont="1" applyFill="1" applyAlignment="1" applyProtection="1">
      <alignment vertical="top"/>
    </xf>
    <xf numFmtId="0" fontId="2" fillId="0" borderId="0" xfId="171" applyFont="1" applyFill="1" applyAlignment="1" applyProtection="1">
      <alignment vertical="top"/>
    </xf>
    <xf numFmtId="0" fontId="0" fillId="0" borderId="0" xfId="171" applyFont="1" applyFill="1" applyProtection="1"/>
    <xf numFmtId="0" fontId="18" fillId="0" borderId="0" xfId="171" applyFont="1" applyAlignment="1" applyProtection="1"/>
    <xf numFmtId="0" fontId="16" fillId="0" borderId="0" xfId="171" applyFont="1" applyProtection="1"/>
    <xf numFmtId="0" fontId="17" fillId="0" borderId="0" xfId="171" applyFont="1" applyAlignment="1" applyProtection="1"/>
    <xf numFmtId="0" fontId="21" fillId="32" borderId="0" xfId="186" applyFont="1" applyFill="1" applyProtection="1"/>
    <xf numFmtId="0" fontId="21" fillId="32" borderId="0" xfId="186" applyFont="1" applyFill="1" applyAlignment="1" applyProtection="1">
      <alignment horizontal="center"/>
    </xf>
    <xf numFmtId="0" fontId="0" fillId="32" borderId="0" xfId="0" applyFill="1" applyAlignment="1" applyProtection="1">
      <alignment vertical="top"/>
    </xf>
    <xf numFmtId="0" fontId="4" fillId="32" borderId="0" xfId="0" applyFont="1" applyFill="1" applyAlignment="1" applyProtection="1">
      <alignment vertical="top" wrapText="1"/>
    </xf>
    <xf numFmtId="0" fontId="0" fillId="32" borderId="0" xfId="0" applyFill="1" applyAlignment="1" applyProtection="1">
      <alignment horizontal="center" vertical="top"/>
    </xf>
    <xf numFmtId="0" fontId="5" fillId="32" borderId="0" xfId="0" applyFont="1" applyFill="1" applyAlignment="1" applyProtection="1">
      <alignment vertical="top"/>
    </xf>
    <xf numFmtId="0" fontId="6" fillId="32" borderId="0" xfId="186" applyFont="1" applyFill="1" applyProtection="1"/>
    <xf numFmtId="0" fontId="6" fillId="32" borderId="0" xfId="186" applyFont="1" applyFill="1" applyAlignment="1" applyProtection="1">
      <alignment horizontal="center"/>
    </xf>
    <xf numFmtId="0" fontId="2" fillId="32" borderId="0" xfId="186" applyFont="1" applyFill="1" applyProtection="1"/>
    <xf numFmtId="0" fontId="2" fillId="32" borderId="0" xfId="186" applyFont="1" applyFill="1" applyAlignment="1" applyProtection="1">
      <alignment horizontal="center"/>
    </xf>
    <xf numFmtId="4" fontId="35" fillId="32" borderId="0" xfId="186" applyNumberFormat="1" applyFont="1" applyFill="1" applyBorder="1" applyProtection="1"/>
    <xf numFmtId="4" fontId="4" fillId="32" borderId="16" xfId="186" applyNumberFormat="1" applyFont="1" applyFill="1" applyBorder="1" applyAlignment="1" applyProtection="1">
      <alignment horizontal="centerContinuous" vertical="center"/>
    </xf>
    <xf numFmtId="4" fontId="4" fillId="32" borderId="0" xfId="186" applyNumberFormat="1" applyFont="1" applyFill="1" applyBorder="1" applyAlignment="1" applyProtection="1">
      <alignment horizontal="centerContinuous" vertical="center"/>
    </xf>
    <xf numFmtId="4" fontId="4" fillId="32" borderId="0" xfId="186" applyNumberFormat="1" applyFont="1" applyFill="1" applyBorder="1" applyAlignment="1" applyProtection="1">
      <alignment horizontal="centerContinuous"/>
    </xf>
    <xf numFmtId="4" fontId="4" fillId="32" borderId="17" xfId="186" applyNumberFormat="1" applyFont="1" applyFill="1" applyBorder="1" applyAlignment="1" applyProtection="1">
      <alignment horizontal="center"/>
    </xf>
    <xf numFmtId="4" fontId="6" fillId="32" borderId="18" xfId="186" applyNumberFormat="1" applyFont="1" applyFill="1" applyBorder="1" applyAlignment="1" applyProtection="1">
      <alignment horizontal="center" vertical="center" wrapText="1"/>
    </xf>
    <xf numFmtId="4" fontId="6" fillId="32" borderId="18" xfId="186" applyNumberFormat="1" applyFont="1" applyFill="1" applyBorder="1" applyAlignment="1" applyProtection="1">
      <alignment horizontal="center" vertical="center"/>
    </xf>
    <xf numFmtId="4" fontId="6" fillId="32" borderId="17" xfId="186" applyNumberFormat="1" applyFont="1" applyFill="1" applyBorder="1" applyAlignment="1" applyProtection="1">
      <alignment horizontal="center" vertical="center"/>
    </xf>
    <xf numFmtId="4" fontId="2" fillId="32" borderId="16" xfId="186" applyNumberFormat="1" applyFont="1" applyFill="1" applyBorder="1" applyProtection="1"/>
    <xf numFmtId="4" fontId="2" fillId="32" borderId="0" xfId="186" applyNumberFormat="1" applyFont="1" applyFill="1" applyBorder="1" applyProtection="1"/>
    <xf numFmtId="0" fontId="2" fillId="32" borderId="17" xfId="186" applyNumberFormat="1" applyFont="1" applyFill="1" applyBorder="1" applyAlignment="1" applyProtection="1">
      <alignment horizontal="center"/>
    </xf>
    <xf numFmtId="4" fontId="2" fillId="32" borderId="17" xfId="186" applyNumberFormat="1" applyFont="1" applyFill="1" applyBorder="1" applyProtection="1"/>
    <xf numFmtId="4" fontId="4" fillId="32" borderId="16" xfId="186" applyNumberFormat="1" applyFont="1" applyFill="1" applyBorder="1" applyAlignment="1" applyProtection="1">
      <alignment horizontal="left" vertical="center"/>
    </xf>
    <xf numFmtId="4" fontId="4" fillId="32" borderId="0" xfId="186" applyNumberFormat="1" applyFont="1" applyFill="1" applyBorder="1" applyAlignment="1" applyProtection="1">
      <alignment vertical="center"/>
    </xf>
    <xf numFmtId="0" fontId="4" fillId="32" borderId="17" xfId="186" applyNumberFormat="1" applyFont="1" applyFill="1" applyBorder="1" applyAlignment="1" applyProtection="1">
      <alignment horizontal="center" vertical="center"/>
    </xf>
    <xf numFmtId="4" fontId="35" fillId="32" borderId="0" xfId="186" applyNumberFormat="1" applyFont="1" applyFill="1" applyBorder="1" applyAlignment="1" applyProtection="1">
      <alignment vertical="center"/>
    </xf>
    <xf numFmtId="4" fontId="2" fillId="32" borderId="16" xfId="186" applyNumberFormat="1" applyFont="1" applyFill="1" applyBorder="1" applyAlignment="1" applyProtection="1">
      <alignment horizontal="left" vertical="center"/>
    </xf>
    <xf numFmtId="4" fontId="2" fillId="32" borderId="0" xfId="186" applyNumberFormat="1" applyFont="1" applyFill="1" applyBorder="1" applyAlignment="1" applyProtection="1">
      <alignment vertical="center"/>
    </xf>
    <xf numFmtId="0" fontId="2" fillId="32" borderId="17" xfId="186" applyNumberFormat="1" applyFont="1" applyFill="1" applyBorder="1" applyAlignment="1" applyProtection="1">
      <alignment horizontal="center" vertical="center"/>
    </xf>
    <xf numFmtId="4" fontId="2" fillId="32" borderId="16" xfId="186" applyNumberFormat="1" applyFont="1" applyFill="1" applyBorder="1" applyAlignment="1" applyProtection="1">
      <alignment vertical="center"/>
    </xf>
    <xf numFmtId="4" fontId="2" fillId="32" borderId="0" xfId="186" applyNumberFormat="1" applyFont="1" applyFill="1" applyBorder="1" applyAlignment="1" applyProtection="1">
      <alignment horizontal="left" vertical="center"/>
    </xf>
    <xf numFmtId="4" fontId="4" fillId="32" borderId="16" xfId="186" applyNumberFormat="1" applyFont="1" applyFill="1" applyBorder="1" applyAlignment="1" applyProtection="1">
      <alignment vertical="center"/>
    </xf>
    <xf numFmtId="4" fontId="4" fillId="32" borderId="0" xfId="186" applyNumberFormat="1" applyFont="1" applyFill="1" applyBorder="1" applyAlignment="1" applyProtection="1">
      <alignment horizontal="left" vertical="center"/>
    </xf>
    <xf numFmtId="4" fontId="5" fillId="32" borderId="16" xfId="186" applyNumberFormat="1" applyFont="1" applyFill="1" applyBorder="1" applyAlignment="1" applyProtection="1">
      <alignment vertical="center"/>
    </xf>
    <xf numFmtId="4" fontId="5" fillId="32" borderId="0" xfId="186" applyNumberFormat="1" applyFont="1" applyFill="1" applyBorder="1" applyAlignment="1" applyProtection="1">
      <alignment horizontal="left" vertical="center"/>
    </xf>
    <xf numFmtId="4" fontId="5" fillId="32" borderId="0" xfId="186" applyNumberFormat="1" applyFont="1" applyFill="1" applyBorder="1" applyAlignment="1" applyProtection="1">
      <alignment vertical="center"/>
    </xf>
    <xf numFmtId="0" fontId="5" fillId="32" borderId="17" xfId="186" applyNumberFormat="1" applyFont="1" applyFill="1" applyBorder="1" applyAlignment="1" applyProtection="1">
      <alignment horizontal="center" vertical="center"/>
    </xf>
    <xf numFmtId="4" fontId="6" fillId="32" borderId="0" xfId="0" applyNumberFormat="1" applyFont="1" applyFill="1" applyBorder="1" applyAlignment="1" applyProtection="1">
      <alignment horizontal="right"/>
    </xf>
    <xf numFmtId="4" fontId="3" fillId="32" borderId="16" xfId="186" applyNumberFormat="1" applyFont="1" applyFill="1" applyBorder="1" applyAlignment="1" applyProtection="1">
      <alignment horizontal="right" vertical="center"/>
    </xf>
    <xf numFmtId="4" fontId="3" fillId="32" borderId="0" xfId="0" applyNumberFormat="1" applyFont="1" applyFill="1" applyBorder="1" applyAlignment="1" applyProtection="1">
      <alignment horizontal="right" vertical="center"/>
    </xf>
    <xf numFmtId="4" fontId="3" fillId="32" borderId="19" xfId="0" applyNumberFormat="1" applyFont="1" applyFill="1" applyBorder="1" applyAlignment="1" applyProtection="1">
      <alignment horizontal="right" vertical="center"/>
    </xf>
    <xf numFmtId="0" fontId="3" fillId="32" borderId="20" xfId="186" applyNumberFormat="1" applyFont="1" applyFill="1" applyBorder="1" applyAlignment="1" applyProtection="1">
      <alignment horizontal="center" vertical="center"/>
    </xf>
    <xf numFmtId="4" fontId="17" fillId="32" borderId="16" xfId="0" applyNumberFormat="1" applyFont="1" applyFill="1" applyBorder="1" applyAlignment="1" applyProtection="1">
      <alignment horizontal="right" vertical="center"/>
    </xf>
    <xf numFmtId="4" fontId="17" fillId="32" borderId="0" xfId="0" applyNumberFormat="1" applyFont="1" applyFill="1" applyBorder="1" applyAlignment="1" applyProtection="1">
      <alignment horizontal="right" vertical="center"/>
    </xf>
    <xf numFmtId="4" fontId="17" fillId="32" borderId="19" xfId="0" applyNumberFormat="1" applyFont="1" applyFill="1" applyBorder="1" applyAlignment="1" applyProtection="1">
      <alignment horizontal="right" vertical="center"/>
    </xf>
    <xf numFmtId="0" fontId="17" fillId="32" borderId="17" xfId="0" applyNumberFormat="1" applyFont="1" applyFill="1" applyBorder="1" applyAlignment="1" applyProtection="1">
      <alignment horizontal="center" vertical="center"/>
    </xf>
    <xf numFmtId="4" fontId="3" fillId="32" borderId="21" xfId="0" applyNumberFormat="1" applyFont="1" applyFill="1" applyBorder="1" applyAlignment="1" applyProtection="1">
      <alignment horizontal="right" vertical="center"/>
    </xf>
    <xf numFmtId="4" fontId="3" fillId="32" borderId="22" xfId="0" applyNumberFormat="1" applyFont="1" applyFill="1" applyBorder="1" applyAlignment="1" applyProtection="1">
      <alignment horizontal="right" vertical="center"/>
    </xf>
    <xf numFmtId="4" fontId="3" fillId="32" borderId="23" xfId="0" applyNumberFormat="1" applyFont="1" applyFill="1" applyBorder="1" applyAlignment="1" applyProtection="1">
      <alignment horizontal="right" vertical="center"/>
    </xf>
    <xf numFmtId="0" fontId="3" fillId="32" borderId="24" xfId="0" applyNumberFormat="1" applyFont="1" applyFill="1" applyBorder="1" applyAlignment="1" applyProtection="1">
      <alignment horizontal="center" vertical="center"/>
    </xf>
    <xf numFmtId="164" fontId="3" fillId="32" borderId="24" xfId="0" applyNumberFormat="1" applyFont="1" applyFill="1" applyBorder="1" applyAlignment="1" applyProtection="1">
      <alignment vertical="center"/>
    </xf>
    <xf numFmtId="4" fontId="6" fillId="32" borderId="0" xfId="186" applyNumberFormat="1" applyFont="1" applyFill="1" applyBorder="1" applyAlignment="1" applyProtection="1"/>
    <xf numFmtId="4" fontId="2" fillId="32" borderId="0" xfId="186" applyNumberFormat="1" applyFont="1" applyFill="1" applyProtection="1"/>
    <xf numFmtId="0" fontId="2" fillId="32" borderId="0" xfId="186" applyNumberFormat="1" applyFont="1" applyFill="1" applyAlignment="1" applyProtection="1">
      <alignment horizontal="center"/>
    </xf>
    <xf numFmtId="4" fontId="6" fillId="32" borderId="0" xfId="186" applyNumberFormat="1" applyFont="1" applyFill="1" applyProtection="1"/>
    <xf numFmtId="4" fontId="2" fillId="32" borderId="0" xfId="186" applyNumberFormat="1" applyFont="1" applyFill="1" applyAlignment="1" applyProtection="1">
      <alignment vertical="center"/>
    </xf>
    <xf numFmtId="4" fontId="2" fillId="32" borderId="0" xfId="186" applyNumberFormat="1" applyFont="1" applyFill="1" applyAlignment="1" applyProtection="1">
      <alignment horizontal="center" vertical="center"/>
    </xf>
    <xf numFmtId="164" fontId="2" fillId="32" borderId="0" xfId="186" applyNumberFormat="1" applyFont="1" applyFill="1" applyAlignment="1" applyProtection="1">
      <alignment vertical="center"/>
    </xf>
    <xf numFmtId="4" fontId="20" fillId="32" borderId="0" xfId="186" quotePrefix="1" applyNumberFormat="1" applyFont="1" applyFill="1" applyAlignment="1" applyProtection="1">
      <alignment vertical="center"/>
    </xf>
    <xf numFmtId="4" fontId="2" fillId="32" borderId="0" xfId="186" applyNumberFormat="1" applyFont="1" applyFill="1" applyAlignment="1" applyProtection="1">
      <alignment horizontal="center"/>
    </xf>
    <xf numFmtId="0" fontId="3" fillId="32" borderId="0" xfId="0" applyFont="1" applyFill="1" applyBorder="1" applyAlignment="1" applyProtection="1"/>
    <xf numFmtId="0" fontId="2" fillId="32" borderId="0" xfId="0" applyFont="1" applyFill="1" applyProtection="1"/>
    <xf numFmtId="0" fontId="0" fillId="32" borderId="25" xfId="0" applyFill="1" applyBorder="1" applyProtection="1"/>
    <xf numFmtId="0" fontId="0" fillId="0" borderId="0" xfId="0" applyProtection="1"/>
    <xf numFmtId="0" fontId="4" fillId="32" borderId="0" xfId="0" applyFont="1" applyFill="1" applyProtection="1"/>
    <xf numFmtId="44" fontId="6" fillId="32" borderId="11" xfId="192" applyFont="1" applyFill="1" applyBorder="1" applyAlignment="1" applyProtection="1">
      <alignment horizontal="center" vertical="top"/>
    </xf>
    <xf numFmtId="0" fontId="6" fillId="32" borderId="11" xfId="0" applyFont="1" applyFill="1" applyBorder="1" applyAlignment="1" applyProtection="1">
      <alignment horizontal="right" vertical="center"/>
    </xf>
    <xf numFmtId="0" fontId="6" fillId="32" borderId="26" xfId="0" applyFont="1" applyFill="1" applyBorder="1" applyAlignment="1" applyProtection="1">
      <alignment horizontal="center" vertical="top"/>
    </xf>
    <xf numFmtId="0" fontId="6" fillId="32" borderId="11" xfId="0" applyFont="1" applyFill="1" applyBorder="1" applyAlignment="1" applyProtection="1">
      <alignment horizontal="center" vertical="top"/>
    </xf>
    <xf numFmtId="0" fontId="20" fillId="32" borderId="11" xfId="0" applyFont="1" applyFill="1" applyBorder="1" applyAlignment="1" applyProtection="1">
      <alignment vertical="top" wrapText="1"/>
    </xf>
    <xf numFmtId="164" fontId="0" fillId="32" borderId="11" xfId="0" applyNumberFormat="1" applyFont="1" applyFill="1" applyBorder="1" applyAlignment="1" applyProtection="1">
      <alignment vertical="top"/>
    </xf>
    <xf numFmtId="4" fontId="20" fillId="0" borderId="11" xfId="186" applyNumberFormat="1" applyFont="1" applyBorder="1" applyAlignment="1" applyProtection="1">
      <alignment horizontal="left" vertical="top" wrapText="1"/>
    </xf>
    <xf numFmtId="4" fontId="2" fillId="0" borderId="11" xfId="186" applyNumberFormat="1" applyFont="1" applyBorder="1" applyAlignment="1" applyProtection="1">
      <alignment horizontal="left" vertical="top" wrapText="1"/>
    </xf>
    <xf numFmtId="4" fontId="6" fillId="0" borderId="11" xfId="186" applyNumberFormat="1" applyFont="1" applyBorder="1" applyAlignment="1" applyProtection="1">
      <alignment horizontal="left" vertical="top" wrapText="1"/>
    </xf>
    <xf numFmtId="0" fontId="5" fillId="32" borderId="0" xfId="0" applyFont="1" applyFill="1" applyAlignment="1" applyProtection="1">
      <alignment vertical="top" wrapText="1"/>
    </xf>
    <xf numFmtId="0" fontId="4" fillId="32" borderId="0" xfId="0" applyFont="1" applyFill="1" applyAlignment="1" applyProtection="1">
      <alignment vertical="top"/>
    </xf>
    <xf numFmtId="0" fontId="0" fillId="32" borderId="0" xfId="0" applyFill="1" applyAlignment="1" applyProtection="1">
      <alignment vertical="top" wrapText="1"/>
    </xf>
    <xf numFmtId="0" fontId="6" fillId="32" borderId="11" xfId="0" applyFont="1" applyFill="1" applyBorder="1" applyAlignment="1" applyProtection="1">
      <alignment horizontal="center" vertical="top" wrapText="1"/>
    </xf>
    <xf numFmtId="0" fontId="2" fillId="32" borderId="27" xfId="0" applyFont="1" applyFill="1" applyBorder="1" applyAlignment="1" applyProtection="1">
      <alignment horizontal="center" vertical="top"/>
    </xf>
    <xf numFmtId="0" fontId="0" fillId="32" borderId="27" xfId="0" applyFill="1" applyBorder="1" applyAlignment="1" applyProtection="1">
      <alignment horizontal="center" vertical="top"/>
    </xf>
    <xf numFmtId="0" fontId="0" fillId="32" borderId="28" xfId="0" applyFill="1" applyBorder="1" applyAlignment="1" applyProtection="1">
      <alignment vertical="top"/>
    </xf>
    <xf numFmtId="0" fontId="0" fillId="32" borderId="11" xfId="0" applyFont="1" applyFill="1" applyBorder="1" applyAlignment="1" applyProtection="1">
      <alignment vertical="top" wrapText="1"/>
    </xf>
    <xf numFmtId="0" fontId="5" fillId="32" borderId="11" xfId="192" applyNumberFormat="1" applyFont="1" applyFill="1" applyBorder="1" applyAlignment="1" applyProtection="1">
      <alignment horizontal="center" vertical="top"/>
    </xf>
    <xf numFmtId="0" fontId="5" fillId="32" borderId="0" xfId="192" applyNumberFormat="1" applyFont="1" applyFill="1" applyBorder="1" applyAlignment="1" applyProtection="1">
      <alignment horizontal="center" vertical="top"/>
    </xf>
    <xf numFmtId="0" fontId="0" fillId="32" borderId="0" xfId="0" applyFill="1" applyBorder="1" applyAlignment="1" applyProtection="1">
      <alignment vertical="top"/>
    </xf>
    <xf numFmtId="44" fontId="2" fillId="32" borderId="29" xfId="192" applyFont="1" applyFill="1" applyBorder="1" applyAlignment="1" applyProtection="1">
      <alignment vertical="top"/>
    </xf>
    <xf numFmtId="0" fontId="5" fillId="32" borderId="29" xfId="192" applyNumberFormat="1" applyFont="1" applyFill="1" applyBorder="1" applyAlignment="1" applyProtection="1">
      <alignment horizontal="center" vertical="top"/>
    </xf>
    <xf numFmtId="0" fontId="0" fillId="0" borderId="11" xfId="0" applyFont="1" applyBorder="1" applyAlignment="1" applyProtection="1">
      <alignment vertical="top" wrapText="1"/>
    </xf>
    <xf numFmtId="164" fontId="2" fillId="32" borderId="11" xfId="192" applyNumberFormat="1" applyFont="1" applyFill="1" applyBorder="1" applyAlignment="1" applyProtection="1">
      <alignment vertical="top"/>
    </xf>
    <xf numFmtId="0" fontId="19" fillId="0" borderId="11" xfId="13" applyNumberFormat="1" applyBorder="1" applyAlignment="1" applyProtection="1">
      <alignment horizontal="center" vertical="top"/>
    </xf>
    <xf numFmtId="0" fontId="0" fillId="32" borderId="0" xfId="0" applyFont="1" applyFill="1" applyBorder="1" applyAlignment="1" applyProtection="1">
      <alignment vertical="top" wrapText="1"/>
    </xf>
    <xf numFmtId="0" fontId="2" fillId="32" borderId="0" xfId="192" applyNumberFormat="1" applyFont="1" applyFill="1" applyBorder="1" applyAlignment="1" applyProtection="1">
      <alignment horizontal="center" vertical="top" wrapText="1"/>
    </xf>
    <xf numFmtId="164" fontId="2" fillId="32" borderId="0" xfId="192" applyNumberFormat="1" applyFont="1" applyFill="1" applyBorder="1" applyAlignment="1" applyProtection="1">
      <alignment vertical="top"/>
    </xf>
    <xf numFmtId="0" fontId="2" fillId="0" borderId="11" xfId="186" applyNumberFormat="1" applyFont="1" applyBorder="1" applyAlignment="1" applyProtection="1">
      <alignment horizontal="center" vertical="top"/>
    </xf>
    <xf numFmtId="0" fontId="2" fillId="32" borderId="30" xfId="0" applyFont="1" applyFill="1" applyBorder="1" applyAlignment="1" applyProtection="1">
      <alignment vertical="top" wrapText="1"/>
    </xf>
    <xf numFmtId="0" fontId="2" fillId="32" borderId="30" xfId="186" applyNumberFormat="1" applyFont="1" applyFill="1" applyBorder="1" applyAlignment="1" applyProtection="1">
      <alignment horizontal="center" vertical="top"/>
    </xf>
    <xf numFmtId="164" fontId="2" fillId="32" borderId="30" xfId="192" applyNumberFormat="1" applyFont="1" applyFill="1" applyBorder="1" applyAlignment="1" applyProtection="1">
      <alignment vertical="top"/>
    </xf>
    <xf numFmtId="164" fontId="2" fillId="0" borderId="11" xfId="192" applyNumberFormat="1" applyFont="1" applyFill="1" applyBorder="1" applyAlignment="1" applyProtection="1">
      <alignment vertical="top"/>
    </xf>
    <xf numFmtId="0" fontId="5" fillId="32" borderId="31" xfId="192" applyNumberFormat="1" applyFont="1" applyFill="1" applyBorder="1" applyAlignment="1" applyProtection="1">
      <alignment horizontal="center" vertical="top"/>
    </xf>
    <xf numFmtId="0" fontId="5" fillId="32" borderId="29" xfId="0" applyFont="1" applyFill="1" applyBorder="1" applyAlignment="1" applyProtection="1">
      <alignment horizontal="right" vertical="top" wrapText="1"/>
    </xf>
    <xf numFmtId="0" fontId="2" fillId="32" borderId="29" xfId="186" applyNumberFormat="1" applyFont="1" applyFill="1" applyBorder="1" applyAlignment="1" applyProtection="1">
      <alignment horizontal="center" vertical="top"/>
    </xf>
    <xf numFmtId="164" fontId="2" fillId="32" borderId="29" xfId="192" applyNumberFormat="1" applyFont="1" applyFill="1" applyBorder="1" applyAlignment="1" applyProtection="1">
      <alignment vertical="top"/>
    </xf>
    <xf numFmtId="0" fontId="5" fillId="32" borderId="32" xfId="192" applyNumberFormat="1" applyFont="1" applyFill="1" applyBorder="1" applyAlignment="1" applyProtection="1">
      <alignment horizontal="center" vertical="top"/>
    </xf>
    <xf numFmtId="0" fontId="2" fillId="0" borderId="11" xfId="0" applyFont="1" applyBorder="1" applyAlignment="1" applyProtection="1">
      <alignment vertical="top" wrapText="1"/>
    </xf>
    <xf numFmtId="0" fontId="2" fillId="32" borderId="29" xfId="0" applyFont="1" applyFill="1" applyBorder="1" applyAlignment="1" applyProtection="1">
      <alignment vertical="top" wrapText="1"/>
    </xf>
    <xf numFmtId="0" fontId="2" fillId="32" borderId="29" xfId="192" applyNumberFormat="1" applyFont="1" applyFill="1" applyBorder="1" applyAlignment="1" applyProtection="1">
      <alignment horizontal="center" vertical="top"/>
    </xf>
    <xf numFmtId="0" fontId="2" fillId="32" borderId="0" xfId="0" applyFont="1" applyFill="1" applyBorder="1" applyAlignment="1" applyProtection="1">
      <alignment vertical="top" wrapText="1"/>
    </xf>
    <xf numFmtId="0" fontId="5" fillId="32" borderId="0" xfId="192" applyNumberFormat="1" applyFont="1" applyFill="1" applyBorder="1" applyAlignment="1" applyProtection="1">
      <alignment vertical="top"/>
    </xf>
    <xf numFmtId="0" fontId="2" fillId="32" borderId="0" xfId="186" applyNumberFormat="1" applyFont="1" applyFill="1" applyBorder="1" applyAlignment="1" applyProtection="1">
      <alignment horizontal="center" vertical="top"/>
    </xf>
    <xf numFmtId="0" fontId="0" fillId="0" borderId="11" xfId="0" applyFont="1" applyFill="1" applyBorder="1" applyAlignment="1" applyProtection="1">
      <alignment vertical="top" wrapText="1"/>
    </xf>
    <xf numFmtId="3" fontId="5" fillId="32" borderId="0" xfId="192" applyNumberFormat="1" applyFont="1" applyFill="1" applyBorder="1" applyAlignment="1" applyProtection="1">
      <alignment vertical="top"/>
    </xf>
    <xf numFmtId="3" fontId="2" fillId="32" borderId="11" xfId="192" applyNumberFormat="1" applyFont="1" applyFill="1" applyBorder="1" applyAlignment="1" applyProtection="1">
      <alignment horizontal="center" vertical="top"/>
    </xf>
    <xf numFmtId="3" fontId="5" fillId="32" borderId="11" xfId="192" applyNumberFormat="1" applyFont="1" applyFill="1" applyBorder="1" applyAlignment="1" applyProtection="1">
      <alignment vertical="top"/>
    </xf>
    <xf numFmtId="0" fontId="0" fillId="32" borderId="33" xfId="0" applyFill="1" applyBorder="1" applyAlignment="1" applyProtection="1">
      <alignment vertical="top"/>
    </xf>
    <xf numFmtId="164" fontId="5" fillId="32" borderId="11" xfId="192" applyNumberFormat="1" applyFont="1" applyFill="1" applyBorder="1" applyAlignment="1" applyProtection="1">
      <alignment horizontal="right" vertical="top"/>
    </xf>
    <xf numFmtId="0" fontId="5" fillId="32" borderId="11" xfId="0" applyFont="1" applyFill="1" applyBorder="1" applyAlignment="1" applyProtection="1">
      <alignment horizontal="center" vertical="top"/>
    </xf>
    <xf numFmtId="0" fontId="0" fillId="32" borderId="11" xfId="0" applyFill="1" applyBorder="1" applyAlignment="1" applyProtection="1">
      <alignment vertical="top"/>
    </xf>
    <xf numFmtId="0" fontId="0" fillId="32" borderId="0" xfId="0" applyFill="1" applyBorder="1" applyAlignment="1" applyProtection="1">
      <alignment horizontal="center" vertical="top"/>
    </xf>
    <xf numFmtId="44" fontId="2" fillId="32" borderId="0" xfId="192" applyFont="1" applyFill="1" applyBorder="1" applyAlignment="1" applyProtection="1">
      <alignment vertical="top"/>
    </xf>
    <xf numFmtId="0" fontId="0" fillId="32" borderId="11" xfId="0" applyFill="1" applyBorder="1" applyAlignment="1" applyProtection="1">
      <alignment vertical="top" wrapText="1"/>
    </xf>
    <xf numFmtId="0" fontId="0" fillId="32" borderId="11" xfId="0" applyFill="1" applyBorder="1" applyAlignment="1" applyProtection="1">
      <alignment horizontal="center" vertical="top"/>
    </xf>
    <xf numFmtId="0" fontId="0" fillId="32" borderId="11" xfId="0" applyFont="1" applyFill="1" applyBorder="1" applyAlignment="1" applyProtection="1">
      <alignment horizontal="center" vertical="top"/>
    </xf>
    <xf numFmtId="0" fontId="0" fillId="32" borderId="33" xfId="0" applyFill="1" applyBorder="1" applyAlignment="1" applyProtection="1">
      <alignment vertical="top" wrapText="1"/>
    </xf>
    <xf numFmtId="0" fontId="0" fillId="32" borderId="33" xfId="0" applyFill="1" applyBorder="1" applyAlignment="1" applyProtection="1">
      <alignment horizontal="center" vertical="top"/>
    </xf>
    <xf numFmtId="0" fontId="0" fillId="32" borderId="33" xfId="0" applyFont="1" applyFill="1" applyBorder="1" applyAlignment="1" applyProtection="1">
      <alignment horizontal="center" vertical="top"/>
    </xf>
    <xf numFmtId="0" fontId="0" fillId="32" borderId="27" xfId="0" applyFill="1" applyBorder="1" applyAlignment="1" applyProtection="1">
      <alignment vertical="top" wrapText="1"/>
    </xf>
    <xf numFmtId="0" fontId="0" fillId="32" borderId="28" xfId="0" applyFont="1" applyFill="1" applyBorder="1" applyAlignment="1" applyProtection="1">
      <alignment horizontal="center" vertical="top"/>
    </xf>
    <xf numFmtId="164" fontId="20" fillId="0" borderId="11" xfId="192" applyNumberFormat="1" applyFont="1" applyFill="1" applyBorder="1" applyAlignment="1" applyProtection="1">
      <alignment vertical="top"/>
    </xf>
    <xf numFmtId="164" fontId="6" fillId="0" borderId="11" xfId="192" applyNumberFormat="1" applyFont="1" applyFill="1" applyBorder="1" applyAlignment="1" applyProtection="1">
      <alignment vertical="top"/>
    </xf>
    <xf numFmtId="44" fontId="0" fillId="32" borderId="0" xfId="0" applyNumberFormat="1" applyFill="1" applyBorder="1" applyAlignment="1" applyProtection="1">
      <alignment vertical="top"/>
    </xf>
    <xf numFmtId="0" fontId="0" fillId="32" borderId="0" xfId="0" applyFont="1" applyFill="1" applyAlignment="1" applyProtection="1">
      <alignment vertical="top"/>
    </xf>
    <xf numFmtId="0" fontId="5" fillId="32" borderId="0" xfId="0" quotePrefix="1" applyFont="1" applyFill="1" applyAlignment="1" applyProtection="1">
      <alignment horizontal="right" vertical="top"/>
    </xf>
    <xf numFmtId="0" fontId="5" fillId="32" borderId="0" xfId="0" applyFont="1" applyFill="1" applyAlignment="1" applyProtection="1">
      <alignment horizontal="center" vertical="top"/>
    </xf>
    <xf numFmtId="0" fontId="0" fillId="32" borderId="0" xfId="0" quotePrefix="1" applyFill="1" applyAlignment="1" applyProtection="1">
      <alignment horizontal="right" vertical="top"/>
    </xf>
    <xf numFmtId="44" fontId="2" fillId="32" borderId="32" xfId="192" applyFont="1" applyFill="1" applyBorder="1" applyAlignment="1" applyProtection="1">
      <alignment vertical="top"/>
    </xf>
    <xf numFmtId="164" fontId="5" fillId="32" borderId="11" xfId="192" applyNumberFormat="1" applyFont="1" applyFill="1" applyBorder="1" applyAlignment="1" applyProtection="1">
      <alignment vertical="top"/>
    </xf>
    <xf numFmtId="0" fontId="0" fillId="0" borderId="0" xfId="192" applyNumberFormat="1" applyFont="1" applyFill="1" applyBorder="1" applyAlignment="1" applyProtection="1">
      <alignment horizontal="center" vertical="top" wrapText="1"/>
    </xf>
    <xf numFmtId="164" fontId="6" fillId="32" borderId="11" xfId="192" applyNumberFormat="1" applyFont="1" applyFill="1" applyBorder="1" applyAlignment="1" applyProtection="1">
      <alignment vertical="top"/>
    </xf>
    <xf numFmtId="0" fontId="5" fillId="32" borderId="0" xfId="30" quotePrefix="1" applyFont="1" applyFill="1" applyAlignment="1" applyProtection="1"/>
    <xf numFmtId="0" fontId="5" fillId="32" borderId="0" xfId="30" applyFont="1" applyFill="1" applyAlignment="1" applyProtection="1"/>
    <xf numFmtId="0" fontId="5" fillId="32" borderId="0" xfId="30" applyFont="1" applyFill="1" applyAlignment="1" applyProtection="1">
      <alignment wrapText="1"/>
    </xf>
    <xf numFmtId="0" fontId="2" fillId="32" borderId="0" xfId="30" applyFill="1" applyProtection="1"/>
    <xf numFmtId="0" fontId="62" fillId="32" borderId="0" xfId="186" applyFont="1" applyFill="1" applyProtection="1"/>
    <xf numFmtId="0" fontId="23" fillId="32" borderId="0" xfId="30" applyFont="1" applyFill="1" applyAlignment="1" applyProtection="1">
      <alignment horizontal="center"/>
    </xf>
    <xf numFmtId="0" fontId="2" fillId="0" borderId="0" xfId="30" applyProtection="1"/>
    <xf numFmtId="0" fontId="6" fillId="32" borderId="34" xfId="30" applyFont="1" applyFill="1" applyBorder="1" applyAlignment="1" applyProtection="1">
      <alignment horizontal="center"/>
    </xf>
    <xf numFmtId="0" fontId="6" fillId="32" borderId="25" xfId="30" applyFont="1" applyFill="1" applyBorder="1" applyAlignment="1" applyProtection="1">
      <alignment horizontal="center"/>
    </xf>
    <xf numFmtId="0" fontId="2" fillId="32" borderId="0" xfId="30" applyFont="1" applyFill="1" applyProtection="1"/>
    <xf numFmtId="0" fontId="5" fillId="32" borderId="0" xfId="30" quotePrefix="1" applyFont="1" applyFill="1" applyProtection="1"/>
    <xf numFmtId="4" fontId="25" fillId="32" borderId="0" xfId="30" applyNumberFormat="1" applyFont="1" applyFill="1" applyBorder="1" applyProtection="1"/>
    <xf numFmtId="0" fontId="5" fillId="32" borderId="0" xfId="30" applyFont="1" applyFill="1" applyProtection="1"/>
    <xf numFmtId="0" fontId="26" fillId="32" borderId="0" xfId="30" applyFont="1" applyFill="1" applyProtection="1"/>
    <xf numFmtId="0" fontId="29" fillId="32" borderId="0" xfId="30" applyFont="1" applyFill="1" applyProtection="1"/>
    <xf numFmtId="0" fontId="29" fillId="0" borderId="0" xfId="30" applyFont="1" applyProtection="1"/>
    <xf numFmtId="0" fontId="2" fillId="32" borderId="33" xfId="30" applyFont="1" applyFill="1" applyBorder="1" applyAlignment="1" applyProtection="1">
      <alignment horizontal="center"/>
    </xf>
    <xf numFmtId="0" fontId="2" fillId="32" borderId="33" xfId="30" applyFill="1" applyBorder="1" applyAlignment="1" applyProtection="1">
      <alignment horizontal="center"/>
    </xf>
    <xf numFmtId="0" fontId="2" fillId="32" borderId="11" xfId="30" applyFill="1" applyBorder="1" applyAlignment="1" applyProtection="1">
      <alignment horizontal="center"/>
    </xf>
    <xf numFmtId="0" fontId="2" fillId="32" borderId="28" xfId="30" quotePrefix="1" applyFill="1" applyBorder="1" applyAlignment="1" applyProtection="1">
      <alignment horizontal="center"/>
    </xf>
    <xf numFmtId="1" fontId="2" fillId="0" borderId="29" xfId="30" applyNumberFormat="1" applyBorder="1" applyAlignment="1" applyProtection="1">
      <alignment horizontal="center"/>
    </xf>
    <xf numFmtId="4" fontId="2" fillId="32" borderId="32" xfId="30" applyNumberFormat="1" applyFont="1" applyFill="1" applyBorder="1" applyProtection="1"/>
    <xf numFmtId="4" fontId="2" fillId="32" borderId="35" xfId="30" applyNumberFormat="1" applyFont="1" applyFill="1" applyBorder="1" applyProtection="1"/>
    <xf numFmtId="4" fontId="2" fillId="32" borderId="0" xfId="30" applyNumberFormat="1" applyFill="1" applyProtection="1"/>
    <xf numFmtId="4" fontId="63" fillId="32" borderId="11" xfId="30" applyNumberFormat="1" applyFont="1" applyFill="1" applyBorder="1" applyProtection="1"/>
    <xf numFmtId="1" fontId="2" fillId="0" borderId="11" xfId="30" applyNumberFormat="1" applyBorder="1" applyAlignment="1" applyProtection="1">
      <alignment horizontal="center"/>
    </xf>
    <xf numFmtId="4" fontId="2" fillId="32" borderId="0" xfId="30" applyNumberFormat="1" applyFont="1" applyFill="1" applyBorder="1" applyProtection="1"/>
    <xf numFmtId="4" fontId="2" fillId="32" borderId="36" xfId="30" applyNumberFormat="1" applyFont="1" applyFill="1" applyBorder="1" applyProtection="1"/>
    <xf numFmtId="0" fontId="28" fillId="0" borderId="26" xfId="30" applyFont="1" applyBorder="1" applyAlignment="1" applyProtection="1">
      <alignment horizontal="center"/>
    </xf>
    <xf numFmtId="4" fontId="64" fillId="32" borderId="37" xfId="30" applyNumberFormat="1" applyFont="1" applyFill="1" applyBorder="1" applyProtection="1"/>
    <xf numFmtId="4" fontId="64" fillId="32" borderId="28" xfId="30" applyNumberFormat="1" applyFont="1" applyFill="1" applyBorder="1" applyProtection="1"/>
    <xf numFmtId="4" fontId="29" fillId="32" borderId="0" xfId="30" applyNumberFormat="1" applyFont="1" applyFill="1" applyProtection="1"/>
    <xf numFmtId="4" fontId="65" fillId="32" borderId="11" xfId="30" applyNumberFormat="1" applyFont="1" applyFill="1" applyBorder="1" applyProtection="1"/>
    <xf numFmtId="4" fontId="66" fillId="32" borderId="0" xfId="30" applyNumberFormat="1" applyFont="1" applyFill="1" applyAlignment="1" applyProtection="1">
      <alignment horizontal="left"/>
    </xf>
    <xf numFmtId="4" fontId="66" fillId="32" borderId="0" xfId="30" applyNumberFormat="1" applyFont="1" applyFill="1" applyAlignment="1" applyProtection="1">
      <alignment horizontal="right"/>
    </xf>
    <xf numFmtId="0" fontId="5" fillId="0" borderId="0" xfId="30" applyFont="1" applyProtection="1"/>
    <xf numFmtId="0" fontId="2" fillId="0" borderId="26" xfId="30" applyBorder="1" applyAlignment="1" applyProtection="1">
      <alignment horizontal="center"/>
    </xf>
    <xf numFmtId="4" fontId="2" fillId="32" borderId="0" xfId="30" applyNumberFormat="1" applyFill="1" applyBorder="1" applyProtection="1"/>
    <xf numFmtId="4" fontId="2" fillId="32" borderId="35" xfId="30" applyNumberFormat="1" applyFill="1" applyBorder="1" applyProtection="1"/>
    <xf numFmtId="4" fontId="67" fillId="32" borderId="11" xfId="30" applyNumberFormat="1" applyFont="1" applyFill="1" applyBorder="1" applyProtection="1"/>
    <xf numFmtId="4" fontId="2" fillId="32" borderId="36" xfId="30" applyNumberFormat="1" applyFill="1" applyBorder="1" applyProtection="1"/>
    <xf numFmtId="4" fontId="65" fillId="0" borderId="11" xfId="30" applyNumberFormat="1" applyFont="1" applyBorder="1" applyProtection="1"/>
    <xf numFmtId="0" fontId="2" fillId="32" borderId="11" xfId="30" applyFont="1" applyFill="1" applyBorder="1" applyAlignment="1" applyProtection="1">
      <alignment horizontal="center"/>
    </xf>
    <xf numFmtId="4" fontId="2" fillId="32" borderId="32" xfId="30" applyNumberFormat="1" applyFill="1" applyBorder="1" applyProtection="1"/>
    <xf numFmtId="4" fontId="2" fillId="32" borderId="11" xfId="30" applyNumberFormat="1" applyFill="1" applyBorder="1" applyProtection="1"/>
    <xf numFmtId="4" fontId="63" fillId="32" borderId="0" xfId="30" applyNumberFormat="1" applyFont="1" applyFill="1" applyBorder="1" applyProtection="1"/>
    <xf numFmtId="4" fontId="63" fillId="32" borderId="36" xfId="30" applyNumberFormat="1" applyFont="1" applyFill="1" applyBorder="1" applyProtection="1"/>
    <xf numFmtId="0" fontId="61" fillId="32" borderId="0" xfId="46" applyFill="1" applyBorder="1" applyAlignment="1" applyProtection="1"/>
    <xf numFmtId="0" fontId="2" fillId="32" borderId="11" xfId="30" applyFont="1" applyFill="1" applyBorder="1" applyAlignment="1" applyProtection="1">
      <alignment horizontal="center" vertical="center"/>
    </xf>
    <xf numFmtId="0" fontId="22" fillId="32" borderId="0" xfId="186" applyFont="1" applyFill="1" applyProtection="1"/>
    <xf numFmtId="0" fontId="15" fillId="32" borderId="0" xfId="30" applyFont="1" applyFill="1" applyAlignment="1" applyProtection="1">
      <alignment horizontal="center"/>
    </xf>
    <xf numFmtId="0" fontId="30" fillId="32" borderId="0" xfId="174" applyFont="1" applyFill="1" applyProtection="1"/>
    <xf numFmtId="0" fontId="31" fillId="32" borderId="0" xfId="174" applyFont="1" applyFill="1" applyProtection="1"/>
    <xf numFmtId="0" fontId="2" fillId="0" borderId="0" xfId="174" applyFill="1" applyBorder="1" applyProtection="1"/>
    <xf numFmtId="0" fontId="2" fillId="0" borderId="0" xfId="174" applyFill="1" applyProtection="1"/>
    <xf numFmtId="0" fontId="2" fillId="0" borderId="0" xfId="174" applyFill="1" applyAlignment="1" applyProtection="1">
      <alignment horizontal="right"/>
    </xf>
    <xf numFmtId="0" fontId="6" fillId="0" borderId="0" xfId="174" applyFont="1" applyFill="1" applyAlignment="1" applyProtection="1">
      <alignment horizontal="right" vertical="center"/>
    </xf>
    <xf numFmtId="0" fontId="6" fillId="0" borderId="34" xfId="174" applyFont="1" applyFill="1" applyBorder="1" applyAlignment="1" applyProtection="1">
      <alignment horizontal="center" vertical="center" wrapText="1"/>
    </xf>
    <xf numFmtId="0" fontId="6" fillId="0" borderId="38" xfId="174" applyFont="1" applyFill="1" applyBorder="1" applyAlignment="1" applyProtection="1">
      <alignment horizontal="center" vertical="center" wrapText="1"/>
    </xf>
    <xf numFmtId="0" fontId="6" fillId="0" borderId="39" xfId="174" applyFont="1" applyFill="1" applyBorder="1" applyAlignment="1" applyProtection="1">
      <alignment horizontal="center" vertical="center" wrapText="1"/>
    </xf>
    <xf numFmtId="0" fontId="3" fillId="0" borderId="0" xfId="174" applyFont="1" applyFill="1" applyBorder="1" applyAlignment="1" applyProtection="1"/>
    <xf numFmtId="0" fontId="3" fillId="0" borderId="0" xfId="174" applyFont="1" applyFill="1" applyProtection="1"/>
    <xf numFmtId="0" fontId="54" fillId="0" borderId="14" xfId="174" applyFont="1" applyFill="1" applyBorder="1" applyProtection="1"/>
    <xf numFmtId="0" fontId="22" fillId="0" borderId="0" xfId="174" applyFont="1" applyFill="1" applyBorder="1" applyProtection="1"/>
    <xf numFmtId="0" fontId="22" fillId="0" borderId="40" xfId="174" applyFont="1" applyFill="1" applyBorder="1" applyAlignment="1" applyProtection="1">
      <alignment horizontal="right"/>
    </xf>
    <xf numFmtId="0" fontId="22" fillId="0" borderId="0" xfId="174" applyFont="1" applyFill="1" applyAlignment="1" applyProtection="1">
      <alignment horizontal="right" vertical="center"/>
    </xf>
    <xf numFmtId="164" fontId="38" fillId="32" borderId="34" xfId="192" applyNumberFormat="1" applyFont="1" applyFill="1" applyBorder="1" applyAlignment="1" applyProtection="1">
      <alignment horizontal="left"/>
    </xf>
    <xf numFmtId="164" fontId="38" fillId="32" borderId="38" xfId="192" applyNumberFormat="1" applyFont="1" applyFill="1" applyBorder="1" applyAlignment="1" applyProtection="1">
      <alignment horizontal="left"/>
    </xf>
    <xf numFmtId="164" fontId="38" fillId="32" borderId="39" xfId="192" applyNumberFormat="1" applyFont="1" applyFill="1" applyBorder="1" applyAlignment="1" applyProtection="1">
      <alignment horizontal="left"/>
    </xf>
    <xf numFmtId="0" fontId="22" fillId="0" borderId="0" xfId="174" applyFont="1" applyFill="1" applyProtection="1"/>
    <xf numFmtId="0" fontId="4" fillId="0" borderId="41" xfId="174" applyFont="1" applyFill="1" applyBorder="1" applyProtection="1"/>
    <xf numFmtId="0" fontId="4" fillId="0" borderId="42" xfId="174" applyFont="1" applyFill="1" applyBorder="1" applyProtection="1"/>
    <xf numFmtId="0" fontId="4" fillId="0" borderId="43" xfId="174" applyFont="1" applyFill="1" applyBorder="1" applyAlignment="1" applyProtection="1">
      <alignment horizontal="right"/>
    </xf>
    <xf numFmtId="0" fontId="2" fillId="0" borderId="0" xfId="174" applyFont="1" applyFill="1" applyAlignment="1" applyProtection="1"/>
    <xf numFmtId="0" fontId="2" fillId="0" borderId="0" xfId="174" applyFont="1" applyFill="1" applyProtection="1"/>
    <xf numFmtId="0" fontId="2" fillId="0" borderId="41" xfId="174" applyFont="1" applyFill="1" applyBorder="1" applyProtection="1"/>
    <xf numFmtId="0" fontId="2" fillId="0" borderId="42" xfId="174" applyFont="1" applyFill="1" applyBorder="1" applyProtection="1"/>
    <xf numFmtId="0" fontId="2" fillId="0" borderId="43" xfId="174" applyFont="1" applyFill="1" applyBorder="1" applyAlignment="1" applyProtection="1">
      <alignment horizontal="right"/>
    </xf>
    <xf numFmtId="3" fontId="5" fillId="32" borderId="43" xfId="192" applyNumberFormat="1" applyFont="1" applyFill="1" applyBorder="1" applyAlignment="1" applyProtection="1">
      <alignment horizontal="left" indent="2"/>
    </xf>
    <xf numFmtId="0" fontId="2" fillId="32" borderId="0" xfId="174" applyFont="1" applyFill="1" applyProtection="1"/>
    <xf numFmtId="167" fontId="2" fillId="0" borderId="42" xfId="174" applyNumberFormat="1" applyFont="1" applyFill="1" applyBorder="1" applyAlignment="1" applyProtection="1">
      <alignment horizontal="right"/>
    </xf>
    <xf numFmtId="0" fontId="2" fillId="32" borderId="43" xfId="174" applyFont="1" applyFill="1" applyBorder="1" applyAlignment="1" applyProtection="1">
      <alignment horizontal="right"/>
    </xf>
    <xf numFmtId="165" fontId="2" fillId="0" borderId="0" xfId="174" applyNumberFormat="1" applyFont="1" applyFill="1" applyAlignment="1" applyProtection="1"/>
    <xf numFmtId="167" fontId="2" fillId="0" borderId="43" xfId="174" applyNumberFormat="1" applyFont="1" applyFill="1" applyBorder="1" applyAlignment="1" applyProtection="1">
      <alignment horizontal="right"/>
    </xf>
    <xf numFmtId="0" fontId="2" fillId="0" borderId="42" xfId="174" applyFont="1" applyFill="1" applyBorder="1" applyAlignment="1" applyProtection="1">
      <alignment horizontal="left"/>
    </xf>
    <xf numFmtId="4" fontId="2" fillId="0" borderId="0" xfId="174" applyNumberFormat="1" applyFont="1" applyFill="1" applyAlignment="1" applyProtection="1"/>
    <xf numFmtId="0" fontId="56" fillId="0" borderId="41" xfId="174" applyFont="1" applyFill="1" applyBorder="1" applyProtection="1"/>
    <xf numFmtId="0" fontId="56" fillId="0" borderId="42" xfId="174" applyFont="1" applyFill="1" applyBorder="1" applyProtection="1"/>
    <xf numFmtId="0" fontId="56" fillId="0" borderId="0" xfId="174" applyFont="1" applyFill="1" applyProtection="1"/>
    <xf numFmtId="0" fontId="2" fillId="0" borderId="43" xfId="174" applyFont="1" applyFill="1" applyBorder="1" applyAlignment="1" applyProtection="1">
      <alignment horizontal="left" indent="2"/>
    </xf>
    <xf numFmtId="0" fontId="4" fillId="32" borderId="43" xfId="174" applyFont="1" applyFill="1" applyBorder="1" applyAlignment="1" applyProtection="1">
      <alignment horizontal="right"/>
    </xf>
    <xf numFmtId="0" fontId="2" fillId="0" borderId="0" xfId="174" applyFont="1" applyFill="1" applyAlignment="1" applyProtection="1">
      <alignment horizontal="center"/>
    </xf>
    <xf numFmtId="0" fontId="2" fillId="0" borderId="42" xfId="174" applyFont="1" applyFill="1" applyBorder="1" applyAlignment="1" applyProtection="1">
      <alignment horizontal="center"/>
    </xf>
    <xf numFmtId="3" fontId="2" fillId="0" borderId="0" xfId="174" applyNumberFormat="1" applyFont="1" applyFill="1" applyAlignment="1" applyProtection="1"/>
    <xf numFmtId="0" fontId="2" fillId="0" borderId="0" xfId="174" applyFont="1" applyFill="1" applyAlignment="1" applyProtection="1">
      <alignment vertical="center"/>
    </xf>
    <xf numFmtId="0" fontId="2" fillId="0" borderId="0" xfId="174" applyFont="1" applyFill="1" applyAlignment="1" applyProtection="1">
      <alignment vertical="top"/>
    </xf>
    <xf numFmtId="0" fontId="2" fillId="0" borderId="44" xfId="174" applyFont="1" applyFill="1" applyBorder="1" applyAlignment="1" applyProtection="1">
      <alignment vertical="top"/>
    </xf>
    <xf numFmtId="0" fontId="2" fillId="0" borderId="45" xfId="174" applyFont="1" applyFill="1" applyBorder="1" applyAlignment="1" applyProtection="1">
      <alignment vertical="center"/>
    </xf>
    <xf numFmtId="0" fontId="2" fillId="32" borderId="44" xfId="174" applyFont="1" applyFill="1" applyBorder="1" applyAlignment="1" applyProtection="1">
      <alignment vertical="top"/>
    </xf>
    <xf numFmtId="0" fontId="4" fillId="32" borderId="45" xfId="174" applyFont="1" applyFill="1" applyBorder="1" applyAlignment="1" applyProtection="1">
      <alignment vertical="top"/>
    </xf>
    <xf numFmtId="0" fontId="2" fillId="32" borderId="45" xfId="174" applyFont="1" applyFill="1" applyBorder="1" applyAlignment="1" applyProtection="1">
      <alignment vertical="top" wrapText="1"/>
    </xf>
    <xf numFmtId="3" fontId="5" fillId="32" borderId="46" xfId="192" applyNumberFormat="1" applyFont="1" applyFill="1" applyBorder="1" applyAlignment="1" applyProtection="1">
      <alignment horizontal="left" vertical="top" indent="2"/>
    </xf>
    <xf numFmtId="0" fontId="2" fillId="32" borderId="0" xfId="174" applyFont="1" applyFill="1" applyAlignment="1" applyProtection="1">
      <alignment vertical="top"/>
    </xf>
    <xf numFmtId="3" fontId="5" fillId="32" borderId="46" xfId="192" applyNumberFormat="1" applyFont="1" applyFill="1" applyBorder="1" applyAlignment="1" applyProtection="1">
      <alignment horizontal="left" indent="2"/>
    </xf>
    <xf numFmtId="0" fontId="54" fillId="0" borderId="34" xfId="174" applyFont="1" applyFill="1" applyBorder="1" applyProtection="1"/>
    <xf numFmtId="0" fontId="6" fillId="0" borderId="47" xfId="174" applyFont="1" applyFill="1" applyBorder="1" applyProtection="1"/>
    <xf numFmtId="0" fontId="22" fillId="0" borderId="47" xfId="174" applyFont="1" applyFill="1" applyBorder="1" applyProtection="1"/>
    <xf numFmtId="0" fontId="22" fillId="0" borderId="39" xfId="174" applyFont="1" applyFill="1" applyBorder="1" applyAlignment="1" applyProtection="1">
      <alignment horizontal="right"/>
    </xf>
    <xf numFmtId="0" fontId="22" fillId="0" borderId="0" xfId="174" applyFont="1" applyFill="1" applyAlignment="1" applyProtection="1"/>
    <xf numFmtId="0" fontId="31" fillId="0" borderId="0" xfId="174" applyFont="1" applyFill="1" applyProtection="1"/>
    <xf numFmtId="0" fontId="31" fillId="0" borderId="0" xfId="174" applyFont="1" applyFill="1" applyAlignment="1" applyProtection="1">
      <alignment horizontal="right"/>
    </xf>
    <xf numFmtId="0" fontId="31" fillId="0" borderId="0" xfId="174" applyFont="1" applyFill="1" applyAlignment="1" applyProtection="1"/>
    <xf numFmtId="0" fontId="22" fillId="0" borderId="0" xfId="174" applyFont="1" applyFill="1" applyAlignment="1" applyProtection="1">
      <alignment horizontal="left"/>
    </xf>
    <xf numFmtId="0" fontId="22" fillId="0" borderId="0" xfId="174" applyFont="1" applyFill="1" applyAlignment="1" applyProtection="1">
      <alignment horizontal="right"/>
    </xf>
    <xf numFmtId="0" fontId="5" fillId="0" borderId="0" xfId="174" applyFont="1" applyFill="1" applyProtection="1"/>
    <xf numFmtId="164" fontId="5" fillId="0" borderId="0" xfId="174" applyNumberFormat="1" applyFont="1" applyFill="1" applyAlignment="1" applyProtection="1"/>
    <xf numFmtId="0" fontId="30" fillId="32" borderId="0" xfId="176" applyFont="1" applyFill="1" applyProtection="1"/>
    <xf numFmtId="0" fontId="22" fillId="32" borderId="0" xfId="187" applyFont="1" applyFill="1" applyProtection="1"/>
    <xf numFmtId="0" fontId="31" fillId="32" borderId="0" xfId="176" applyFont="1" applyFill="1" applyAlignment="1" applyProtection="1">
      <alignment horizontal="right"/>
    </xf>
    <xf numFmtId="0" fontId="31" fillId="32" borderId="0" xfId="176" applyFont="1" applyFill="1" applyProtection="1"/>
    <xf numFmtId="0" fontId="21" fillId="32" borderId="0" xfId="184" applyFont="1" applyFill="1" applyProtection="1"/>
    <xf numFmtId="0" fontId="2" fillId="32" borderId="0" xfId="184" applyFont="1" applyFill="1" applyProtection="1"/>
    <xf numFmtId="0" fontId="2" fillId="32" borderId="0" xfId="184" applyFont="1" applyFill="1" applyAlignment="1" applyProtection="1">
      <alignment horizontal="right"/>
    </xf>
    <xf numFmtId="0" fontId="2" fillId="32" borderId="0" xfId="184" applyFill="1" applyProtection="1"/>
    <xf numFmtId="0" fontId="3" fillId="32" borderId="48" xfId="184" applyFont="1" applyFill="1" applyBorder="1" applyProtection="1"/>
    <xf numFmtId="0" fontId="3" fillId="32" borderId="49" xfId="184" applyFont="1" applyFill="1" applyBorder="1" applyProtection="1"/>
    <xf numFmtId="0" fontId="3" fillId="32" borderId="50" xfId="184" applyFont="1" applyFill="1" applyBorder="1" applyAlignment="1" applyProtection="1">
      <alignment horizontal="right"/>
    </xf>
    <xf numFmtId="0" fontId="3" fillId="32" borderId="0" xfId="184" applyFont="1" applyFill="1" applyProtection="1"/>
    <xf numFmtId="0" fontId="22" fillId="32" borderId="14" xfId="184" applyFont="1" applyFill="1" applyBorder="1" applyProtection="1"/>
    <xf numFmtId="0" fontId="22" fillId="32" borderId="0" xfId="184" applyFont="1" applyFill="1" applyBorder="1" applyProtection="1"/>
    <xf numFmtId="0" fontId="22" fillId="32" borderId="40" xfId="184" applyFont="1" applyFill="1" applyBorder="1" applyAlignment="1" applyProtection="1">
      <alignment horizontal="right"/>
    </xf>
    <xf numFmtId="0" fontId="22" fillId="32" borderId="0" xfId="184" applyFont="1" applyFill="1" applyProtection="1"/>
    <xf numFmtId="0" fontId="22" fillId="32" borderId="0" xfId="184" applyFont="1" applyFill="1" applyAlignment="1" applyProtection="1">
      <alignment vertical="center"/>
    </xf>
    <xf numFmtId="0" fontId="22" fillId="32" borderId="51" xfId="184" applyFont="1" applyFill="1" applyBorder="1" applyProtection="1"/>
    <xf numFmtId="0" fontId="22" fillId="32" borderId="15" xfId="184" applyFont="1" applyFill="1" applyBorder="1" applyProtection="1"/>
    <xf numFmtId="0" fontId="22" fillId="32" borderId="52" xfId="184" applyFont="1" applyFill="1" applyBorder="1" applyAlignment="1" applyProtection="1">
      <alignment horizontal="right"/>
    </xf>
    <xf numFmtId="0" fontId="4" fillId="32" borderId="53" xfId="184" applyFont="1" applyFill="1" applyBorder="1" applyProtection="1"/>
    <xf numFmtId="0" fontId="6" fillId="32" borderId="54" xfId="184" applyFont="1" applyFill="1" applyBorder="1" applyProtection="1"/>
    <xf numFmtId="0" fontId="2" fillId="32" borderId="55" xfId="184" applyFont="1" applyFill="1" applyBorder="1" applyProtection="1"/>
    <xf numFmtId="0" fontId="2" fillId="32" borderId="56" xfId="184" applyFont="1" applyFill="1" applyBorder="1" applyAlignment="1" applyProtection="1">
      <alignment horizontal="right"/>
    </xf>
    <xf numFmtId="0" fontId="2" fillId="32" borderId="0" xfId="184" applyFont="1" applyFill="1" applyAlignment="1" applyProtection="1"/>
    <xf numFmtId="0" fontId="6" fillId="32" borderId="53" xfId="184" applyFont="1" applyFill="1" applyBorder="1" applyProtection="1"/>
    <xf numFmtId="0" fontId="6" fillId="32" borderId="42" xfId="184" applyFont="1" applyFill="1" applyBorder="1" applyProtection="1"/>
    <xf numFmtId="0" fontId="5" fillId="32" borderId="56" xfId="184" applyFont="1" applyFill="1" applyBorder="1" applyAlignment="1" applyProtection="1">
      <alignment horizontal="right"/>
    </xf>
    <xf numFmtId="0" fontId="2" fillId="32" borderId="0" xfId="184" applyFont="1" applyFill="1" applyBorder="1" applyProtection="1"/>
    <xf numFmtId="0" fontId="6" fillId="32" borderId="41" xfId="184" applyFont="1" applyFill="1" applyBorder="1" applyProtection="1"/>
    <xf numFmtId="0" fontId="2" fillId="32" borderId="42" xfId="184" applyFont="1" applyFill="1" applyBorder="1" applyProtection="1"/>
    <xf numFmtId="0" fontId="6" fillId="32" borderId="41" xfId="184" applyFont="1" applyFill="1" applyBorder="1" applyAlignment="1" applyProtection="1">
      <alignment vertical="center"/>
    </xf>
    <xf numFmtId="0" fontId="2" fillId="32" borderId="0" xfId="184" applyFont="1" applyFill="1" applyAlignment="1" applyProtection="1">
      <alignment horizontal="center"/>
    </xf>
    <xf numFmtId="0" fontId="2" fillId="32" borderId="41" xfId="184" applyFont="1" applyFill="1" applyBorder="1" applyProtection="1"/>
    <xf numFmtId="0" fontId="2" fillId="0" borderId="42" xfId="171" applyFont="1" applyFill="1" applyBorder="1" applyAlignment="1" applyProtection="1">
      <alignment horizontal="left"/>
    </xf>
    <xf numFmtId="3" fontId="5" fillId="32" borderId="43" xfId="192" applyNumberFormat="1" applyFont="1" applyFill="1" applyBorder="1" applyAlignment="1" applyProtection="1">
      <alignment horizontal="right"/>
    </xf>
    <xf numFmtId="0" fontId="2" fillId="32" borderId="43" xfId="184" applyFont="1" applyFill="1" applyBorder="1" applyAlignment="1" applyProtection="1">
      <alignment horizontal="right"/>
    </xf>
    <xf numFmtId="4" fontId="2" fillId="32" borderId="0" xfId="184" applyNumberFormat="1" applyFont="1" applyFill="1" applyAlignment="1" applyProtection="1"/>
    <xf numFmtId="0" fontId="5" fillId="32" borderId="56" xfId="184" applyFont="1" applyFill="1" applyBorder="1" applyAlignment="1" applyProtection="1">
      <alignment horizontal="right" vertical="center"/>
    </xf>
    <xf numFmtId="0" fontId="2" fillId="32" borderId="0" xfId="184" applyFont="1" applyFill="1" applyAlignment="1" applyProtection="1">
      <alignment vertical="center"/>
    </xf>
    <xf numFmtId="0" fontId="22" fillId="32" borderId="57" xfId="184" applyFont="1" applyFill="1" applyBorder="1" applyProtection="1"/>
    <xf numFmtId="0" fontId="22" fillId="32" borderId="58" xfId="184" applyFont="1" applyFill="1" applyBorder="1" applyProtection="1"/>
    <xf numFmtId="0" fontId="22" fillId="32" borderId="59" xfId="184" applyFont="1" applyFill="1" applyBorder="1" applyAlignment="1" applyProtection="1">
      <alignment horizontal="right"/>
    </xf>
    <xf numFmtId="0" fontId="22" fillId="32" borderId="0" xfId="184" applyFont="1" applyFill="1" applyAlignment="1" applyProtection="1"/>
    <xf numFmtId="0" fontId="31" fillId="32" borderId="0" xfId="184" applyFont="1" applyFill="1" applyProtection="1"/>
    <xf numFmtId="0" fontId="22" fillId="32" borderId="0" xfId="184" applyFont="1" applyFill="1" applyAlignment="1" applyProtection="1">
      <alignment horizontal="left"/>
    </xf>
    <xf numFmtId="0" fontId="31" fillId="32" borderId="0" xfId="184" applyFont="1" applyFill="1" applyAlignment="1" applyProtection="1">
      <alignment horizontal="right"/>
    </xf>
    <xf numFmtId="0" fontId="31" fillId="32" borderId="0" xfId="184" applyFont="1" applyFill="1" applyAlignment="1" applyProtection="1"/>
    <xf numFmtId="0" fontId="2" fillId="32" borderId="0" xfId="184" applyFill="1" applyAlignment="1" applyProtection="1">
      <alignment horizontal="right"/>
    </xf>
    <xf numFmtId="0" fontId="21" fillId="32" borderId="14" xfId="186" applyFont="1" applyFill="1" applyBorder="1" applyAlignment="1" applyProtection="1"/>
    <xf numFmtId="0" fontId="21" fillId="32" borderId="0" xfId="186" applyFont="1" applyFill="1" applyBorder="1" applyAlignment="1" applyProtection="1"/>
    <xf numFmtId="0" fontId="2" fillId="32" borderId="0" xfId="171" applyFill="1" applyProtection="1"/>
    <xf numFmtId="0" fontId="3" fillId="32" borderId="14" xfId="171" applyFont="1" applyFill="1" applyBorder="1" applyAlignment="1" applyProtection="1">
      <alignment horizontal="center" vertical="center"/>
    </xf>
    <xf numFmtId="0" fontId="3" fillId="32" borderId="60" xfId="171" applyFont="1" applyFill="1" applyBorder="1" applyAlignment="1" applyProtection="1">
      <alignment horizontal="center" vertical="center"/>
    </xf>
    <xf numFmtId="0" fontId="3" fillId="32" borderId="38" xfId="171" applyFont="1" applyFill="1" applyBorder="1" applyAlignment="1" applyProtection="1">
      <alignment horizontal="center" vertical="center"/>
    </xf>
    <xf numFmtId="0" fontId="6" fillId="32" borderId="52" xfId="184" applyFont="1" applyFill="1" applyBorder="1" applyAlignment="1" applyProtection="1">
      <alignment vertical="center" wrapText="1"/>
    </xf>
    <xf numFmtId="0" fontId="6" fillId="32" borderId="53" xfId="171" applyFont="1" applyFill="1" applyBorder="1" applyAlignment="1" applyProtection="1">
      <alignment vertical="center"/>
    </xf>
    <xf numFmtId="0" fontId="2" fillId="32" borderId="54" xfId="171" applyFont="1" applyFill="1" applyBorder="1" applyAlignment="1" applyProtection="1">
      <alignment vertical="center"/>
    </xf>
    <xf numFmtId="0" fontId="2" fillId="32" borderId="56" xfId="171" applyFont="1" applyFill="1" applyBorder="1" applyAlignment="1" applyProtection="1">
      <alignment vertical="center"/>
    </xf>
    <xf numFmtId="0" fontId="2" fillId="32" borderId="14" xfId="171" applyFont="1" applyFill="1" applyBorder="1" applyAlignment="1" applyProtection="1">
      <alignment vertical="center"/>
    </xf>
    <xf numFmtId="0" fontId="2" fillId="32" borderId="53" xfId="171" applyFont="1" applyFill="1" applyBorder="1" applyAlignment="1" applyProtection="1">
      <alignment vertical="center"/>
    </xf>
    <xf numFmtId="0" fontId="6" fillId="32" borderId="53" xfId="171" applyFont="1" applyFill="1" applyBorder="1" applyAlignment="1" applyProtection="1">
      <alignment horizontal="right" vertical="center"/>
    </xf>
    <xf numFmtId="0" fontId="6" fillId="32" borderId="54" xfId="171" applyFont="1" applyFill="1" applyBorder="1" applyAlignment="1" applyProtection="1">
      <alignment vertical="center"/>
    </xf>
    <xf numFmtId="0" fontId="6" fillId="32" borderId="56" xfId="171" applyFont="1" applyFill="1" applyBorder="1" applyAlignment="1" applyProtection="1">
      <alignment vertical="center"/>
    </xf>
    <xf numFmtId="0" fontId="6" fillId="32" borderId="14" xfId="171" applyFont="1" applyFill="1" applyBorder="1" applyAlignment="1" applyProtection="1">
      <alignment vertical="center"/>
    </xf>
    <xf numFmtId="0" fontId="2" fillId="32" borderId="54" xfId="171" applyFont="1" applyFill="1" applyBorder="1" applyAlignment="1" applyProtection="1">
      <alignment horizontal="right" vertical="center"/>
    </xf>
    <xf numFmtId="3" fontId="5" fillId="32" borderId="56" xfId="192" applyNumberFormat="1" applyFont="1" applyFill="1" applyBorder="1" applyAlignment="1" applyProtection="1">
      <alignment horizontal="right" vertical="center"/>
    </xf>
    <xf numFmtId="3" fontId="5" fillId="32" borderId="14" xfId="192" applyNumberFormat="1" applyFont="1" applyFill="1" applyBorder="1" applyAlignment="1" applyProtection="1">
      <alignment horizontal="right" vertical="center"/>
    </xf>
    <xf numFmtId="0" fontId="2" fillId="32" borderId="56" xfId="171" applyFont="1" applyFill="1" applyBorder="1" applyAlignment="1" applyProtection="1">
      <alignment horizontal="right" vertical="center"/>
    </xf>
    <xf numFmtId="0" fontId="2" fillId="32" borderId="14" xfId="171" applyFont="1" applyFill="1" applyBorder="1" applyAlignment="1" applyProtection="1">
      <alignment horizontal="right" vertical="center"/>
    </xf>
    <xf numFmtId="0" fontId="6" fillId="32" borderId="54" xfId="171" applyFont="1" applyFill="1" applyBorder="1" applyAlignment="1" applyProtection="1">
      <alignment vertical="center" wrapText="1"/>
    </xf>
    <xf numFmtId="0" fontId="6" fillId="32" borderId="44" xfId="171" applyFont="1" applyFill="1" applyBorder="1" applyAlignment="1" applyProtection="1">
      <alignment horizontal="right" vertical="center"/>
    </xf>
    <xf numFmtId="0" fontId="6" fillId="32" borderId="0" xfId="171" applyFont="1" applyFill="1" applyBorder="1" applyAlignment="1" applyProtection="1">
      <alignment vertical="center" wrapText="1"/>
    </xf>
    <xf numFmtId="3" fontId="5" fillId="32" borderId="40" xfId="192" applyNumberFormat="1" applyFont="1" applyFill="1" applyBorder="1" applyAlignment="1" applyProtection="1">
      <alignment horizontal="right" vertical="center"/>
    </xf>
    <xf numFmtId="0" fontId="6" fillId="32" borderId="34" xfId="171" applyFont="1" applyFill="1" applyBorder="1" applyAlignment="1" applyProtection="1">
      <alignment horizontal="right" vertical="center"/>
    </xf>
    <xf numFmtId="0" fontId="6" fillId="32" borderId="47" xfId="171" applyFont="1" applyFill="1" applyBorder="1" applyAlignment="1" applyProtection="1">
      <alignment vertical="center" wrapText="1"/>
    </xf>
    <xf numFmtId="3" fontId="5" fillId="32" borderId="39" xfId="192" applyNumberFormat="1" applyFont="1" applyFill="1" applyBorder="1" applyAlignment="1" applyProtection="1">
      <alignment horizontal="right" vertical="center"/>
    </xf>
    <xf numFmtId="0" fontId="2" fillId="32" borderId="0" xfId="171" applyFont="1" applyFill="1" applyAlignment="1" applyProtection="1">
      <alignment vertical="center"/>
    </xf>
    <xf numFmtId="0" fontId="5" fillId="32" borderId="0" xfId="171" applyFont="1" applyFill="1" applyProtection="1"/>
    <xf numFmtId="164" fontId="5" fillId="32" borderId="0" xfId="171" applyNumberFormat="1" applyFont="1" applyFill="1" applyProtection="1"/>
    <xf numFmtId="0" fontId="3" fillId="32" borderId="14" xfId="0" applyFont="1" applyFill="1" applyBorder="1" applyAlignment="1" applyProtection="1"/>
    <xf numFmtId="0" fontId="5" fillId="32" borderId="0" xfId="0" applyFont="1" applyFill="1" applyProtection="1"/>
    <xf numFmtId="0" fontId="38" fillId="32" borderId="0" xfId="30" quotePrefix="1" applyFont="1" applyFill="1" applyProtection="1"/>
    <xf numFmtId="0" fontId="38" fillId="32" borderId="0" xfId="35" quotePrefix="1" applyFont="1" applyFill="1" applyProtection="1"/>
    <xf numFmtId="0" fontId="6" fillId="32" borderId="32" xfId="0" applyFont="1" applyFill="1" applyBorder="1" applyAlignment="1" applyProtection="1">
      <alignment horizontal="left" vertical="top"/>
    </xf>
    <xf numFmtId="0" fontId="0" fillId="32" borderId="32" xfId="0" applyFill="1" applyBorder="1" applyAlignment="1" applyProtection="1">
      <alignment vertical="top"/>
    </xf>
    <xf numFmtId="0" fontId="6" fillId="32" borderId="32" xfId="0" applyFont="1" applyFill="1" applyBorder="1" applyAlignment="1" applyProtection="1">
      <alignment horizontal="center" vertical="top" wrapText="1"/>
    </xf>
    <xf numFmtId="0" fontId="6" fillId="32" borderId="0" xfId="0" applyFont="1" applyFill="1" applyBorder="1" applyAlignment="1" applyProtection="1">
      <alignment horizontal="center" vertical="top" wrapText="1"/>
    </xf>
    <xf numFmtId="0" fontId="0" fillId="32" borderId="11" xfId="0" applyFill="1" applyBorder="1" applyProtection="1"/>
    <xf numFmtId="0" fontId="20" fillId="32" borderId="11" xfId="0" applyFont="1" applyFill="1" applyBorder="1" applyProtection="1"/>
    <xf numFmtId="0" fontId="20" fillId="32" borderId="0" xfId="0" applyFont="1" applyFill="1" applyBorder="1" applyAlignment="1" applyProtection="1">
      <alignment horizontal="left"/>
    </xf>
    <xf numFmtId="0" fontId="20" fillId="32" borderId="0" xfId="0" applyFont="1" applyFill="1" applyBorder="1" applyProtection="1"/>
    <xf numFmtId="164" fontId="20" fillId="32" borderId="0" xfId="0" applyNumberFormat="1" applyFont="1" applyFill="1" applyBorder="1" applyProtection="1"/>
    <xf numFmtId="0" fontId="2" fillId="32" borderId="33" xfId="0" applyFont="1" applyFill="1" applyBorder="1" applyAlignment="1" applyProtection="1">
      <alignment horizontal="center" vertical="top"/>
    </xf>
    <xf numFmtId="0" fontId="68" fillId="32" borderId="0" xfId="0" applyFont="1" applyFill="1" applyProtection="1"/>
    <xf numFmtId="0" fontId="0" fillId="32" borderId="33" xfId="0" applyFill="1" applyBorder="1" applyProtection="1"/>
    <xf numFmtId="0" fontId="5" fillId="32" borderId="11" xfId="0" applyFont="1" applyFill="1" applyBorder="1" applyAlignment="1" applyProtection="1">
      <alignment horizontal="left" vertical="center" wrapText="1" indent="3"/>
    </xf>
    <xf numFmtId="0" fontId="0" fillId="32" borderId="31" xfId="0" applyFill="1" applyBorder="1" applyProtection="1"/>
    <xf numFmtId="0" fontId="2" fillId="32" borderId="0" xfId="0" applyFont="1" applyFill="1" applyBorder="1" applyAlignment="1" applyProtection="1">
      <alignment vertical="center" wrapText="1"/>
    </xf>
    <xf numFmtId="164" fontId="5" fillId="32" borderId="0" xfId="192" applyNumberFormat="1" applyFont="1" applyFill="1" applyBorder="1" applyAlignment="1" applyProtection="1">
      <alignment horizontal="right" vertical="top"/>
    </xf>
    <xf numFmtId="0" fontId="0" fillId="32" borderId="11" xfId="0" applyFont="1" applyFill="1" applyBorder="1" applyAlignment="1" applyProtection="1">
      <alignment horizontal="left" vertical="center" wrapText="1"/>
    </xf>
    <xf numFmtId="0" fontId="30" fillId="0" borderId="0" xfId="174" applyFont="1" applyFill="1" applyProtection="1"/>
    <xf numFmtId="0" fontId="22" fillId="0" borderId="0" xfId="186" applyFont="1" applyFill="1" applyProtection="1"/>
    <xf numFmtId="0" fontId="4" fillId="0" borderId="0" xfId="174" applyFont="1" applyProtection="1"/>
    <xf numFmtId="0" fontId="2" fillId="0" borderId="0" xfId="174" applyFont="1" applyProtection="1"/>
    <xf numFmtId="0" fontId="5" fillId="0" borderId="0" xfId="174" applyFont="1" applyProtection="1"/>
    <xf numFmtId="0" fontId="5" fillId="32" borderId="0" xfId="174" applyFont="1" applyFill="1" applyProtection="1"/>
    <xf numFmtId="0" fontId="2" fillId="0" borderId="0" xfId="186" applyFont="1" applyFill="1" applyProtection="1"/>
    <xf numFmtId="0" fontId="21" fillId="0" borderId="0" xfId="174" applyFont="1" applyAlignment="1" applyProtection="1">
      <alignment vertical="top"/>
    </xf>
    <xf numFmtId="0" fontId="2" fillId="0" borderId="0" xfId="174" applyFont="1" applyAlignment="1" applyProtection="1">
      <alignment vertical="top"/>
    </xf>
    <xf numFmtId="0" fontId="2" fillId="32" borderId="0" xfId="174" applyFont="1" applyFill="1" applyBorder="1" applyProtection="1"/>
    <xf numFmtId="0" fontId="2" fillId="0" borderId="50" xfId="174" applyFont="1" applyBorder="1" applyProtection="1"/>
    <xf numFmtId="164" fontId="2" fillId="0" borderId="40" xfId="174" applyNumberFormat="1" applyFont="1" applyBorder="1" applyAlignment="1" applyProtection="1">
      <alignment vertical="top"/>
    </xf>
    <xf numFmtId="0" fontId="2" fillId="32" borderId="14" xfId="174" applyFont="1" applyFill="1" applyBorder="1" applyAlignment="1" applyProtection="1">
      <alignment horizontal="left" vertical="top" wrapText="1"/>
    </xf>
    <xf numFmtId="0" fontId="2" fillId="32" borderId="0" xfId="174" applyFont="1" applyFill="1" applyBorder="1" applyAlignment="1" applyProtection="1">
      <alignment horizontal="left" vertical="top" wrapText="1"/>
    </xf>
    <xf numFmtId="0" fontId="5" fillId="0" borderId="13" xfId="174" applyFont="1" applyBorder="1" applyProtection="1"/>
    <xf numFmtId="0" fontId="2" fillId="0" borderId="40" xfId="174" applyFont="1" applyBorder="1" applyAlignment="1" applyProtection="1">
      <alignment vertical="top"/>
    </xf>
    <xf numFmtId="0" fontId="2" fillId="32" borderId="61" xfId="174" applyFont="1" applyFill="1" applyBorder="1" applyAlignment="1" applyProtection="1">
      <alignment vertical="top"/>
    </xf>
    <xf numFmtId="0" fontId="2" fillId="32" borderId="30" xfId="174" applyFont="1" applyFill="1" applyBorder="1" applyAlignment="1" applyProtection="1">
      <alignment vertical="top"/>
    </xf>
    <xf numFmtId="0" fontId="2" fillId="32" borderId="14" xfId="174" applyFont="1" applyFill="1" applyBorder="1" applyAlignment="1" applyProtection="1">
      <alignment vertical="top"/>
    </xf>
    <xf numFmtId="0" fontId="2" fillId="32" borderId="0" xfId="174" applyFont="1" applyFill="1" applyBorder="1" applyAlignment="1" applyProtection="1">
      <alignment vertical="top" wrapText="1"/>
    </xf>
    <xf numFmtId="0" fontId="5" fillId="0" borderId="62" xfId="174" applyFont="1" applyBorder="1" applyProtection="1"/>
    <xf numFmtId="0" fontId="2" fillId="0" borderId="63" xfId="174" applyFont="1" applyBorder="1" applyAlignment="1" applyProtection="1">
      <alignment vertical="top"/>
    </xf>
    <xf numFmtId="0" fontId="5" fillId="0" borderId="64" xfId="174" applyFont="1" applyBorder="1" applyProtection="1"/>
    <xf numFmtId="0" fontId="2" fillId="0" borderId="65" xfId="174" applyFont="1" applyBorder="1" applyAlignment="1" applyProtection="1">
      <alignment vertical="top"/>
    </xf>
    <xf numFmtId="0" fontId="2" fillId="32" borderId="0" xfId="174" applyFont="1" applyFill="1" applyBorder="1" applyAlignment="1" applyProtection="1">
      <alignment vertical="top"/>
    </xf>
    <xf numFmtId="0" fontId="2" fillId="32" borderId="14" xfId="174" applyFont="1" applyFill="1" applyBorder="1" applyAlignment="1" applyProtection="1">
      <alignment horizontal="right" wrapText="1"/>
    </xf>
    <xf numFmtId="0" fontId="2" fillId="32" borderId="0" xfId="174" applyFont="1" applyFill="1" applyBorder="1" applyAlignment="1" applyProtection="1">
      <alignment horizontal="left" wrapText="1"/>
    </xf>
    <xf numFmtId="0" fontId="2" fillId="0" borderId="40" xfId="174" applyFont="1" applyBorder="1" applyProtection="1"/>
    <xf numFmtId="0" fontId="2" fillId="32" borderId="51" xfId="174" applyFont="1" applyFill="1" applyBorder="1" applyAlignment="1" applyProtection="1">
      <alignment horizontal="right" wrapText="1"/>
    </xf>
    <xf numFmtId="0" fontId="2" fillId="32" borderId="15" xfId="174" applyFont="1" applyFill="1" applyBorder="1" applyAlignment="1" applyProtection="1">
      <alignment horizontal="left" wrapText="1"/>
    </xf>
    <xf numFmtId="0" fontId="2" fillId="0" borderId="52" xfId="174" applyFont="1" applyBorder="1" applyProtection="1"/>
    <xf numFmtId="0" fontId="5" fillId="0" borderId="11" xfId="0" applyFont="1" applyBorder="1" applyAlignment="1" applyProtection="1">
      <alignment horizontal="left" vertical="top" wrapText="1" indent="2"/>
    </xf>
    <xf numFmtId="0" fontId="5" fillId="32" borderId="11" xfId="0" applyFont="1" applyFill="1" applyBorder="1" applyAlignment="1" applyProtection="1">
      <alignment horizontal="left" vertical="top" wrapText="1" indent="2"/>
    </xf>
    <xf numFmtId="0" fontId="26" fillId="32" borderId="0" xfId="30" quotePrefix="1" applyFont="1" applyFill="1" applyProtection="1"/>
    <xf numFmtId="0" fontId="26" fillId="32" borderId="0" xfId="35" quotePrefix="1" applyFont="1" applyFill="1" applyProtection="1"/>
    <xf numFmtId="164" fontId="20" fillId="32" borderId="11" xfId="0" applyNumberFormat="1" applyFont="1" applyFill="1" applyBorder="1" applyAlignment="1" applyProtection="1">
      <alignment vertical="top"/>
    </xf>
    <xf numFmtId="0" fontId="20" fillId="32" borderId="0" xfId="0" applyFont="1" applyFill="1" applyBorder="1" applyAlignment="1" applyProtection="1">
      <alignment horizontal="left" vertical="top"/>
    </xf>
    <xf numFmtId="0" fontId="20" fillId="32" borderId="0" xfId="0" applyFont="1" applyFill="1" applyBorder="1" applyAlignment="1" applyProtection="1">
      <alignment vertical="top"/>
    </xf>
    <xf numFmtId="164" fontId="20" fillId="32" borderId="0" xfId="0" applyNumberFormat="1" applyFont="1" applyFill="1" applyBorder="1" applyAlignment="1" applyProtection="1">
      <alignment vertical="top"/>
    </xf>
    <xf numFmtId="0" fontId="5" fillId="32" borderId="11" xfId="0" applyFont="1" applyFill="1" applyBorder="1" applyAlignment="1" applyProtection="1">
      <alignment horizontal="left" vertical="top" wrapText="1" indent="3"/>
    </xf>
    <xf numFmtId="0" fontId="5" fillId="32" borderId="11" xfId="0" applyFont="1" applyFill="1" applyBorder="1" applyAlignment="1" applyProtection="1">
      <alignment horizontal="left" vertical="top" wrapText="1" indent="4"/>
    </xf>
    <xf numFmtId="4" fontId="6" fillId="32" borderId="11" xfId="192" applyNumberFormat="1" applyFont="1" applyFill="1" applyBorder="1" applyAlignment="1" applyProtection="1">
      <alignment vertical="top"/>
    </xf>
    <xf numFmtId="0" fontId="6" fillId="0" borderId="25" xfId="174" applyFont="1" applyFill="1" applyBorder="1" applyAlignment="1" applyProtection="1">
      <alignment horizontal="center" vertical="center" wrapText="1"/>
    </xf>
    <xf numFmtId="164" fontId="38" fillId="32" borderId="25" xfId="192" applyNumberFormat="1" applyFont="1" applyFill="1" applyBorder="1" applyAlignment="1" applyProtection="1">
      <alignment horizontal="left"/>
    </xf>
    <xf numFmtId="0" fontId="6" fillId="32" borderId="66" xfId="184" applyFont="1" applyFill="1" applyBorder="1" applyAlignment="1" applyProtection="1">
      <alignment vertical="center" wrapText="1"/>
    </xf>
    <xf numFmtId="14" fontId="6" fillId="0" borderId="0" xfId="171" applyNumberFormat="1" applyFont="1" applyFill="1" applyProtection="1"/>
    <xf numFmtId="4" fontId="6" fillId="32" borderId="67" xfId="186" applyNumberFormat="1" applyFont="1" applyFill="1" applyBorder="1" applyAlignment="1" applyProtection="1">
      <alignment horizontal="center" vertical="center"/>
    </xf>
    <xf numFmtId="0" fontId="5" fillId="32" borderId="0" xfId="0" applyFont="1" applyFill="1" applyAlignment="1" applyProtection="1">
      <alignment horizontal="right" vertical="top"/>
    </xf>
    <xf numFmtId="164" fontId="5" fillId="32" borderId="0" xfId="0" applyNumberFormat="1" applyFont="1" applyFill="1" applyAlignment="1" applyProtection="1">
      <alignment vertical="top"/>
    </xf>
    <xf numFmtId="4" fontId="4" fillId="32" borderId="16" xfId="186" applyNumberFormat="1" applyFont="1" applyFill="1" applyBorder="1" applyAlignment="1" applyProtection="1">
      <alignment horizontal="center" vertical="center"/>
    </xf>
    <xf numFmtId="4" fontId="4" fillId="32" borderId="0" xfId="186" applyNumberFormat="1" applyFont="1" applyFill="1" applyBorder="1" applyAlignment="1" applyProtection="1">
      <alignment horizontal="center" vertical="center"/>
    </xf>
    <xf numFmtId="4" fontId="4" fillId="32" borderId="17" xfId="186" applyNumberFormat="1" applyFont="1" applyFill="1" applyBorder="1" applyAlignment="1" applyProtection="1">
      <alignment horizontal="center" vertical="center"/>
    </xf>
    <xf numFmtId="4" fontId="6" fillId="32" borderId="68" xfId="186" applyNumberFormat="1" applyFont="1" applyFill="1" applyBorder="1" applyAlignment="1" applyProtection="1">
      <alignment horizontal="center" vertical="center" wrapText="1"/>
    </xf>
    <xf numFmtId="164" fontId="5" fillId="32" borderId="0" xfId="0" applyNumberFormat="1" applyFont="1" applyFill="1" applyProtection="1"/>
    <xf numFmtId="3" fontId="2" fillId="0" borderId="11" xfId="186" applyNumberFormat="1" applyFont="1" applyBorder="1" applyAlignment="1" applyProtection="1">
      <alignment horizontal="center" vertical="top"/>
    </xf>
    <xf numFmtId="0" fontId="6" fillId="32" borderId="11" xfId="0" applyFont="1" applyFill="1" applyBorder="1" applyAlignment="1" applyProtection="1">
      <alignment horizontal="left" vertical="center" wrapText="1"/>
    </xf>
    <xf numFmtId="164" fontId="4" fillId="32" borderId="17" xfId="186" applyNumberFormat="1" applyFont="1" applyFill="1" applyBorder="1" applyAlignment="1" applyProtection="1">
      <alignment vertical="center"/>
    </xf>
    <xf numFmtId="164" fontId="2" fillId="32" borderId="17" xfId="186" applyNumberFormat="1" applyFont="1" applyFill="1" applyBorder="1" applyAlignment="1" applyProtection="1">
      <alignment vertical="center"/>
    </xf>
    <xf numFmtId="164" fontId="2" fillId="32" borderId="17" xfId="186" applyNumberFormat="1" applyFont="1" applyFill="1" applyBorder="1" applyProtection="1"/>
    <xf numFmtId="164" fontId="2" fillId="31" borderId="17" xfId="192" applyNumberFormat="1" applyFont="1" applyFill="1" applyBorder="1" applyAlignment="1" applyProtection="1">
      <alignment vertical="top"/>
    </xf>
    <xf numFmtId="164" fontId="4" fillId="31" borderId="17" xfId="192" applyNumberFormat="1" applyFont="1" applyFill="1" applyBorder="1" applyAlignment="1" applyProtection="1">
      <alignment vertical="top"/>
    </xf>
    <xf numFmtId="164" fontId="5" fillId="32" borderId="17" xfId="186" applyNumberFormat="1" applyFont="1" applyFill="1" applyBorder="1" applyAlignment="1" applyProtection="1">
      <alignment vertical="center"/>
    </xf>
    <xf numFmtId="164" fontId="2" fillId="32" borderId="67" xfId="186" applyNumberFormat="1" applyFont="1" applyFill="1" applyBorder="1" applyAlignment="1" applyProtection="1">
      <alignment vertical="center"/>
    </xf>
    <xf numFmtId="164" fontId="3" fillId="32" borderId="20" xfId="186" applyNumberFormat="1" applyFont="1" applyFill="1" applyBorder="1" applyAlignment="1" applyProtection="1">
      <alignment vertical="center"/>
    </xf>
    <xf numFmtId="164" fontId="17" fillId="32" borderId="17" xfId="186" applyNumberFormat="1" applyFont="1" applyFill="1" applyBorder="1" applyAlignment="1" applyProtection="1">
      <alignment vertical="center"/>
    </xf>
    <xf numFmtId="164" fontId="6" fillId="32" borderId="0" xfId="186" applyNumberFormat="1" applyFont="1" applyFill="1" applyAlignment="1" applyProtection="1">
      <alignment vertical="center"/>
    </xf>
    <xf numFmtId="4" fontId="2" fillId="36" borderId="11" xfId="192" applyNumberFormat="1" applyFont="1" applyFill="1" applyBorder="1" applyProtection="1"/>
    <xf numFmtId="4" fontId="2" fillId="32" borderId="31" xfId="192" applyNumberFormat="1" applyFont="1" applyFill="1" applyBorder="1" applyProtection="1"/>
    <xf numFmtId="4" fontId="2" fillId="31" borderId="11" xfId="192" applyNumberFormat="1" applyFont="1" applyFill="1" applyBorder="1" applyProtection="1"/>
    <xf numFmtId="4" fontId="2" fillId="32" borderId="11" xfId="192" applyNumberFormat="1" applyFont="1" applyFill="1" applyBorder="1" applyProtection="1"/>
    <xf numFmtId="164" fontId="5" fillId="31" borderId="11" xfId="192" applyNumberFormat="1" applyFont="1" applyFill="1" applyBorder="1" applyAlignment="1" applyProtection="1">
      <alignment horizontal="right" vertical="top"/>
    </xf>
    <xf numFmtId="164" fontId="20" fillId="29" borderId="11" xfId="192" applyNumberFormat="1" applyFont="1" applyFill="1" applyBorder="1" applyAlignment="1" applyProtection="1">
      <alignment vertical="top"/>
    </xf>
    <xf numFmtId="164" fontId="6" fillId="29" borderId="11" xfId="192" applyNumberFormat="1" applyFont="1" applyFill="1" applyBorder="1" applyAlignment="1" applyProtection="1">
      <alignment vertical="top"/>
    </xf>
    <xf numFmtId="10" fontId="5" fillId="32" borderId="11" xfId="121" applyNumberFormat="1" applyFont="1" applyFill="1" applyBorder="1" applyAlignment="1" applyProtection="1">
      <alignment horizontal="right" vertical="top"/>
    </xf>
    <xf numFmtId="0" fontId="22" fillId="32" borderId="0" xfId="174" applyFont="1" applyFill="1" applyProtection="1"/>
    <xf numFmtId="0" fontId="22" fillId="32" borderId="47" xfId="174" applyFont="1" applyFill="1" applyBorder="1" applyProtection="1"/>
    <xf numFmtId="0" fontId="22" fillId="32" borderId="39" xfId="174" applyFont="1" applyFill="1" applyBorder="1" applyAlignment="1" applyProtection="1">
      <alignment horizontal="right"/>
    </xf>
    <xf numFmtId="0" fontId="2" fillId="32" borderId="42" xfId="174" applyFont="1" applyFill="1" applyBorder="1" applyAlignment="1" applyProtection="1">
      <alignment vertical="center"/>
    </xf>
    <xf numFmtId="0" fontId="2" fillId="32" borderId="45" xfId="174" applyFont="1" applyFill="1" applyBorder="1" applyAlignment="1" applyProtection="1">
      <alignment vertical="center" wrapText="1"/>
    </xf>
    <xf numFmtId="0" fontId="6" fillId="32" borderId="42" xfId="174" applyFont="1" applyFill="1" applyBorder="1" applyProtection="1"/>
    <xf numFmtId="0" fontId="4" fillId="32" borderId="42" xfId="174" applyFont="1" applyFill="1" applyBorder="1" applyProtection="1"/>
    <xf numFmtId="0" fontId="68" fillId="32" borderId="0" xfId="186" applyFont="1" applyFill="1" applyProtection="1"/>
    <xf numFmtId="0" fontId="68" fillId="32" borderId="0" xfId="0" applyFont="1" applyFill="1" applyAlignment="1" applyProtection="1">
      <alignment vertical="top"/>
    </xf>
    <xf numFmtId="0" fontId="6" fillId="32" borderId="11" xfId="0" applyFont="1" applyFill="1" applyBorder="1" applyAlignment="1" applyProtection="1">
      <alignment vertical="top" wrapText="1"/>
    </xf>
    <xf numFmtId="164" fontId="6" fillId="32" borderId="0" xfId="0" applyNumberFormat="1" applyFont="1" applyFill="1" applyAlignment="1" applyProtection="1">
      <alignment vertical="top"/>
    </xf>
    <xf numFmtId="0" fontId="5" fillId="35" borderId="11" xfId="0" applyFont="1" applyFill="1" applyBorder="1" applyAlignment="1" applyProtection="1">
      <alignment horizontal="center" vertical="top" wrapText="1"/>
    </xf>
    <xf numFmtId="0" fontId="69" fillId="32" borderId="0" xfId="30" applyFont="1" applyFill="1" applyAlignment="1" applyProtection="1">
      <alignment horizontal="center"/>
    </xf>
    <xf numFmtId="0" fontId="68" fillId="32" borderId="0" xfId="30" applyFont="1" applyFill="1" applyProtection="1"/>
    <xf numFmtId="4" fontId="6" fillId="32" borderId="11" xfId="192" applyNumberFormat="1" applyFont="1" applyFill="1" applyBorder="1" applyAlignment="1" applyProtection="1">
      <alignment horizontal="right" vertical="top"/>
    </xf>
    <xf numFmtId="4" fontId="2" fillId="32" borderId="11" xfId="192" applyNumberFormat="1" applyFont="1" applyFill="1" applyBorder="1" applyAlignment="1" applyProtection="1">
      <alignment vertical="top"/>
    </xf>
    <xf numFmtId="0" fontId="70" fillId="32" borderId="0" xfId="186" applyFont="1" applyFill="1" applyProtection="1"/>
    <xf numFmtId="164" fontId="6" fillId="29" borderId="41" xfId="174" applyNumberFormat="1" applyFont="1" applyFill="1" applyBorder="1" applyAlignment="1" applyProtection="1"/>
    <xf numFmtId="10" fontId="6" fillId="29" borderId="69" xfId="121" applyNumberFormat="1" applyFont="1" applyFill="1" applyBorder="1" applyProtection="1"/>
    <xf numFmtId="164" fontId="6" fillId="32" borderId="70" xfId="174" applyNumberFormat="1" applyFont="1" applyFill="1" applyBorder="1" applyAlignment="1" applyProtection="1"/>
    <xf numFmtId="0" fontId="2" fillId="29" borderId="0" xfId="174" applyFont="1" applyFill="1" applyProtection="1"/>
    <xf numFmtId="164" fontId="6" fillId="32" borderId="71" xfId="174" applyNumberFormat="1" applyFont="1" applyFill="1" applyBorder="1" applyAlignment="1" applyProtection="1"/>
    <xf numFmtId="164" fontId="2" fillId="31" borderId="41" xfId="192" applyNumberFormat="1" applyFont="1" applyFill="1" applyBorder="1" applyProtection="1"/>
    <xf numFmtId="164" fontId="2" fillId="32" borderId="43" xfId="192" applyNumberFormat="1" applyFont="1" applyFill="1" applyBorder="1" applyProtection="1"/>
    <xf numFmtId="164" fontId="2" fillId="32" borderId="72" xfId="192" applyNumberFormat="1" applyFont="1" applyFill="1" applyBorder="1" applyProtection="1"/>
    <xf numFmtId="4" fontId="2" fillId="32" borderId="41" xfId="174" applyNumberFormat="1" applyFont="1" applyFill="1" applyBorder="1" applyAlignment="1" applyProtection="1"/>
    <xf numFmtId="10" fontId="2" fillId="32" borderId="73" xfId="121" applyNumberFormat="1" applyFont="1" applyFill="1" applyBorder="1" applyAlignment="1" applyProtection="1">
      <alignment horizontal="right"/>
    </xf>
    <xf numFmtId="4" fontId="2" fillId="32" borderId="43" xfId="174" applyNumberFormat="1" applyFont="1" applyFill="1" applyBorder="1" applyAlignment="1" applyProtection="1"/>
    <xf numFmtId="4" fontId="2" fillId="32" borderId="72" xfId="174" applyNumberFormat="1" applyFont="1" applyFill="1" applyBorder="1" applyAlignment="1" applyProtection="1"/>
    <xf numFmtId="4" fontId="5" fillId="32" borderId="41" xfId="192" applyNumberFormat="1" applyFont="1" applyFill="1" applyBorder="1" applyAlignment="1" applyProtection="1">
      <alignment horizontal="right"/>
    </xf>
    <xf numFmtId="10" fontId="5" fillId="32" borderId="73" xfId="121" applyNumberFormat="1" applyFont="1" applyFill="1" applyBorder="1" applyAlignment="1" applyProtection="1">
      <alignment horizontal="right"/>
    </xf>
    <xf numFmtId="4" fontId="5" fillId="32" borderId="43" xfId="192" applyNumberFormat="1" applyFont="1" applyFill="1" applyBorder="1" applyAlignment="1" applyProtection="1">
      <alignment horizontal="right"/>
    </xf>
    <xf numFmtId="4" fontId="5" fillId="32" borderId="72" xfId="192" applyNumberFormat="1" applyFont="1" applyFill="1" applyBorder="1" applyAlignment="1" applyProtection="1">
      <alignment horizontal="right"/>
    </xf>
    <xf numFmtId="4" fontId="2" fillId="32" borderId="41" xfId="174" applyNumberFormat="1" applyFont="1" applyFill="1" applyBorder="1" applyAlignment="1" applyProtection="1">
      <alignment horizontal="right"/>
    </xf>
    <xf numFmtId="4" fontId="2" fillId="32" borderId="43" xfId="174" applyNumberFormat="1" applyFont="1" applyFill="1" applyBorder="1" applyAlignment="1" applyProtection="1">
      <alignment horizontal="right"/>
    </xf>
    <xf numFmtId="4" fontId="2" fillId="32" borderId="72" xfId="174" applyNumberFormat="1" applyFont="1" applyFill="1" applyBorder="1" applyAlignment="1" applyProtection="1">
      <alignment horizontal="right"/>
    </xf>
    <xf numFmtId="0" fontId="56" fillId="29" borderId="0" xfId="174" applyFont="1" applyFill="1" applyProtection="1"/>
    <xf numFmtId="4" fontId="56" fillId="32" borderId="41" xfId="174" applyNumberFormat="1" applyFont="1" applyFill="1" applyBorder="1" applyAlignment="1" applyProtection="1">
      <alignment horizontal="right"/>
    </xf>
    <xf numFmtId="10" fontId="56" fillId="32" borderId="73" xfId="121" applyNumberFormat="1" applyFont="1" applyFill="1" applyBorder="1" applyAlignment="1" applyProtection="1">
      <alignment horizontal="right"/>
    </xf>
    <xf numFmtId="4" fontId="56" fillId="32" borderId="43" xfId="174" applyNumberFormat="1" applyFont="1" applyFill="1" applyBorder="1" applyAlignment="1" applyProtection="1">
      <alignment horizontal="right"/>
    </xf>
    <xf numFmtId="4" fontId="56" fillId="32" borderId="72" xfId="174" applyNumberFormat="1" applyFont="1" applyFill="1" applyBorder="1" applyAlignment="1" applyProtection="1">
      <alignment horizontal="right"/>
    </xf>
    <xf numFmtId="164" fontId="6" fillId="31" borderId="41" xfId="192" applyNumberFormat="1" applyFont="1" applyFill="1" applyBorder="1" applyProtection="1"/>
    <xf numFmtId="164" fontId="6" fillId="32" borderId="43" xfId="192" applyNumberFormat="1" applyFont="1" applyFill="1" applyBorder="1" applyProtection="1"/>
    <xf numFmtId="164" fontId="6" fillId="32" borderId="72" xfId="192" applyNumberFormat="1" applyFont="1" applyFill="1" applyBorder="1" applyProtection="1"/>
    <xf numFmtId="164" fontId="2" fillId="32" borderId="41" xfId="192" applyNumberFormat="1" applyFont="1" applyFill="1" applyBorder="1" applyProtection="1"/>
    <xf numFmtId="10" fontId="2" fillId="32" borderId="73" xfId="121" applyNumberFormat="1" applyFont="1" applyFill="1" applyBorder="1" applyProtection="1"/>
    <xf numFmtId="164" fontId="6" fillId="31" borderId="41" xfId="192" applyNumberFormat="1" applyFont="1" applyFill="1" applyBorder="1" applyAlignment="1" applyProtection="1">
      <alignment vertical="center"/>
    </xf>
    <xf numFmtId="164" fontId="6" fillId="32" borderId="43" xfId="192" applyNumberFormat="1" applyFont="1" applyFill="1" applyBorder="1" applyAlignment="1" applyProtection="1">
      <alignment vertical="center"/>
    </xf>
    <xf numFmtId="164" fontId="6" fillId="32" borderId="72" xfId="192" applyNumberFormat="1" applyFont="1" applyFill="1" applyBorder="1" applyAlignment="1" applyProtection="1">
      <alignment vertical="center"/>
    </xf>
    <xf numFmtId="164" fontId="2" fillId="32" borderId="41" xfId="192" applyNumberFormat="1" applyFont="1" applyFill="1" applyBorder="1" applyAlignment="1" applyProtection="1">
      <alignment vertical="center"/>
    </xf>
    <xf numFmtId="164" fontId="2" fillId="32" borderId="43" xfId="192" applyNumberFormat="1" applyFont="1" applyFill="1" applyBorder="1" applyAlignment="1" applyProtection="1">
      <alignment vertical="center"/>
    </xf>
    <xf numFmtId="164" fontId="2" fillId="32" borderId="72" xfId="192" applyNumberFormat="1" applyFont="1" applyFill="1" applyBorder="1" applyAlignment="1" applyProtection="1">
      <alignment vertical="center"/>
    </xf>
    <xf numFmtId="0" fontId="2" fillId="29" borderId="0" xfId="174" applyFont="1" applyFill="1" applyAlignment="1" applyProtection="1">
      <alignment vertical="top"/>
    </xf>
    <xf numFmtId="4" fontId="5" fillId="32" borderId="44" xfId="192" applyNumberFormat="1" applyFont="1" applyFill="1" applyBorder="1" applyAlignment="1" applyProtection="1">
      <alignment horizontal="right" vertical="top"/>
    </xf>
    <xf numFmtId="10" fontId="5" fillId="32" borderId="74" xfId="121" applyNumberFormat="1" applyFont="1" applyFill="1" applyBorder="1" applyAlignment="1" applyProtection="1">
      <alignment horizontal="right" vertical="top"/>
    </xf>
    <xf numFmtId="4" fontId="5" fillId="32" borderId="46" xfId="192" applyNumberFormat="1" applyFont="1" applyFill="1" applyBorder="1" applyAlignment="1" applyProtection="1">
      <alignment horizontal="right" vertical="top"/>
    </xf>
    <xf numFmtId="4" fontId="5" fillId="32" borderId="75" xfId="192" applyNumberFormat="1" applyFont="1" applyFill="1" applyBorder="1" applyAlignment="1" applyProtection="1">
      <alignment horizontal="right" vertical="top"/>
    </xf>
    <xf numFmtId="4" fontId="5" fillId="32" borderId="44" xfId="192" applyNumberFormat="1" applyFont="1" applyFill="1" applyBorder="1" applyAlignment="1" applyProtection="1">
      <alignment horizontal="right"/>
    </xf>
    <xf numFmtId="10" fontId="5" fillId="32" borderId="74" xfId="126" applyNumberFormat="1" applyFont="1" applyFill="1" applyBorder="1" applyAlignment="1" applyProtection="1">
      <alignment horizontal="right"/>
    </xf>
    <xf numFmtId="4" fontId="5" fillId="32" borderId="46" xfId="192" applyNumberFormat="1" applyFont="1" applyFill="1" applyBorder="1" applyAlignment="1" applyProtection="1">
      <alignment horizontal="right"/>
    </xf>
    <xf numFmtId="4" fontId="5" fillId="32" borderId="75" xfId="192" applyNumberFormat="1" applyFont="1" applyFill="1" applyBorder="1" applyAlignment="1" applyProtection="1">
      <alignment horizontal="right"/>
    </xf>
    <xf numFmtId="164" fontId="6" fillId="32" borderId="34" xfId="174" applyNumberFormat="1" applyFont="1" applyFill="1" applyBorder="1" applyAlignment="1" applyProtection="1">
      <alignment horizontal="right"/>
    </xf>
    <xf numFmtId="10" fontId="6" fillId="32" borderId="38" xfId="126" applyNumberFormat="1" applyFont="1" applyFill="1" applyBorder="1" applyAlignment="1" applyProtection="1">
      <alignment horizontal="right"/>
    </xf>
    <xf numFmtId="164" fontId="6" fillId="32" borderId="39" xfId="174" applyNumberFormat="1" applyFont="1" applyFill="1" applyBorder="1" applyAlignment="1" applyProtection="1">
      <alignment horizontal="right"/>
    </xf>
    <xf numFmtId="0" fontId="22" fillId="29" borderId="0" xfId="174" applyFont="1" applyFill="1" applyProtection="1"/>
    <xf numFmtId="164" fontId="6" fillId="32" borderId="25" xfId="174" applyNumberFormat="1" applyFont="1" applyFill="1" applyBorder="1" applyAlignment="1" applyProtection="1">
      <alignment horizontal="right"/>
    </xf>
    <xf numFmtId="0" fontId="71" fillId="32" borderId="0" xfId="174" applyFont="1" applyFill="1" applyProtection="1"/>
    <xf numFmtId="0" fontId="68" fillId="0" borderId="0" xfId="174" applyFont="1" applyFill="1" applyProtection="1"/>
    <xf numFmtId="0" fontId="72" fillId="0" borderId="0" xfId="174" applyFont="1" applyFill="1" applyBorder="1" applyAlignment="1" applyProtection="1"/>
    <xf numFmtId="0" fontId="72" fillId="0" borderId="0" xfId="174" applyFont="1" applyFill="1" applyProtection="1"/>
    <xf numFmtId="0" fontId="73" fillId="32" borderId="0" xfId="174" applyFont="1" applyFill="1" applyProtection="1"/>
    <xf numFmtId="0" fontId="68" fillId="32" borderId="0" xfId="184" applyFont="1" applyFill="1" applyProtection="1"/>
    <xf numFmtId="0" fontId="72" fillId="32" borderId="0" xfId="184" applyFont="1" applyFill="1" applyProtection="1"/>
    <xf numFmtId="0" fontId="6" fillId="32" borderId="76" xfId="184" applyFont="1" applyFill="1" applyBorder="1" applyAlignment="1" applyProtection="1">
      <alignment horizontal="right"/>
    </xf>
    <xf numFmtId="0" fontId="6" fillId="32" borderId="71" xfId="184" applyFont="1" applyFill="1" applyBorder="1" applyAlignment="1" applyProtection="1">
      <alignment horizontal="right"/>
    </xf>
    <xf numFmtId="0" fontId="6" fillId="32" borderId="41" xfId="184" applyFont="1" applyFill="1" applyBorder="1" applyAlignment="1" applyProtection="1">
      <alignment horizontal="right"/>
    </xf>
    <xf numFmtId="0" fontId="6" fillId="32" borderId="72" xfId="184" applyFont="1" applyFill="1" applyBorder="1" applyAlignment="1" applyProtection="1">
      <alignment horizontal="right"/>
    </xf>
    <xf numFmtId="0" fontId="20" fillId="32" borderId="72" xfId="184" applyFont="1" applyFill="1" applyBorder="1" applyAlignment="1" applyProtection="1">
      <alignment horizontal="right"/>
    </xf>
    <xf numFmtId="0" fontId="20" fillId="32" borderId="41" xfId="184" applyFont="1" applyFill="1" applyBorder="1" applyAlignment="1" applyProtection="1">
      <alignment horizontal="right"/>
    </xf>
    <xf numFmtId="10" fontId="6" fillId="32" borderId="72" xfId="121" applyNumberFormat="1" applyFont="1" applyFill="1" applyBorder="1" applyProtection="1"/>
    <xf numFmtId="166" fontId="6" fillId="32" borderId="72" xfId="192" applyNumberFormat="1" applyFont="1" applyFill="1" applyBorder="1" applyProtection="1"/>
    <xf numFmtId="3" fontId="20" fillId="32" borderId="41" xfId="192" applyNumberFormat="1" applyFont="1" applyFill="1" applyBorder="1" applyAlignment="1" applyProtection="1">
      <alignment horizontal="left" indent="2"/>
    </xf>
    <xf numFmtId="10" fontId="20" fillId="32" borderId="72" xfId="121" applyNumberFormat="1" applyFont="1" applyFill="1" applyBorder="1" applyAlignment="1" applyProtection="1">
      <alignment horizontal="left" indent="2"/>
    </xf>
    <xf numFmtId="3" fontId="20" fillId="32" borderId="72" xfId="192" applyNumberFormat="1" applyFont="1" applyFill="1" applyBorder="1" applyAlignment="1" applyProtection="1">
      <alignment horizontal="left" indent="2"/>
    </xf>
    <xf numFmtId="10" fontId="6" fillId="32" borderId="72" xfId="121" applyNumberFormat="1" applyFont="1" applyFill="1" applyBorder="1" applyAlignment="1" applyProtection="1">
      <alignment horizontal="right"/>
    </xf>
    <xf numFmtId="166" fontId="6" fillId="32" borderId="72" xfId="192" applyNumberFormat="1" applyFont="1" applyFill="1" applyBorder="1" applyAlignment="1" applyProtection="1">
      <alignment vertical="center"/>
    </xf>
    <xf numFmtId="0" fontId="22" fillId="32" borderId="57" xfId="184" applyFont="1" applyFill="1" applyBorder="1" applyAlignment="1" applyProtection="1">
      <alignment horizontal="right"/>
    </xf>
    <xf numFmtId="0" fontId="22" fillId="32" borderId="77" xfId="184" applyFont="1" applyFill="1" applyBorder="1" applyAlignment="1" applyProtection="1">
      <alignment horizontal="right"/>
    </xf>
    <xf numFmtId="164" fontId="6" fillId="29" borderId="25" xfId="174" applyNumberFormat="1" applyFont="1" applyFill="1" applyBorder="1" applyAlignment="1" applyProtection="1"/>
    <xf numFmtId="0" fontId="70" fillId="32" borderId="0" xfId="184" applyFont="1" applyFill="1" applyProtection="1"/>
    <xf numFmtId="164" fontId="6" fillId="32" borderId="78" xfId="171" applyNumberFormat="1" applyFont="1" applyFill="1" applyBorder="1" applyAlignment="1" applyProtection="1">
      <alignment vertical="center"/>
    </xf>
    <xf numFmtId="10" fontId="6" fillId="29" borderId="79" xfId="121" applyNumberFormat="1" applyFont="1" applyFill="1" applyBorder="1" applyAlignment="1" applyProtection="1">
      <alignment vertical="center"/>
    </xf>
    <xf numFmtId="164" fontId="6" fillId="32" borderId="56" xfId="171" applyNumberFormat="1" applyFont="1" applyFill="1" applyBorder="1" applyAlignment="1" applyProtection="1">
      <alignment vertical="center"/>
    </xf>
    <xf numFmtId="0" fontId="2" fillId="32" borderId="78" xfId="171" applyFont="1" applyFill="1" applyBorder="1" applyAlignment="1" applyProtection="1">
      <alignment vertical="center"/>
    </xf>
    <xf numFmtId="10" fontId="2" fillId="32" borderId="80" xfId="121" applyNumberFormat="1" applyFont="1" applyFill="1" applyBorder="1" applyAlignment="1" applyProtection="1">
      <alignment horizontal="right" vertical="center"/>
    </xf>
    <xf numFmtId="164" fontId="2" fillId="32" borderId="56" xfId="171" applyNumberFormat="1" applyFont="1" applyFill="1" applyBorder="1" applyAlignment="1" applyProtection="1">
      <alignment vertical="center"/>
    </xf>
    <xf numFmtId="164" fontId="2" fillId="29" borderId="56" xfId="171" applyNumberFormat="1" applyFont="1" applyFill="1" applyBorder="1" applyAlignment="1" applyProtection="1">
      <alignment vertical="center"/>
    </xf>
    <xf numFmtId="3" fontId="5" fillId="32" borderId="13" xfId="192" applyNumberFormat="1" applyFont="1" applyFill="1" applyBorder="1" applyAlignment="1" applyProtection="1">
      <alignment horizontal="right" vertical="center"/>
    </xf>
    <xf numFmtId="10" fontId="5" fillId="32" borderId="36" xfId="121" applyNumberFormat="1" applyFont="1" applyFill="1" applyBorder="1" applyAlignment="1" applyProtection="1">
      <alignment horizontal="right" vertical="center"/>
    </xf>
    <xf numFmtId="164" fontId="6" fillId="32" borderId="60" xfId="192" applyNumberFormat="1" applyFont="1" applyFill="1" applyBorder="1" applyAlignment="1" applyProtection="1">
      <alignment horizontal="right" vertical="center"/>
    </xf>
    <xf numFmtId="10" fontId="6" fillId="32" borderId="47" xfId="126" applyNumberFormat="1" applyFont="1" applyFill="1" applyBorder="1" applyAlignment="1" applyProtection="1">
      <alignment horizontal="right" vertical="center"/>
    </xf>
    <xf numFmtId="164" fontId="6" fillId="32" borderId="81" xfId="192" applyNumberFormat="1" applyFont="1" applyFill="1" applyBorder="1" applyAlignment="1" applyProtection="1">
      <alignment horizontal="right" vertical="center"/>
    </xf>
    <xf numFmtId="164" fontId="6" fillId="32" borderId="82" xfId="171" applyNumberFormat="1" applyFont="1" applyFill="1" applyBorder="1" applyAlignment="1" applyProtection="1">
      <alignment vertical="center"/>
    </xf>
    <xf numFmtId="0" fontId="2" fillId="32" borderId="82" xfId="171" applyFont="1" applyFill="1" applyBorder="1" applyAlignment="1" applyProtection="1">
      <alignment vertical="center"/>
    </xf>
    <xf numFmtId="164" fontId="2" fillId="32" borderId="82" xfId="171" applyNumberFormat="1" applyFont="1" applyFill="1" applyBorder="1" applyAlignment="1" applyProtection="1">
      <alignment vertical="center"/>
    </xf>
    <xf numFmtId="3" fontId="5" fillId="32" borderId="82" xfId="192" applyNumberFormat="1" applyFont="1" applyFill="1" applyBorder="1" applyAlignment="1" applyProtection="1">
      <alignment horizontal="right" vertical="center"/>
    </xf>
    <xf numFmtId="0" fontId="2" fillId="32" borderId="82" xfId="171" applyFont="1" applyFill="1" applyBorder="1" applyAlignment="1" applyProtection="1">
      <alignment horizontal="right" vertical="center"/>
    </xf>
    <xf numFmtId="164" fontId="2" fillId="29" borderId="82" xfId="171" applyNumberFormat="1" applyFont="1" applyFill="1" applyBorder="1" applyAlignment="1" applyProtection="1">
      <alignment vertical="center"/>
    </xf>
    <xf numFmtId="3" fontId="5" fillId="32" borderId="83" xfId="192" applyNumberFormat="1" applyFont="1" applyFill="1" applyBorder="1" applyAlignment="1" applyProtection="1">
      <alignment horizontal="right" vertical="center"/>
    </xf>
    <xf numFmtId="164" fontId="6" fillId="32" borderId="25" xfId="192" applyNumberFormat="1" applyFont="1" applyFill="1" applyBorder="1" applyAlignment="1" applyProtection="1">
      <alignment horizontal="right" vertical="center"/>
    </xf>
    <xf numFmtId="0" fontId="68" fillId="32" borderId="0" xfId="171" applyFont="1" applyFill="1" applyProtection="1"/>
    <xf numFmtId="0" fontId="2" fillId="29" borderId="50" xfId="174" applyFont="1" applyFill="1" applyBorder="1" applyProtection="1"/>
    <xf numFmtId="164" fontId="5" fillId="31" borderId="27" xfId="192" applyNumberFormat="1" applyFont="1" applyFill="1" applyBorder="1" applyAlignment="1" applyProtection="1">
      <alignment horizontal="right" vertical="top"/>
    </xf>
    <xf numFmtId="164" fontId="2" fillId="29" borderId="40" xfId="174" applyNumberFormat="1" applyFont="1" applyFill="1" applyBorder="1" applyAlignment="1" applyProtection="1">
      <alignment vertical="top"/>
    </xf>
    <xf numFmtId="0" fontId="2" fillId="29" borderId="40" xfId="174" applyFont="1" applyFill="1" applyBorder="1" applyProtection="1"/>
    <xf numFmtId="0" fontId="2" fillId="29" borderId="63" xfId="174" applyFont="1" applyFill="1" applyBorder="1" applyProtection="1"/>
    <xf numFmtId="0" fontId="2" fillId="29" borderId="65" xfId="174" applyFont="1" applyFill="1" applyBorder="1" applyProtection="1"/>
    <xf numFmtId="0" fontId="2" fillId="29" borderId="52" xfId="174" applyFont="1" applyFill="1" applyBorder="1" applyProtection="1"/>
    <xf numFmtId="0" fontId="72" fillId="32" borderId="0" xfId="0" applyFont="1" applyFill="1" applyBorder="1" applyAlignment="1" applyProtection="1"/>
    <xf numFmtId="0" fontId="71" fillId="0" borderId="0" xfId="174" applyFont="1" applyFill="1" applyProtection="1"/>
    <xf numFmtId="0" fontId="68" fillId="0" borderId="0" xfId="174" applyFont="1" applyProtection="1"/>
    <xf numFmtId="0" fontId="73" fillId="0" borderId="0" xfId="174" applyFont="1" applyFill="1" applyProtection="1"/>
    <xf numFmtId="0" fontId="74" fillId="32" borderId="0" xfId="171" applyFont="1" applyFill="1" applyProtection="1"/>
    <xf numFmtId="0" fontId="75" fillId="32" borderId="0" xfId="0" applyFont="1" applyFill="1" applyProtection="1"/>
    <xf numFmtId="0" fontId="75" fillId="32" borderId="11" xfId="0" applyFont="1" applyFill="1" applyBorder="1" applyAlignment="1" applyProtection="1">
      <alignment vertical="top"/>
    </xf>
    <xf numFmtId="0" fontId="76" fillId="32" borderId="32" xfId="0" applyFont="1" applyFill="1" applyBorder="1" applyAlignment="1" applyProtection="1">
      <alignment horizontal="left" vertical="top"/>
    </xf>
    <xf numFmtId="0" fontId="75" fillId="32" borderId="32" xfId="0" applyFont="1" applyFill="1" applyBorder="1" applyAlignment="1" applyProtection="1">
      <alignment vertical="top"/>
    </xf>
    <xf numFmtId="0" fontId="76" fillId="32" borderId="32" xfId="0" applyFont="1" applyFill="1" applyBorder="1" applyAlignment="1" applyProtection="1">
      <alignment horizontal="center" vertical="top" wrapText="1"/>
    </xf>
    <xf numFmtId="0" fontId="76" fillId="32" borderId="0" xfId="0" applyFont="1" applyFill="1" applyBorder="1" applyAlignment="1" applyProtection="1">
      <alignment horizontal="center" vertical="top" wrapText="1"/>
    </xf>
    <xf numFmtId="0" fontId="75" fillId="32" borderId="0" xfId="0" applyFont="1" applyFill="1" applyBorder="1" applyAlignment="1" applyProtection="1">
      <alignment vertical="top"/>
    </xf>
    <xf numFmtId="0" fontId="2" fillId="32" borderId="0" xfId="171" applyFont="1" applyFill="1" applyAlignment="1" applyProtection="1"/>
    <xf numFmtId="164" fontId="2" fillId="32" borderId="11" xfId="192" applyNumberFormat="1" applyFont="1" applyFill="1" applyBorder="1" applyAlignment="1" applyProtection="1">
      <alignment vertical="top"/>
      <protection locked="0"/>
    </xf>
    <xf numFmtId="0" fontId="6" fillId="32" borderId="25" xfId="0" applyFont="1" applyFill="1" applyBorder="1" applyProtection="1"/>
    <xf numFmtId="0" fontId="6" fillId="37" borderId="25" xfId="0" applyFont="1" applyFill="1" applyBorder="1" applyProtection="1"/>
    <xf numFmtId="0" fontId="6" fillId="37" borderId="39" xfId="0" applyFont="1" applyFill="1" applyBorder="1" applyAlignment="1" applyProtection="1"/>
    <xf numFmtId="0" fontId="0" fillId="32" borderId="0" xfId="0" applyFont="1" applyFill="1" applyProtection="1"/>
    <xf numFmtId="3" fontId="2" fillId="32" borderId="11" xfId="192" applyNumberFormat="1" applyFont="1" applyFill="1" applyBorder="1" applyAlignment="1" applyProtection="1">
      <alignment vertical="top"/>
      <protection locked="0"/>
    </xf>
    <xf numFmtId="0" fontId="0" fillId="32" borderId="0" xfId="0" applyFill="1" applyAlignment="1" applyProtection="1">
      <alignment horizontal="center" vertical="center"/>
    </xf>
    <xf numFmtId="164" fontId="5" fillId="31" borderId="13" xfId="192" applyNumberFormat="1" applyFont="1" applyFill="1" applyBorder="1" applyAlignment="1" applyProtection="1">
      <alignment horizontal="right" vertical="center"/>
      <protection locked="0"/>
    </xf>
    <xf numFmtId="164" fontId="2" fillId="0" borderId="40" xfId="174" applyNumberFormat="1" applyFont="1" applyBorder="1" applyAlignment="1" applyProtection="1">
      <alignment vertical="center"/>
    </xf>
    <xf numFmtId="164" fontId="5" fillId="31" borderId="27" xfId="192" applyNumberFormat="1" applyFont="1" applyFill="1" applyBorder="1" applyAlignment="1" applyProtection="1">
      <alignment horizontal="right" vertical="center"/>
    </xf>
    <xf numFmtId="164" fontId="2" fillId="29" borderId="40" xfId="174" applyNumberFormat="1" applyFont="1" applyFill="1" applyBorder="1" applyAlignment="1" applyProtection="1">
      <alignment vertical="center"/>
    </xf>
    <xf numFmtId="0" fontId="2" fillId="32" borderId="14" xfId="174" applyFont="1" applyFill="1" applyBorder="1" applyProtection="1"/>
    <xf numFmtId="0" fontId="2" fillId="0" borderId="84" xfId="174" applyFont="1" applyBorder="1" applyProtection="1"/>
    <xf numFmtId="164" fontId="5" fillId="31" borderId="36" xfId="192" applyNumberFormat="1" applyFont="1" applyFill="1" applyBorder="1" applyAlignment="1" applyProtection="1">
      <alignment horizontal="right" vertical="top"/>
      <protection locked="0"/>
    </xf>
    <xf numFmtId="0" fontId="5" fillId="0" borderId="36" xfId="174" applyFont="1" applyBorder="1" applyProtection="1"/>
    <xf numFmtId="0" fontId="5" fillId="0" borderId="35" xfId="174" applyFont="1" applyBorder="1" applyProtection="1"/>
    <xf numFmtId="0" fontId="5" fillId="0" borderId="85" xfId="174" applyFont="1" applyBorder="1" applyProtection="1"/>
    <xf numFmtId="164" fontId="5" fillId="31" borderId="36" xfId="192" applyNumberFormat="1" applyFont="1" applyFill="1" applyBorder="1" applyAlignment="1" applyProtection="1">
      <alignment horizontal="right" vertical="center"/>
      <protection locked="0"/>
    </xf>
    <xf numFmtId="0" fontId="2" fillId="0" borderId="36" xfId="174" applyFont="1" applyBorder="1" applyProtection="1"/>
    <xf numFmtId="0" fontId="2" fillId="0" borderId="86" xfId="174" applyFont="1" applyBorder="1" applyProtection="1"/>
    <xf numFmtId="0" fontId="2" fillId="0" borderId="87" xfId="174" applyFont="1" applyBorder="1" applyProtection="1"/>
    <xf numFmtId="0" fontId="2" fillId="0" borderId="13" xfId="174" applyFont="1" applyBorder="1" applyProtection="1"/>
    <xf numFmtId="0" fontId="2" fillId="0" borderId="88" xfId="174" applyFont="1" applyBorder="1" applyProtection="1"/>
    <xf numFmtId="0" fontId="2" fillId="29" borderId="84" xfId="174" applyFont="1" applyFill="1" applyBorder="1" applyProtection="1"/>
    <xf numFmtId="164" fontId="5" fillId="31" borderId="36" xfId="192" applyNumberFormat="1" applyFont="1" applyFill="1" applyBorder="1" applyAlignment="1" applyProtection="1">
      <alignment horizontal="right" vertical="top"/>
    </xf>
    <xf numFmtId="0" fontId="2" fillId="29" borderId="36" xfId="174" applyFont="1" applyFill="1" applyBorder="1" applyProtection="1"/>
    <xf numFmtId="0" fontId="2" fillId="29" borderId="35" xfId="174" applyFont="1" applyFill="1" applyBorder="1" applyProtection="1"/>
    <xf numFmtId="0" fontId="2" fillId="29" borderId="85" xfId="174" applyFont="1" applyFill="1" applyBorder="1" applyProtection="1"/>
    <xf numFmtId="164" fontId="5" fillId="31" borderId="36" xfId="192" applyNumberFormat="1" applyFont="1" applyFill="1" applyBorder="1" applyAlignment="1" applyProtection="1">
      <alignment horizontal="right" vertical="center"/>
    </xf>
    <xf numFmtId="0" fontId="2" fillId="29" borderId="86" xfId="174" applyFont="1" applyFill="1" applyBorder="1" applyProtection="1"/>
    <xf numFmtId="0" fontId="2" fillId="29" borderId="87" xfId="174" applyFont="1" applyFill="1" applyBorder="1" applyProtection="1"/>
    <xf numFmtId="0" fontId="2" fillId="29" borderId="13" xfId="174" applyFont="1" applyFill="1" applyBorder="1" applyProtection="1"/>
    <xf numFmtId="0" fontId="2" fillId="29" borderId="62" xfId="174" applyFont="1" applyFill="1" applyBorder="1" applyProtection="1"/>
    <xf numFmtId="0" fontId="2" fillId="29" borderId="64" xfId="174" applyFont="1" applyFill="1" applyBorder="1" applyProtection="1"/>
    <xf numFmtId="0" fontId="2" fillId="29" borderId="88" xfId="174" applyFont="1" applyFill="1" applyBorder="1" applyProtection="1"/>
    <xf numFmtId="0" fontId="77" fillId="0" borderId="0" xfId="0" applyFont="1"/>
    <xf numFmtId="0" fontId="55" fillId="29" borderId="11" xfId="13" applyFont="1" applyFill="1" applyBorder="1" applyAlignment="1" applyProtection="1">
      <alignment horizontal="center" vertical="center"/>
    </xf>
    <xf numFmtId="0" fontId="19" fillId="0" borderId="0" xfId="13" applyAlignment="1" applyProtection="1">
      <alignment horizontal="center" vertical="center"/>
    </xf>
    <xf numFmtId="0" fontId="2" fillId="32" borderId="11" xfId="192" applyNumberFormat="1" applyFont="1" applyFill="1" applyBorder="1" applyAlignment="1" applyProtection="1">
      <alignment horizontal="center" vertical="top"/>
    </xf>
    <xf numFmtId="0" fontId="0" fillId="32" borderId="11" xfId="0" applyFont="1" applyFill="1" applyBorder="1" applyAlignment="1" applyProtection="1">
      <alignment horizontal="center" vertical="top" wrapText="1"/>
    </xf>
    <xf numFmtId="164" fontId="6" fillId="32" borderId="41" xfId="192" applyNumberFormat="1" applyFont="1" applyFill="1" applyBorder="1" applyProtection="1"/>
    <xf numFmtId="0" fontId="54" fillId="32" borderId="34" xfId="174" applyFont="1" applyFill="1" applyBorder="1" applyProtection="1"/>
    <xf numFmtId="0" fontId="6" fillId="32" borderId="47" xfId="174" applyFont="1" applyFill="1" applyBorder="1" applyProtection="1"/>
    <xf numFmtId="10" fontId="2" fillId="31" borderId="73" xfId="121" applyNumberFormat="1" applyFont="1" applyFill="1" applyBorder="1" applyProtection="1"/>
    <xf numFmtId="10" fontId="6" fillId="31" borderId="73" xfId="121" applyNumberFormat="1" applyFont="1" applyFill="1" applyBorder="1" applyProtection="1"/>
    <xf numFmtId="10" fontId="6" fillId="31" borderId="41" xfId="192" applyNumberFormat="1" applyFont="1" applyFill="1" applyBorder="1" applyProtection="1"/>
    <xf numFmtId="164" fontId="2" fillId="31" borderId="41" xfId="192" applyNumberFormat="1" applyFont="1" applyFill="1" applyBorder="1" applyAlignment="1" applyProtection="1">
      <alignment vertical="center"/>
    </xf>
    <xf numFmtId="3" fontId="5" fillId="32" borderId="53" xfId="192" applyNumberFormat="1" applyFont="1" applyFill="1" applyBorder="1" applyAlignment="1" applyProtection="1">
      <alignment horizontal="right" vertical="center"/>
    </xf>
    <xf numFmtId="0" fontId="2" fillId="32" borderId="53" xfId="171" applyFont="1" applyFill="1" applyBorder="1" applyAlignment="1" applyProtection="1">
      <alignment horizontal="right" vertical="center"/>
    </xf>
    <xf numFmtId="0" fontId="2" fillId="32" borderId="41" xfId="171" applyFont="1" applyFill="1" applyBorder="1" applyAlignment="1" applyProtection="1">
      <alignment horizontal="right" vertical="center"/>
    </xf>
    <xf numFmtId="164" fontId="2" fillId="29" borderId="41" xfId="192" applyNumberFormat="1" applyFont="1" applyFill="1" applyBorder="1" applyAlignment="1" applyProtection="1">
      <alignment vertical="center"/>
    </xf>
    <xf numFmtId="10" fontId="2" fillId="31" borderId="73" xfId="192" applyNumberFormat="1" applyFont="1" applyFill="1" applyBorder="1" applyAlignment="1" applyProtection="1">
      <alignment vertical="center"/>
    </xf>
    <xf numFmtId="10" fontId="5" fillId="32" borderId="89" xfId="121" applyNumberFormat="1" applyFont="1" applyFill="1" applyBorder="1" applyAlignment="1" applyProtection="1">
      <alignment horizontal="right" vertical="center"/>
    </xf>
    <xf numFmtId="10" fontId="2" fillId="32" borderId="89" xfId="121" applyNumberFormat="1" applyFont="1" applyFill="1" applyBorder="1" applyAlignment="1" applyProtection="1">
      <alignment horizontal="right" vertical="center"/>
    </xf>
    <xf numFmtId="10" fontId="2" fillId="29" borderId="89" xfId="121" applyNumberFormat="1" applyFont="1" applyFill="1" applyBorder="1" applyAlignment="1" applyProtection="1">
      <alignment horizontal="right" vertical="center"/>
    </xf>
    <xf numFmtId="10" fontId="6" fillId="31" borderId="73" xfId="192" applyNumberFormat="1" applyFont="1" applyFill="1" applyBorder="1" applyAlignment="1" applyProtection="1">
      <alignment vertical="center"/>
    </xf>
    <xf numFmtId="164" fontId="6" fillId="38" borderId="41" xfId="192" applyNumberFormat="1" applyFont="1" applyFill="1" applyBorder="1" applyProtection="1"/>
    <xf numFmtId="10" fontId="6" fillId="38" borderId="73" xfId="121" applyNumberFormat="1" applyFont="1" applyFill="1" applyBorder="1" applyProtection="1"/>
    <xf numFmtId="164" fontId="6" fillId="35" borderId="43" xfId="192" applyNumberFormat="1" applyFont="1" applyFill="1" applyBorder="1" applyProtection="1"/>
    <xf numFmtId="164" fontId="6" fillId="35" borderId="72" xfId="192" applyNumberFormat="1" applyFont="1" applyFill="1" applyBorder="1" applyProtection="1"/>
    <xf numFmtId="164" fontId="5" fillId="32" borderId="11" xfId="0" quotePrefix="1" applyNumberFormat="1" applyFont="1" applyFill="1" applyBorder="1" applyAlignment="1" applyProtection="1">
      <alignment vertical="top"/>
    </xf>
    <xf numFmtId="164" fontId="2" fillId="32" borderId="11" xfId="192" applyNumberFormat="1" applyFont="1" applyFill="1" applyBorder="1" applyAlignment="1" applyProtection="1">
      <alignment vertical="top"/>
    </xf>
    <xf numFmtId="1" fontId="2" fillId="0" borderId="26" xfId="30" applyNumberFormat="1" applyBorder="1" applyAlignment="1" applyProtection="1">
      <alignment horizontal="center"/>
    </xf>
    <xf numFmtId="4" fontId="2" fillId="31" borderId="25" xfId="192" applyNumberFormat="1" applyFont="1" applyFill="1" applyBorder="1" applyProtection="1"/>
    <xf numFmtId="0" fontId="6" fillId="32" borderId="39" xfId="30" applyFont="1" applyFill="1" applyBorder="1" applyAlignment="1" applyProtection="1">
      <alignment horizontal="center"/>
    </xf>
    <xf numFmtId="4" fontId="2" fillId="36" borderId="26" xfId="192" applyNumberFormat="1" applyFont="1" applyFill="1" applyBorder="1" applyProtection="1"/>
    <xf numFmtId="0" fontId="6" fillId="32" borderId="60" xfId="30" applyFont="1" applyFill="1" applyBorder="1" applyAlignment="1" applyProtection="1">
      <alignment horizontal="center"/>
    </xf>
    <xf numFmtId="0" fontId="6" fillId="32" borderId="90" xfId="30" applyFont="1" applyFill="1" applyBorder="1" applyAlignment="1" applyProtection="1">
      <alignment horizontal="center"/>
    </xf>
    <xf numFmtId="1" fontId="2" fillId="32" borderId="11" xfId="30" applyNumberFormat="1" applyFill="1" applyBorder="1" applyAlignment="1" applyProtection="1">
      <alignment horizontal="center"/>
    </xf>
    <xf numFmtId="0" fontId="6" fillId="32" borderId="11" xfId="0" applyFont="1" applyFill="1" applyBorder="1" applyAlignment="1" applyProtection="1">
      <alignment horizontal="center" vertical="center" wrapText="1"/>
    </xf>
    <xf numFmtId="0" fontId="6" fillId="32" borderId="11" xfId="0" applyFont="1" applyFill="1" applyBorder="1" applyAlignment="1" applyProtection="1">
      <alignment horizontal="left" vertical="top" wrapText="1"/>
    </xf>
    <xf numFmtId="4" fontId="2" fillId="31" borderId="11" xfId="192" applyNumberFormat="1" applyFont="1" applyFill="1" applyBorder="1" applyAlignment="1" applyProtection="1">
      <alignment vertical="top"/>
      <protection locked="0"/>
    </xf>
    <xf numFmtId="4" fontId="0" fillId="32" borderId="0" xfId="0" applyNumberFormat="1" applyFill="1" applyAlignment="1" applyProtection="1">
      <alignment vertical="top"/>
    </xf>
    <xf numFmtId="4" fontId="6" fillId="32" borderId="11" xfId="192" applyNumberFormat="1" applyFont="1" applyFill="1" applyBorder="1" applyAlignment="1" applyProtection="1">
      <alignment vertical="top"/>
      <protection locked="0"/>
    </xf>
    <xf numFmtId="4" fontId="0" fillId="32" borderId="0" xfId="0" applyNumberFormat="1" applyFill="1" applyProtection="1"/>
    <xf numFmtId="0" fontId="6" fillId="32" borderId="11" xfId="0" applyFont="1" applyFill="1" applyBorder="1" applyAlignment="1" applyProtection="1">
      <alignment horizontal="left" vertical="top" wrapText="1"/>
    </xf>
    <xf numFmtId="0" fontId="0" fillId="32" borderId="0" xfId="0" applyFill="1" applyAlignment="1" applyProtection="1">
      <alignment horizontal="center" vertical="center"/>
    </xf>
    <xf numFmtId="164" fontId="2" fillId="32" borderId="11" xfId="192" applyNumberFormat="1" applyFont="1" applyFill="1" applyBorder="1" applyAlignment="1" applyProtection="1">
      <alignment vertical="top"/>
    </xf>
    <xf numFmtId="4" fontId="2" fillId="32" borderId="11" xfId="192" applyNumberFormat="1" applyFont="1" applyFill="1" applyBorder="1" applyAlignment="1" applyProtection="1">
      <alignment vertical="top"/>
      <protection locked="0"/>
    </xf>
    <xf numFmtId="0" fontId="0" fillId="32" borderId="0" xfId="0" applyFill="1" applyAlignment="1" applyProtection="1">
      <alignment vertical="center"/>
    </xf>
    <xf numFmtId="4" fontId="6" fillId="32" borderId="11" xfId="192" applyNumberFormat="1" applyFont="1" applyFill="1" applyBorder="1" applyAlignment="1" applyProtection="1">
      <alignment horizontal="center" vertical="center"/>
      <protection locked="0"/>
    </xf>
    <xf numFmtId="4" fontId="2" fillId="32" borderId="11" xfId="192" applyNumberFormat="1" applyFont="1" applyFill="1" applyBorder="1" applyAlignment="1" applyProtection="1">
      <alignment horizontal="right" vertical="top"/>
      <protection locked="0"/>
    </xf>
    <xf numFmtId="0" fontId="0" fillId="32" borderId="11" xfId="0" applyFill="1" applyBorder="1" applyAlignment="1" applyProtection="1">
      <alignment vertical="center"/>
    </xf>
    <xf numFmtId="4" fontId="2" fillId="31" borderId="11" xfId="192" applyNumberFormat="1" applyFont="1" applyFill="1" applyBorder="1" applyAlignment="1" applyProtection="1">
      <alignment vertical="center"/>
      <protection locked="0"/>
    </xf>
    <xf numFmtId="4" fontId="6" fillId="32" borderId="11" xfId="0" applyNumberFormat="1" applyFont="1" applyFill="1" applyBorder="1" applyAlignment="1" applyProtection="1">
      <alignment horizontal="right" vertical="center"/>
    </xf>
    <xf numFmtId="0" fontId="5" fillId="32" borderId="0" xfId="0" applyFont="1" applyFill="1" applyBorder="1" applyAlignment="1" applyProtection="1">
      <alignment vertical="top"/>
    </xf>
    <xf numFmtId="4" fontId="5" fillId="32" borderId="0" xfId="0" applyNumberFormat="1" applyFont="1" applyFill="1" applyBorder="1" applyAlignment="1" applyProtection="1">
      <alignment vertical="top"/>
    </xf>
    <xf numFmtId="4" fontId="5" fillId="32" borderId="0" xfId="0" applyNumberFormat="1" applyFont="1" applyFill="1" applyAlignment="1" applyProtection="1">
      <alignment vertical="top"/>
    </xf>
    <xf numFmtId="4" fontId="5" fillId="32" borderId="0" xfId="0" applyNumberFormat="1" applyFont="1" applyFill="1" applyProtection="1"/>
    <xf numFmtId="0" fontId="6" fillId="39" borderId="11" xfId="0" applyFont="1" applyFill="1" applyBorder="1" applyAlignment="1" applyProtection="1">
      <alignment vertical="center"/>
    </xf>
    <xf numFmtId="4" fontId="6" fillId="39" borderId="11" xfId="0" applyNumberFormat="1" applyFont="1" applyFill="1" applyBorder="1" applyAlignment="1" applyProtection="1">
      <alignment horizontal="center" vertical="center"/>
    </xf>
    <xf numFmtId="0" fontId="5" fillId="39" borderId="11" xfId="0" applyFont="1" applyFill="1" applyBorder="1" applyAlignment="1" applyProtection="1">
      <alignment vertical="top"/>
    </xf>
    <xf numFmtId="4" fontId="5" fillId="39" borderId="11" xfId="192" applyNumberFormat="1" applyFont="1" applyFill="1" applyBorder="1" applyAlignment="1" applyProtection="1">
      <alignment vertical="top"/>
      <protection locked="0"/>
    </xf>
    <xf numFmtId="0" fontId="6" fillId="39" borderId="11" xfId="0" applyFont="1" applyFill="1" applyBorder="1" applyAlignment="1" applyProtection="1">
      <alignment horizontal="center" vertical="center"/>
    </xf>
    <xf numFmtId="0" fontId="20" fillId="39" borderId="11" xfId="0" applyFont="1" applyFill="1" applyBorder="1" applyAlignment="1" applyProtection="1">
      <alignment vertical="center"/>
    </xf>
    <xf numFmtId="4" fontId="20" fillId="39" borderId="11" xfId="0" applyNumberFormat="1" applyFont="1" applyFill="1" applyBorder="1" applyAlignment="1" applyProtection="1">
      <alignment vertical="center"/>
    </xf>
    <xf numFmtId="0" fontId="5" fillId="32" borderId="11" xfId="0" applyFont="1" applyFill="1" applyBorder="1" applyAlignment="1" applyProtection="1">
      <alignment horizontal="left" vertical="center" wrapText="1" indent="2"/>
    </xf>
    <xf numFmtId="0" fontId="55" fillId="32" borderId="11" xfId="13" applyFont="1" applyFill="1" applyBorder="1" applyAlignment="1" applyProtection="1">
      <alignment horizontal="center" vertical="center"/>
    </xf>
    <xf numFmtId="0" fontId="0" fillId="32" borderId="0" xfId="0" applyFont="1" applyFill="1" applyAlignment="1" applyProtection="1">
      <alignment vertical="top" wrapText="1"/>
    </xf>
    <xf numFmtId="0" fontId="0" fillId="29" borderId="29" xfId="0" applyFont="1" applyFill="1" applyBorder="1" applyAlignment="1" applyProtection="1">
      <alignment vertical="top" wrapText="1"/>
    </xf>
    <xf numFmtId="0" fontId="0" fillId="32" borderId="30" xfId="0" applyFont="1" applyFill="1" applyBorder="1" applyAlignment="1" applyProtection="1">
      <alignment vertical="top" wrapText="1"/>
    </xf>
    <xf numFmtId="0" fontId="0" fillId="32" borderId="29" xfId="0" applyFont="1" applyFill="1" applyBorder="1" applyAlignment="1" applyProtection="1">
      <alignment vertical="top" wrapText="1"/>
    </xf>
    <xf numFmtId="0" fontId="0" fillId="32" borderId="33" xfId="0" applyFont="1" applyFill="1" applyBorder="1" applyAlignment="1" applyProtection="1">
      <alignment vertical="top" wrapText="1"/>
    </xf>
    <xf numFmtId="0" fontId="0" fillId="32" borderId="27" xfId="0" applyFont="1" applyFill="1" applyBorder="1" applyAlignment="1" applyProtection="1">
      <alignment vertical="top" wrapText="1"/>
    </xf>
    <xf numFmtId="0" fontId="0" fillId="32" borderId="0" xfId="0" applyFont="1" applyFill="1" applyAlignment="1" applyProtection="1">
      <alignment horizontal="center" vertical="top"/>
    </xf>
    <xf numFmtId="0" fontId="0" fillId="32" borderId="27" xfId="0" applyFont="1" applyFill="1" applyBorder="1" applyAlignment="1" applyProtection="1">
      <alignment horizontal="center" vertical="top"/>
    </xf>
    <xf numFmtId="0" fontId="0" fillId="32" borderId="28" xfId="0" applyFont="1" applyFill="1" applyBorder="1" applyAlignment="1" applyProtection="1">
      <alignment vertical="top"/>
    </xf>
    <xf numFmtId="44" fontId="2" fillId="32" borderId="29" xfId="192" applyFont="1" applyFill="1" applyBorder="1" applyAlignment="1" applyProtection="1">
      <alignment vertical="top"/>
    </xf>
    <xf numFmtId="0" fontId="0" fillId="32" borderId="0" xfId="0" applyFont="1" applyFill="1" applyBorder="1" applyAlignment="1" applyProtection="1">
      <alignment vertical="top"/>
    </xf>
    <xf numFmtId="164" fontId="2" fillId="32" borderId="0" xfId="192" applyNumberFormat="1" applyFont="1" applyFill="1" applyBorder="1" applyAlignment="1" applyProtection="1">
      <alignment vertical="top"/>
    </xf>
    <xf numFmtId="164" fontId="2" fillId="31" borderId="11" xfId="192" applyNumberFormat="1" applyFont="1" applyFill="1" applyBorder="1" applyAlignment="1" applyProtection="1">
      <alignment vertical="top"/>
    </xf>
    <xf numFmtId="164" fontId="2" fillId="32" borderId="30" xfId="192" applyNumberFormat="1" applyFont="1" applyFill="1" applyBorder="1" applyAlignment="1" applyProtection="1">
      <alignment vertical="top"/>
    </xf>
    <xf numFmtId="164" fontId="0" fillId="29" borderId="11" xfId="192" applyNumberFormat="1" applyFont="1" applyFill="1" applyBorder="1" applyAlignment="1" applyProtection="1">
      <alignment vertical="top"/>
    </xf>
    <xf numFmtId="164" fontId="2" fillId="32" borderId="29" xfId="192" applyNumberFormat="1" applyFont="1" applyFill="1" applyBorder="1" applyAlignment="1" applyProtection="1">
      <alignment vertical="top"/>
    </xf>
    <xf numFmtId="44" fontId="2" fillId="32" borderId="0" xfId="192" applyFont="1" applyFill="1" applyBorder="1" applyAlignment="1" applyProtection="1">
      <alignment vertical="top"/>
    </xf>
    <xf numFmtId="0" fontId="0" fillId="32" borderId="0" xfId="0" applyFont="1" applyFill="1" applyBorder="1" applyAlignment="1" applyProtection="1">
      <alignment horizontal="center" vertical="top"/>
    </xf>
    <xf numFmtId="44" fontId="0" fillId="32" borderId="0" xfId="0" applyNumberFormat="1" applyFont="1" applyFill="1" applyBorder="1" applyAlignment="1" applyProtection="1">
      <alignment vertical="top"/>
    </xf>
    <xf numFmtId="4" fontId="2" fillId="31" borderId="11" xfId="192" applyNumberFormat="1" applyFont="1" applyFill="1" applyBorder="1" applyAlignment="1" applyProtection="1">
      <alignment vertical="top"/>
    </xf>
    <xf numFmtId="10" fontId="5" fillId="34" borderId="11" xfId="121" applyNumberFormat="1" applyFont="1" applyFill="1" applyBorder="1" applyAlignment="1" applyProtection="1">
      <alignment horizontal="right" vertical="top"/>
    </xf>
    <xf numFmtId="0" fontId="6" fillId="32" borderId="11" xfId="30" applyFont="1" applyFill="1" applyBorder="1" applyAlignment="1" applyProtection="1">
      <alignment horizontal="center" vertical="center"/>
    </xf>
    <xf numFmtId="1" fontId="2" fillId="0" borderId="37" xfId="30" applyNumberFormat="1" applyBorder="1" applyAlignment="1" applyProtection="1">
      <alignment horizontal="center"/>
    </xf>
    <xf numFmtId="0" fontId="28" fillId="0" borderId="29" xfId="30" applyFont="1" applyBorder="1" applyAlignment="1" applyProtection="1">
      <alignment horizontal="center"/>
    </xf>
    <xf numFmtId="4" fontId="2" fillId="31" borderId="81" xfId="192" applyNumberFormat="1" applyFont="1" applyFill="1" applyBorder="1" applyProtection="1"/>
    <xf numFmtId="4" fontId="2" fillId="32" borderId="91" xfId="30" applyNumberFormat="1" applyFont="1" applyFill="1" applyBorder="1" applyProtection="1"/>
    <xf numFmtId="4" fontId="2" fillId="31" borderId="60" xfId="192" applyNumberFormat="1" applyFont="1" applyFill="1" applyBorder="1" applyProtection="1"/>
    <xf numFmtId="4" fontId="64" fillId="32" borderId="11" xfId="30" applyNumberFormat="1" applyFont="1" applyFill="1" applyBorder="1" applyProtection="1"/>
    <xf numFmtId="4" fontId="2" fillId="32" borderId="91" xfId="30" applyNumberFormat="1" applyFill="1" applyBorder="1" applyProtection="1"/>
    <xf numFmtId="0" fontId="0" fillId="32" borderId="37" xfId="0" applyFont="1" applyFill="1" applyBorder="1" applyAlignment="1" applyProtection="1">
      <alignment horizontal="left" vertical="top" wrapText="1"/>
    </xf>
    <xf numFmtId="0" fontId="0" fillId="32" borderId="26" xfId="0" applyFont="1" applyFill="1" applyBorder="1" applyAlignment="1" applyProtection="1">
      <alignment horizontal="left" vertical="top" wrapText="1"/>
    </xf>
    <xf numFmtId="0" fontId="0" fillId="32" borderId="0" xfId="0" applyFill="1" applyAlignment="1" applyProtection="1">
      <alignment horizontal="left" vertical="center"/>
    </xf>
    <xf numFmtId="4" fontId="6" fillId="32" borderId="11" xfId="192" applyNumberFormat="1" applyFont="1" applyFill="1" applyBorder="1" applyAlignment="1" applyProtection="1">
      <alignment horizontal="right" vertical="center"/>
    </xf>
    <xf numFmtId="4" fontId="2" fillId="31" borderId="11" xfId="192" applyNumberFormat="1" applyFont="1" applyFill="1" applyBorder="1" applyAlignment="1" applyProtection="1">
      <alignment vertical="center"/>
    </xf>
    <xf numFmtId="4" fontId="5" fillId="32" borderId="11" xfId="192" applyNumberFormat="1" applyFont="1" applyFill="1" applyBorder="1" applyAlignment="1" applyProtection="1">
      <alignment vertical="center"/>
    </xf>
    <xf numFmtId="0" fontId="2" fillId="32" borderId="0" xfId="30" applyFill="1" applyAlignment="1" applyProtection="1">
      <alignment vertical="center"/>
    </xf>
    <xf numFmtId="0" fontId="2" fillId="0" borderId="0" xfId="30" applyAlignment="1" applyProtection="1">
      <alignment vertical="center"/>
    </xf>
    <xf numFmtId="4" fontId="5" fillId="32" borderId="0" xfId="0" applyNumberFormat="1" applyFont="1" applyFill="1" applyBorder="1" applyAlignment="1" applyProtection="1">
      <alignment horizontal="right" vertical="top"/>
    </xf>
    <xf numFmtId="4" fontId="20" fillId="39" borderId="11" xfId="0" applyNumberFormat="1" applyFont="1" applyFill="1" applyBorder="1" applyAlignment="1" applyProtection="1">
      <alignment horizontal="right" vertical="center"/>
    </xf>
    <xf numFmtId="0" fontId="19" fillId="32" borderId="11" xfId="13" applyNumberFormat="1" applyFill="1" applyBorder="1" applyAlignment="1" applyProtection="1">
      <alignment horizontal="center" vertical="top"/>
    </xf>
    <xf numFmtId="164" fontId="5" fillId="31" borderId="11" xfId="192" applyNumberFormat="1" applyFont="1" applyFill="1" applyBorder="1" applyAlignment="1" applyProtection="1">
      <alignment vertical="top"/>
      <protection locked="0"/>
    </xf>
    <xf numFmtId="0" fontId="5" fillId="32" borderId="11" xfId="192" quotePrefix="1" applyNumberFormat="1" applyFont="1" applyFill="1" applyBorder="1" applyAlignment="1" applyProtection="1">
      <alignment horizontal="center" vertical="top"/>
    </xf>
    <xf numFmtId="0" fontId="5" fillId="32" borderId="0" xfId="0" applyFont="1" applyFill="1" applyBorder="1" applyAlignment="1" applyProtection="1">
      <alignment horizontal="right" vertical="top"/>
    </xf>
    <xf numFmtId="0" fontId="0" fillId="32" borderId="0" xfId="0" applyFill="1" applyAlignment="1" applyProtection="1">
      <alignment horizontal="center" vertical="center"/>
    </xf>
    <xf numFmtId="0" fontId="0" fillId="32" borderId="11" xfId="0" applyFill="1" applyBorder="1" applyAlignment="1">
      <alignment horizontal="center" vertical="center"/>
    </xf>
    <xf numFmtId="0" fontId="5" fillId="32" borderId="11" xfId="0" applyFont="1" applyFill="1" applyBorder="1" applyAlignment="1" applyProtection="1">
      <alignment horizontal="left" vertical="top" wrapText="1" indent="5"/>
    </xf>
    <xf numFmtId="0" fontId="2" fillId="32" borderId="11" xfId="0" applyFont="1" applyFill="1" applyBorder="1" applyAlignment="1" applyProtection="1">
      <alignment vertical="top" wrapText="1"/>
    </xf>
    <xf numFmtId="0" fontId="5" fillId="32" borderId="33" xfId="0" applyFont="1" applyFill="1" applyBorder="1" applyAlignment="1" applyProtection="1">
      <alignment horizontal="left" vertical="top" wrapText="1" indent="2"/>
    </xf>
    <xf numFmtId="0" fontId="2" fillId="32" borderId="33" xfId="0" applyFont="1" applyFill="1" applyBorder="1" applyAlignment="1" applyProtection="1">
      <alignment vertical="top" wrapText="1"/>
    </xf>
    <xf numFmtId="0" fontId="0" fillId="32" borderId="11" xfId="0" applyFont="1" applyFill="1" applyBorder="1" applyAlignment="1" applyProtection="1">
      <alignment vertical="center" wrapText="1"/>
    </xf>
    <xf numFmtId="164" fontId="5" fillId="31" borderId="11" xfId="192" applyNumberFormat="1" applyFont="1" applyFill="1" applyBorder="1" applyAlignment="1" applyProtection="1">
      <alignment horizontal="right" vertical="center"/>
    </xf>
    <xf numFmtId="0" fontId="0" fillId="34" borderId="11" xfId="0" applyFill="1" applyBorder="1" applyAlignment="1" applyProtection="1">
      <alignment horizontal="right" vertical="center"/>
    </xf>
    <xf numFmtId="10" fontId="5" fillId="32" borderId="11" xfId="121" applyNumberFormat="1" applyFont="1" applyFill="1" applyBorder="1" applyAlignment="1" applyProtection="1">
      <alignment horizontal="right" vertical="center"/>
    </xf>
    <xf numFmtId="10" fontId="2" fillId="34" borderId="11" xfId="121" applyNumberFormat="1" applyFont="1" applyFill="1" applyBorder="1" applyAlignment="1" applyProtection="1">
      <alignment horizontal="right" vertical="center"/>
    </xf>
    <xf numFmtId="164" fontId="0" fillId="32" borderId="11" xfId="0" applyNumberFormat="1" applyFill="1" applyBorder="1" applyAlignment="1" applyProtection="1">
      <alignment horizontal="right" vertical="center"/>
    </xf>
    <xf numFmtId="0" fontId="0" fillId="32" borderId="11" xfId="0" applyFont="1" applyFill="1" applyBorder="1" applyAlignment="1" applyProtection="1">
      <alignment vertical="center"/>
    </xf>
    <xf numFmtId="0" fontId="6" fillId="32" borderId="34" xfId="174" applyFont="1" applyFill="1" applyBorder="1" applyAlignment="1" applyProtection="1">
      <alignment vertical="center"/>
    </xf>
    <xf numFmtId="0" fontId="6" fillId="32" borderId="39" xfId="174" applyFont="1" applyFill="1" applyBorder="1" applyAlignment="1" applyProtection="1">
      <alignment vertical="center"/>
    </xf>
    <xf numFmtId="164" fontId="6" fillId="0" borderId="88" xfId="174" applyNumberFormat="1" applyFont="1" applyBorder="1" applyAlignment="1" applyProtection="1">
      <alignment vertical="center"/>
    </xf>
    <xf numFmtId="164" fontId="6" fillId="0" borderId="86" xfId="174" applyNumberFormat="1" applyFont="1" applyBorder="1" applyAlignment="1" applyProtection="1">
      <alignment vertical="center"/>
    </xf>
    <xf numFmtId="164" fontId="6" fillId="0" borderId="52" xfId="174" applyNumberFormat="1" applyFont="1" applyBorder="1" applyAlignment="1" applyProtection="1">
      <alignment vertical="center"/>
    </xf>
    <xf numFmtId="164" fontId="6" fillId="29" borderId="88" xfId="174" applyNumberFormat="1" applyFont="1" applyFill="1" applyBorder="1" applyAlignment="1" applyProtection="1">
      <alignment vertical="center"/>
    </xf>
    <xf numFmtId="164" fontId="6" fillId="29" borderId="86" xfId="174" applyNumberFormat="1" applyFont="1" applyFill="1" applyBorder="1" applyAlignment="1" applyProtection="1">
      <alignment vertical="center"/>
    </xf>
    <xf numFmtId="164" fontId="6" fillId="29" borderId="52" xfId="174" applyNumberFormat="1" applyFont="1" applyFill="1" applyBorder="1" applyAlignment="1" applyProtection="1">
      <alignment vertical="center"/>
    </xf>
    <xf numFmtId="164" fontId="6" fillId="32" borderId="0" xfId="174" applyNumberFormat="1" applyFont="1" applyFill="1" applyAlignment="1" applyProtection="1">
      <alignment vertical="center"/>
    </xf>
    <xf numFmtId="0" fontId="2" fillId="0" borderId="0" xfId="174" applyFont="1" applyAlignment="1" applyProtection="1">
      <alignment vertical="center"/>
    </xf>
    <xf numFmtId="0" fontId="6" fillId="0" borderId="0" xfId="174" applyFont="1" applyAlignment="1" applyProtection="1">
      <alignment vertical="center"/>
    </xf>
    <xf numFmtId="0" fontId="20" fillId="32" borderId="11" xfId="0" applyFont="1" applyFill="1" applyBorder="1" applyAlignment="1" applyProtection="1">
      <alignment vertical="center"/>
    </xf>
    <xf numFmtId="164" fontId="20" fillId="32" borderId="11" xfId="192" applyNumberFormat="1" applyFont="1" applyFill="1" applyBorder="1" applyAlignment="1" applyProtection="1">
      <alignment vertical="top"/>
    </xf>
    <xf numFmtId="4" fontId="6" fillId="0" borderId="11" xfId="186" applyNumberFormat="1" applyFont="1" applyBorder="1" applyAlignment="1" applyProtection="1">
      <alignment horizontal="left" vertical="center" wrapText="1"/>
    </xf>
    <xf numFmtId="164" fontId="6" fillId="0" borderId="11" xfId="192" applyNumberFormat="1" applyFont="1" applyFill="1" applyBorder="1" applyAlignment="1" applyProtection="1">
      <alignment vertical="center"/>
    </xf>
    <xf numFmtId="0" fontId="0" fillId="32" borderId="11" xfId="0" applyFill="1" applyBorder="1" applyAlignment="1" applyProtection="1">
      <alignment horizontal="left" vertical="center"/>
    </xf>
    <xf numFmtId="164" fontId="6" fillId="35" borderId="11" xfId="0" applyNumberFormat="1" applyFont="1" applyFill="1" applyBorder="1" applyAlignment="1" applyProtection="1">
      <alignment horizontal="left" vertical="center"/>
    </xf>
    <xf numFmtId="0" fontId="0" fillId="32" borderId="0" xfId="0" applyFont="1" applyFill="1" applyAlignment="1" applyProtection="1">
      <alignment horizontal="left" vertical="center"/>
    </xf>
    <xf numFmtId="164" fontId="6" fillId="32" borderId="11" xfId="0" quotePrefix="1" applyNumberFormat="1" applyFont="1" applyFill="1" applyBorder="1" applyAlignment="1" applyProtection="1">
      <alignment horizontal="right" vertical="center"/>
    </xf>
    <xf numFmtId="164" fontId="5" fillId="31" borderId="11" xfId="192" applyNumberFormat="1" applyFont="1" applyFill="1" applyBorder="1" applyAlignment="1" applyProtection="1">
      <alignment vertical="top"/>
    </xf>
    <xf numFmtId="164" fontId="5" fillId="32" borderId="11" xfId="192" applyNumberFormat="1" applyFont="1" applyFill="1" applyBorder="1" applyAlignment="1" applyProtection="1">
      <alignment vertical="center"/>
    </xf>
    <xf numFmtId="0" fontId="4" fillId="30" borderId="41" xfId="174" applyFont="1" applyFill="1" applyBorder="1" applyAlignment="1" applyProtection="1">
      <alignment vertical="center"/>
    </xf>
    <xf numFmtId="0" fontId="3" fillId="0" borderId="34" xfId="174" applyFont="1" applyFill="1" applyBorder="1" applyProtection="1"/>
    <xf numFmtId="0" fontId="3" fillId="0" borderId="47" xfId="174" applyFont="1" applyFill="1" applyBorder="1" applyProtection="1"/>
    <xf numFmtId="0" fontId="3" fillId="0" borderId="39" xfId="174" applyFont="1" applyFill="1" applyBorder="1" applyAlignment="1" applyProtection="1">
      <alignment horizontal="right"/>
    </xf>
    <xf numFmtId="164" fontId="6" fillId="0" borderId="11" xfId="186" applyNumberFormat="1" applyFont="1" applyBorder="1" applyAlignment="1" applyProtection="1">
      <alignment horizontal="right" vertical="center"/>
    </xf>
    <xf numFmtId="0" fontId="2" fillId="32" borderId="0" xfId="13" applyFont="1" applyFill="1" applyAlignment="1" applyProtection="1">
      <alignment horizontal="left" vertical="top" wrapText="1"/>
    </xf>
    <xf numFmtId="0" fontId="5" fillId="32" borderId="11" xfId="0" applyFont="1" applyFill="1" applyBorder="1" applyAlignment="1" applyProtection="1">
      <alignment horizontal="left" vertical="center" wrapText="1"/>
    </xf>
    <xf numFmtId="0" fontId="19" fillId="32" borderId="11" xfId="13" applyNumberFormat="1" applyFill="1" applyBorder="1" applyAlignment="1" applyProtection="1">
      <alignment horizontal="left" vertical="center"/>
    </xf>
    <xf numFmtId="0" fontId="5" fillId="32" borderId="11" xfId="192" applyNumberFormat="1" applyFont="1" applyFill="1" applyBorder="1" applyAlignment="1" applyProtection="1">
      <alignment horizontal="center" vertical="center"/>
    </xf>
    <xf numFmtId="0" fontId="19" fillId="32" borderId="11" xfId="13" applyNumberFormat="1" applyFill="1" applyBorder="1" applyAlignment="1" applyProtection="1">
      <alignment horizontal="center" vertical="center"/>
    </xf>
    <xf numFmtId="164" fontId="5" fillId="0" borderId="11" xfId="192" applyNumberFormat="1" applyFont="1" applyFill="1" applyBorder="1" applyAlignment="1" applyProtection="1">
      <alignment vertical="center"/>
    </xf>
    <xf numFmtId="0" fontId="2" fillId="32" borderId="11" xfId="192" applyNumberFormat="1" applyFont="1" applyFill="1" applyBorder="1" applyAlignment="1" applyProtection="1">
      <alignment horizontal="center" vertical="center"/>
    </xf>
    <xf numFmtId="164" fontId="2" fillId="31" borderId="11" xfId="192" applyNumberFormat="1" applyFont="1" applyFill="1" applyBorder="1" applyAlignment="1" applyProtection="1">
      <alignment vertical="center"/>
      <protection locked="0"/>
    </xf>
    <xf numFmtId="4" fontId="20" fillId="32" borderId="11" xfId="186" applyNumberFormat="1" applyFont="1" applyFill="1" applyBorder="1" applyAlignment="1" applyProtection="1">
      <alignment horizontal="left" vertical="top" wrapText="1"/>
    </xf>
    <xf numFmtId="0" fontId="2" fillId="32" borderId="11" xfId="186" applyNumberFormat="1" applyFont="1" applyFill="1" applyBorder="1" applyAlignment="1" applyProtection="1">
      <alignment horizontal="center" vertical="top"/>
    </xf>
    <xf numFmtId="164" fontId="2" fillId="32" borderId="11" xfId="192" applyNumberFormat="1" applyFont="1" applyFill="1" applyBorder="1" applyAlignment="1" applyProtection="1">
      <alignment vertical="center"/>
    </xf>
    <xf numFmtId="0" fontId="6" fillId="32" borderId="0" xfId="171" applyFont="1" applyFill="1" applyAlignment="1" applyProtection="1"/>
    <xf numFmtId="0" fontId="16" fillId="32" borderId="0" xfId="186" applyFont="1" applyFill="1" applyProtection="1"/>
    <xf numFmtId="0" fontId="16" fillId="32" borderId="0" xfId="0" applyFont="1" applyFill="1" applyProtection="1"/>
    <xf numFmtId="0" fontId="78" fillId="32" borderId="0" xfId="0" applyFont="1" applyFill="1" applyProtection="1"/>
    <xf numFmtId="0" fontId="0" fillId="32" borderId="0" xfId="0" applyFill="1"/>
    <xf numFmtId="0" fontId="2" fillId="32" borderId="0" xfId="13" applyFont="1" applyFill="1" applyAlignment="1" applyProtection="1">
      <alignment horizontal="left" vertical="top" wrapText="1"/>
    </xf>
    <xf numFmtId="0" fontId="0" fillId="32" borderId="0" xfId="0" applyFill="1" applyAlignment="1"/>
    <xf numFmtId="0" fontId="59" fillId="32" borderId="0" xfId="171" applyFont="1" applyFill="1" applyProtection="1"/>
    <xf numFmtId="0" fontId="18" fillId="32" borderId="0" xfId="171" applyFont="1" applyFill="1" applyAlignment="1" applyProtection="1"/>
    <xf numFmtId="0" fontId="6" fillId="32" borderId="37" xfId="0" applyFont="1" applyFill="1" applyBorder="1" applyAlignment="1" applyProtection="1">
      <alignment horizontal="center" vertical="top"/>
    </xf>
    <xf numFmtId="0" fontId="6" fillId="32" borderId="26" xfId="0" applyFont="1" applyFill="1" applyBorder="1" applyAlignment="1" applyProtection="1">
      <alignment horizontal="center" vertical="top"/>
    </xf>
    <xf numFmtId="0" fontId="6" fillId="32" borderId="11" xfId="0" applyFont="1" applyFill="1" applyBorder="1" applyAlignment="1" applyProtection="1">
      <alignment vertical="center" wrapText="1"/>
    </xf>
    <xf numFmtId="0" fontId="5" fillId="35" borderId="11" xfId="0" applyFont="1" applyFill="1" applyBorder="1" applyAlignment="1" applyProtection="1">
      <alignment horizontal="center" vertical="center" wrapText="1"/>
    </xf>
    <xf numFmtId="164" fontId="6" fillId="32" borderId="11" xfId="192" applyNumberFormat="1" applyFont="1" applyFill="1" applyBorder="1" applyAlignment="1" applyProtection="1">
      <alignment horizontal="right" vertical="center"/>
    </xf>
    <xf numFmtId="0" fontId="0" fillId="32" borderId="11" xfId="0" applyFont="1" applyFill="1" applyBorder="1" applyAlignment="1" applyProtection="1">
      <alignment horizontal="center" vertical="center" wrapText="1"/>
    </xf>
    <xf numFmtId="164" fontId="6" fillId="32" borderId="11" xfId="192" applyNumberFormat="1" applyFont="1" applyFill="1" applyBorder="1" applyAlignment="1" applyProtection="1">
      <alignment vertical="center"/>
    </xf>
    <xf numFmtId="164" fontId="6" fillId="32" borderId="11" xfId="0" quotePrefix="1" applyNumberFormat="1" applyFont="1" applyFill="1" applyBorder="1" applyAlignment="1" applyProtection="1">
      <alignment vertical="center"/>
    </xf>
    <xf numFmtId="0" fontId="55" fillId="29" borderId="0" xfId="13" applyFont="1" applyFill="1" applyBorder="1" applyAlignment="1" applyProtection="1">
      <alignment horizontal="center" vertical="center"/>
    </xf>
    <xf numFmtId="0" fontId="5" fillId="32" borderId="29" xfId="0" applyFont="1" applyFill="1" applyBorder="1" applyAlignment="1" applyProtection="1">
      <alignment horizontal="left" vertical="center" wrapText="1" indent="2"/>
    </xf>
    <xf numFmtId="164" fontId="5" fillId="32" borderId="29" xfId="192" applyNumberFormat="1" applyFont="1" applyFill="1" applyBorder="1" applyAlignment="1" applyProtection="1">
      <alignment vertical="center"/>
    </xf>
    <xf numFmtId="0" fontId="2" fillId="32" borderId="29" xfId="192" applyNumberFormat="1" applyFont="1" applyFill="1" applyBorder="1" applyAlignment="1" applyProtection="1">
      <alignment horizontal="center" vertical="center"/>
    </xf>
    <xf numFmtId="0" fontId="5" fillId="32" borderId="29" xfId="192" applyNumberFormat="1" applyFont="1" applyFill="1" applyBorder="1" applyAlignment="1" applyProtection="1">
      <alignment horizontal="center" vertical="center"/>
    </xf>
    <xf numFmtId="164" fontId="0" fillId="32" borderId="0" xfId="0" applyNumberFormat="1" applyFill="1" applyProtection="1"/>
    <xf numFmtId="10" fontId="6" fillId="32" borderId="73" xfId="121" applyNumberFormat="1" applyFont="1" applyFill="1" applyBorder="1" applyProtection="1"/>
    <xf numFmtId="168" fontId="2" fillId="34" borderId="11" xfId="192" applyNumberFormat="1" applyFont="1" applyFill="1" applyBorder="1" applyAlignment="1" applyProtection="1">
      <alignment vertical="top"/>
    </xf>
    <xf numFmtId="4" fontId="2" fillId="34" borderId="11" xfId="192" applyNumberFormat="1" applyFont="1" applyFill="1" applyBorder="1" applyAlignment="1" applyProtection="1">
      <alignment vertical="top"/>
    </xf>
    <xf numFmtId="168" fontId="2" fillId="32" borderId="11" xfId="192" applyNumberFormat="1" applyFont="1" applyFill="1" applyBorder="1" applyAlignment="1" applyProtection="1">
      <alignment vertical="top"/>
    </xf>
    <xf numFmtId="0" fontId="6" fillId="32" borderId="11" xfId="192" applyNumberFormat="1" applyFont="1" applyFill="1" applyBorder="1" applyAlignment="1" applyProtection="1">
      <alignment horizontal="center" vertical="center"/>
    </xf>
    <xf numFmtId="0" fontId="19" fillId="0" borderId="0" xfId="13" applyAlignment="1" applyProtection="1"/>
    <xf numFmtId="3" fontId="79" fillId="32" borderId="33" xfId="192" applyNumberFormat="1" applyFont="1" applyFill="1" applyBorder="1" applyAlignment="1" applyProtection="1">
      <alignment vertical="top"/>
    </xf>
    <xf numFmtId="3" fontId="5" fillId="32" borderId="33" xfId="192" applyNumberFormat="1" applyFont="1" applyFill="1" applyBorder="1" applyAlignment="1" applyProtection="1">
      <alignment vertical="top"/>
    </xf>
    <xf numFmtId="0" fontId="75" fillId="32" borderId="28" xfId="0" applyFont="1" applyFill="1" applyBorder="1" applyAlignment="1" applyProtection="1">
      <alignment vertical="top"/>
    </xf>
    <xf numFmtId="44" fontId="2" fillId="32" borderId="30" xfId="192" applyFont="1" applyFill="1" applyBorder="1" applyAlignment="1" applyProtection="1">
      <alignment horizontal="center" vertical="center"/>
    </xf>
    <xf numFmtId="0" fontId="55" fillId="29" borderId="28" xfId="13" applyFont="1" applyFill="1" applyBorder="1" applyAlignment="1" applyProtection="1">
      <alignment horizontal="center" vertical="center"/>
    </xf>
    <xf numFmtId="0" fontId="0" fillId="32" borderId="33" xfId="0" applyFont="1" applyFill="1" applyBorder="1" applyAlignment="1" applyProtection="1">
      <alignment horizontal="center" vertical="top" wrapText="1"/>
    </xf>
    <xf numFmtId="3" fontId="19" fillId="32" borderId="33" xfId="13" applyNumberFormat="1" applyFill="1" applyBorder="1" applyAlignment="1" applyProtection="1">
      <alignment horizontal="center" vertical="center"/>
    </xf>
    <xf numFmtId="0" fontId="55" fillId="32" borderId="32" xfId="13" applyFont="1" applyFill="1" applyBorder="1" applyAlignment="1" applyProtection="1">
      <alignment horizontal="center" vertical="center"/>
    </xf>
    <xf numFmtId="0" fontId="0" fillId="32" borderId="28" xfId="0" applyFill="1" applyBorder="1" applyAlignment="1">
      <alignment horizontal="center" vertical="center"/>
    </xf>
    <xf numFmtId="0" fontId="19" fillId="32" borderId="28" xfId="13" applyNumberFormat="1" applyFill="1" applyBorder="1" applyAlignment="1" applyProtection="1">
      <alignment horizontal="center" vertical="top"/>
    </xf>
    <xf numFmtId="0" fontId="55" fillId="32" borderId="28" xfId="13" applyFont="1" applyFill="1" applyBorder="1" applyAlignment="1" applyProtection="1">
      <alignment horizontal="center" vertical="center"/>
    </xf>
    <xf numFmtId="164" fontId="2" fillId="32" borderId="11" xfId="192" applyNumberFormat="1" applyFont="1" applyFill="1" applyBorder="1" applyAlignment="1" applyProtection="1">
      <alignment vertical="center"/>
      <protection locked="0"/>
    </xf>
    <xf numFmtId="164" fontId="5" fillId="32" borderId="11" xfId="192" applyNumberFormat="1" applyFont="1" applyFill="1" applyBorder="1" applyAlignment="1" applyProtection="1">
      <alignment horizontal="right" vertical="center"/>
      <protection locked="0"/>
    </xf>
    <xf numFmtId="4" fontId="5" fillId="32" borderId="11" xfId="192" applyNumberFormat="1" applyFont="1" applyFill="1" applyBorder="1" applyAlignment="1" applyProtection="1">
      <alignment vertical="top"/>
      <protection locked="0"/>
    </xf>
    <xf numFmtId="4" fontId="2" fillId="32" borderId="11" xfId="192" applyNumberFormat="1" applyFont="1" applyFill="1" applyBorder="1" applyAlignment="1" applyProtection="1">
      <alignment vertical="center"/>
      <protection locked="0"/>
    </xf>
    <xf numFmtId="4" fontId="20" fillId="32" borderId="11" xfId="0" applyNumberFormat="1" applyFont="1" applyFill="1" applyBorder="1" applyAlignment="1" applyProtection="1">
      <alignment vertical="center"/>
    </xf>
    <xf numFmtId="4" fontId="6" fillId="32" borderId="11" xfId="192" applyNumberFormat="1" applyFont="1" applyFill="1" applyBorder="1" applyAlignment="1" applyProtection="1">
      <alignment vertical="center"/>
      <protection locked="0"/>
    </xf>
    <xf numFmtId="4" fontId="6" fillId="32" borderId="0" xfId="0" applyNumberFormat="1" applyFont="1" applyFill="1" applyAlignment="1" applyProtection="1">
      <alignment vertical="top"/>
    </xf>
    <xf numFmtId="4" fontId="20" fillId="39" borderId="11" xfId="192" applyNumberFormat="1" applyFont="1" applyFill="1" applyBorder="1" applyAlignment="1" applyProtection="1">
      <alignment vertical="top"/>
      <protection locked="0"/>
    </xf>
    <xf numFmtId="4" fontId="6" fillId="32" borderId="0" xfId="0" applyNumberFormat="1" applyFont="1" applyFill="1" applyProtection="1"/>
    <xf numFmtId="0" fontId="68" fillId="32" borderId="0" xfId="0" applyFont="1" applyFill="1" applyBorder="1" applyAlignment="1" applyProtection="1">
      <alignment vertical="top"/>
    </xf>
    <xf numFmtId="0" fontId="68" fillId="32" borderId="0" xfId="0" applyFont="1" applyFill="1" applyAlignment="1" applyProtection="1">
      <alignment vertical="center"/>
    </xf>
    <xf numFmtId="0" fontId="80" fillId="32" borderId="0" xfId="0" applyFont="1" applyFill="1" applyProtection="1"/>
    <xf numFmtId="0" fontId="68" fillId="32" borderId="0" xfId="0" applyFont="1" applyFill="1" applyAlignment="1" applyProtection="1">
      <alignment horizontal="center" vertical="center"/>
    </xf>
    <xf numFmtId="4" fontId="2" fillId="32" borderId="11" xfId="192" applyNumberFormat="1" applyFont="1" applyFill="1" applyBorder="1" applyAlignment="1" applyProtection="1">
      <alignment horizontal="right" vertical="center"/>
      <protection locked="0"/>
    </xf>
    <xf numFmtId="4" fontId="6" fillId="32" borderId="11" xfId="192" applyNumberFormat="1" applyFont="1" applyFill="1" applyBorder="1" applyAlignment="1" applyProtection="1">
      <alignment horizontal="right" vertical="center"/>
      <protection locked="0"/>
    </xf>
    <xf numFmtId="4" fontId="0" fillId="32" borderId="0" xfId="0" applyNumberFormat="1" applyFill="1" applyAlignment="1" applyProtection="1">
      <alignment horizontal="right" vertical="top"/>
    </xf>
    <xf numFmtId="4" fontId="5" fillId="39" borderId="11" xfId="192" applyNumberFormat="1" applyFont="1" applyFill="1" applyBorder="1" applyAlignment="1" applyProtection="1">
      <alignment horizontal="right" vertical="top"/>
      <protection locked="0"/>
    </xf>
    <xf numFmtId="4" fontId="5" fillId="32" borderId="0" xfId="0" applyNumberFormat="1" applyFont="1" applyFill="1" applyAlignment="1" applyProtection="1">
      <alignment horizontal="right"/>
    </xf>
    <xf numFmtId="4" fontId="6" fillId="32" borderId="11" xfId="192" applyNumberFormat="1" applyFont="1" applyFill="1" applyBorder="1" applyAlignment="1" applyProtection="1">
      <alignment horizontal="right" vertical="top"/>
      <protection locked="0"/>
    </xf>
    <xf numFmtId="4" fontId="20" fillId="39" borderId="11" xfId="192" applyNumberFormat="1" applyFont="1" applyFill="1" applyBorder="1" applyAlignment="1" applyProtection="1">
      <alignment horizontal="right" vertical="top"/>
      <protection locked="0"/>
    </xf>
    <xf numFmtId="0" fontId="6" fillId="32" borderId="26" xfId="0" applyFont="1" applyFill="1" applyBorder="1" applyAlignment="1" applyProtection="1">
      <alignment horizontal="center" vertical="center" wrapText="1"/>
    </xf>
    <xf numFmtId="0" fontId="20" fillId="39" borderId="11" xfId="0" applyFont="1" applyFill="1" applyBorder="1" applyAlignment="1" applyProtection="1">
      <alignment horizontal="center" vertical="center"/>
    </xf>
    <xf numFmtId="4" fontId="20" fillId="39" borderId="11" xfId="0" applyNumberFormat="1" applyFont="1" applyFill="1" applyBorder="1" applyAlignment="1" applyProtection="1">
      <alignment horizontal="center" vertical="center"/>
    </xf>
    <xf numFmtId="0" fontId="80" fillId="32" borderId="0" xfId="0" applyFont="1" applyFill="1" applyAlignment="1" applyProtection="1">
      <alignment horizontal="center" vertical="center"/>
    </xf>
    <xf numFmtId="0" fontId="80" fillId="32" borderId="0" xfId="0" applyFont="1" applyFill="1" applyAlignment="1" applyProtection="1">
      <alignment vertical="center"/>
    </xf>
    <xf numFmtId="0" fontId="5" fillId="32" borderId="29" xfId="0" applyFont="1" applyFill="1" applyBorder="1" applyAlignment="1" applyProtection="1">
      <alignment horizontal="center"/>
    </xf>
    <xf numFmtId="0" fontId="5" fillId="32" borderId="26" xfId="0" applyFont="1" applyFill="1" applyBorder="1" applyAlignment="1" applyProtection="1">
      <alignment horizontal="center"/>
    </xf>
    <xf numFmtId="0" fontId="5" fillId="32" borderId="11" xfId="0" applyFont="1" applyFill="1" applyBorder="1" applyProtection="1"/>
    <xf numFmtId="0" fontId="5" fillId="32" borderId="37" xfId="0" applyFont="1" applyFill="1" applyBorder="1" applyAlignment="1" applyProtection="1">
      <alignment horizontal="center"/>
    </xf>
    <xf numFmtId="0" fontId="6" fillId="32" borderId="37" xfId="0" applyFont="1" applyFill="1" applyBorder="1" applyAlignment="1" applyProtection="1">
      <alignment horizontal="center" vertical="top"/>
    </xf>
    <xf numFmtId="0" fontId="6" fillId="32" borderId="26" xfId="0" applyFont="1" applyFill="1" applyBorder="1" applyAlignment="1" applyProtection="1">
      <alignment horizontal="center" vertical="top"/>
    </xf>
    <xf numFmtId="164" fontId="2" fillId="35" borderId="11" xfId="192" applyNumberFormat="1" applyFont="1" applyFill="1" applyBorder="1" applyAlignment="1" applyProtection="1">
      <alignment vertical="top"/>
    </xf>
    <xf numFmtId="0" fontId="5" fillId="30" borderId="62" xfId="174" applyFont="1" applyFill="1" applyBorder="1" applyProtection="1"/>
    <xf numFmtId="0" fontId="5" fillId="30" borderId="35" xfId="174" applyFont="1" applyFill="1" applyBorder="1" applyProtection="1"/>
    <xf numFmtId="0" fontId="2" fillId="30" borderId="63" xfId="174" applyFont="1" applyFill="1" applyBorder="1" applyAlignment="1" applyProtection="1">
      <alignment vertical="top"/>
    </xf>
    <xf numFmtId="0" fontId="2" fillId="30" borderId="62" xfId="174" applyFont="1" applyFill="1" applyBorder="1" applyProtection="1"/>
    <xf numFmtId="0" fontId="2" fillId="30" borderId="35" xfId="174" applyFont="1" applyFill="1" applyBorder="1" applyProtection="1"/>
    <xf numFmtId="0" fontId="2" fillId="30" borderId="63" xfId="174" applyFont="1" applyFill="1" applyBorder="1" applyProtection="1"/>
    <xf numFmtId="0" fontId="5" fillId="30" borderId="13" xfId="174" applyFont="1" applyFill="1" applyBorder="1" applyProtection="1"/>
    <xf numFmtId="0" fontId="5" fillId="30" borderId="36" xfId="174" applyFont="1" applyFill="1" applyBorder="1" applyProtection="1"/>
    <xf numFmtId="0" fontId="2" fillId="30" borderId="40" xfId="174" applyFont="1" applyFill="1" applyBorder="1" applyAlignment="1" applyProtection="1">
      <alignment vertical="top"/>
    </xf>
    <xf numFmtId="0" fontId="2" fillId="30" borderId="13" xfId="174" applyFont="1" applyFill="1" applyBorder="1" applyProtection="1"/>
    <xf numFmtId="0" fontId="2" fillId="30" borderId="36" xfId="174" applyFont="1" applyFill="1" applyBorder="1" applyProtection="1"/>
    <xf numFmtId="0" fontId="2" fillId="30" borderId="40" xfId="174" applyFont="1" applyFill="1" applyBorder="1" applyProtection="1"/>
    <xf numFmtId="0" fontId="5" fillId="30" borderId="64" xfId="174" applyFont="1" applyFill="1" applyBorder="1" applyProtection="1"/>
    <xf numFmtId="0" fontId="5" fillId="30" borderId="85" xfId="174" applyFont="1" applyFill="1" applyBorder="1" applyProtection="1"/>
    <xf numFmtId="0" fontId="2" fillId="30" borderId="65" xfId="174" applyFont="1" applyFill="1" applyBorder="1" applyAlignment="1" applyProtection="1">
      <alignment vertical="top"/>
    </xf>
    <xf numFmtId="0" fontId="2" fillId="30" borderId="64" xfId="174" applyFont="1" applyFill="1" applyBorder="1" applyProtection="1"/>
    <xf numFmtId="0" fontId="2" fillId="30" borderId="85" xfId="174" applyFont="1" applyFill="1" applyBorder="1" applyProtection="1"/>
    <xf numFmtId="0" fontId="2" fillId="30" borderId="65" xfId="174" applyFont="1" applyFill="1" applyBorder="1" applyProtection="1"/>
    <xf numFmtId="164" fontId="5" fillId="35" borderId="13" xfId="192" applyNumberFormat="1" applyFont="1" applyFill="1" applyBorder="1" applyAlignment="1" applyProtection="1">
      <alignment horizontal="right" vertical="top"/>
      <protection locked="0"/>
    </xf>
    <xf numFmtId="164" fontId="5" fillId="35" borderId="36" xfId="192" applyNumberFormat="1" applyFont="1" applyFill="1" applyBorder="1" applyAlignment="1" applyProtection="1">
      <alignment horizontal="right" vertical="top"/>
      <protection locked="0"/>
    </xf>
    <xf numFmtId="164" fontId="2" fillId="35" borderId="40" xfId="174" applyNumberFormat="1" applyFont="1" applyFill="1" applyBorder="1" applyAlignment="1" applyProtection="1">
      <alignment vertical="top"/>
    </xf>
    <xf numFmtId="164" fontId="5" fillId="35" borderId="27" xfId="192" applyNumberFormat="1" applyFont="1" applyFill="1" applyBorder="1" applyAlignment="1" applyProtection="1">
      <alignment horizontal="right" vertical="top"/>
    </xf>
    <xf numFmtId="164" fontId="5" fillId="35" borderId="36" xfId="192" applyNumberFormat="1" applyFont="1" applyFill="1" applyBorder="1" applyAlignment="1" applyProtection="1">
      <alignment horizontal="right" vertical="top"/>
    </xf>
    <xf numFmtId="15" fontId="2" fillId="0" borderId="0" xfId="171" applyNumberFormat="1" applyFont="1" applyFill="1" applyProtection="1"/>
    <xf numFmtId="0" fontId="0" fillId="32" borderId="0" xfId="0" applyFont="1" applyFill="1" applyAlignment="1" applyProtection="1">
      <alignment vertical="center"/>
    </xf>
    <xf numFmtId="4" fontId="2" fillId="31" borderId="11" xfId="192" applyNumberFormat="1" applyFont="1" applyFill="1" applyBorder="1" applyAlignment="1" applyProtection="1">
      <alignment vertical="center"/>
      <protection locked="0"/>
    </xf>
    <xf numFmtId="0" fontId="2" fillId="0" borderId="11" xfId="192" applyNumberFormat="1" applyFont="1" applyFill="1" applyBorder="1" applyAlignment="1" applyProtection="1">
      <alignment vertical="top"/>
      <protection locked="0"/>
    </xf>
    <xf numFmtId="0" fontId="5" fillId="32" borderId="11" xfId="0" applyFont="1" applyFill="1" applyBorder="1" applyAlignment="1" applyProtection="1">
      <alignment vertical="top"/>
    </xf>
    <xf numFmtId="4" fontId="5" fillId="32" borderId="11" xfId="192" applyNumberFormat="1" applyFont="1" applyFill="1" applyBorder="1" applyAlignment="1" applyProtection="1">
      <alignment horizontal="center" vertical="top"/>
      <protection locked="0"/>
    </xf>
    <xf numFmtId="4" fontId="5" fillId="0" borderId="11" xfId="192" applyNumberFormat="1" applyFont="1" applyFill="1" applyBorder="1" applyAlignment="1" applyProtection="1">
      <alignment horizontal="center" vertical="top"/>
      <protection locked="0"/>
    </xf>
    <xf numFmtId="4" fontId="6" fillId="32" borderId="11" xfId="0" applyNumberFormat="1" applyFont="1" applyFill="1" applyBorder="1" applyProtection="1"/>
    <xf numFmtId="4" fontId="6" fillId="32" borderId="11" xfId="0" applyNumberFormat="1" applyFont="1" applyFill="1" applyBorder="1" applyAlignment="1" applyProtection="1">
      <alignment horizontal="center"/>
    </xf>
    <xf numFmtId="4" fontId="6" fillId="0" borderId="11" xfId="0" applyNumberFormat="1" applyFont="1" applyFill="1" applyBorder="1" applyAlignment="1" applyProtection="1">
      <alignment horizontal="center"/>
    </xf>
    <xf numFmtId="0" fontId="4" fillId="34" borderId="0" xfId="0" applyFont="1" applyFill="1" applyProtection="1"/>
    <xf numFmtId="0" fontId="6" fillId="34" borderId="0" xfId="0" applyFont="1" applyFill="1" applyProtection="1"/>
    <xf numFmtId="0" fontId="0" fillId="34" borderId="0" xfId="0" applyFill="1" applyProtection="1"/>
    <xf numFmtId="0" fontId="0" fillId="34" borderId="0" xfId="0" applyFont="1" applyFill="1" applyProtection="1"/>
    <xf numFmtId="4" fontId="5" fillId="32" borderId="11" xfId="0" applyNumberFormat="1" applyFont="1" applyFill="1" applyBorder="1" applyProtection="1"/>
    <xf numFmtId="0" fontId="6" fillId="32" borderId="11" xfId="0" applyFont="1" applyFill="1" applyBorder="1" applyAlignment="1" applyProtection="1">
      <alignment horizontal="left" vertical="top" wrapText="1"/>
    </xf>
    <xf numFmtId="4" fontId="20" fillId="32" borderId="11" xfId="192" applyNumberFormat="1" applyFont="1" applyFill="1" applyBorder="1" applyAlignment="1" applyProtection="1">
      <alignment vertical="top"/>
      <protection locked="0"/>
    </xf>
    <xf numFmtId="4" fontId="2" fillId="32" borderId="11" xfId="192" applyNumberFormat="1" applyFont="1" applyFill="1" applyBorder="1" applyAlignment="1" applyProtection="1">
      <alignment vertical="top"/>
      <protection locked="0"/>
    </xf>
    <xf numFmtId="0" fontId="6" fillId="32" borderId="92" xfId="0" applyFont="1" applyFill="1" applyBorder="1" applyAlignment="1" applyProtection="1">
      <alignment horizontal="left" vertical="top"/>
    </xf>
    <xf numFmtId="0" fontId="6" fillId="32" borderId="35" xfId="0" applyFont="1" applyFill="1" applyBorder="1" applyAlignment="1" applyProtection="1">
      <alignment horizontal="center" vertical="top" wrapText="1"/>
    </xf>
    <xf numFmtId="164" fontId="5" fillId="0" borderId="11" xfId="192" applyNumberFormat="1" applyFont="1" applyFill="1" applyBorder="1" applyAlignment="1" applyProtection="1">
      <alignment horizontal="right" vertical="center"/>
    </xf>
    <xf numFmtId="4" fontId="79" fillId="32" borderId="0" xfId="0" applyNumberFormat="1" applyFont="1" applyFill="1" applyProtection="1"/>
    <xf numFmtId="169" fontId="75" fillId="34" borderId="11" xfId="121" applyNumberFormat="1" applyFont="1" applyFill="1" applyBorder="1" applyAlignment="1" applyProtection="1">
      <alignment vertical="top"/>
    </xf>
    <xf numFmtId="4" fontId="79" fillId="32" borderId="11" xfId="192" applyNumberFormat="1" applyFont="1" applyFill="1" applyBorder="1" applyAlignment="1" applyProtection="1">
      <alignment horizontal="right" vertical="top"/>
    </xf>
    <xf numFmtId="4" fontId="79" fillId="32" borderId="11" xfId="192" applyNumberFormat="1" applyFont="1" applyFill="1" applyBorder="1" applyAlignment="1" applyProtection="1">
      <alignment vertical="top"/>
    </xf>
    <xf numFmtId="4" fontId="75" fillId="31" borderId="11" xfId="192" applyNumberFormat="1" applyFont="1" applyFill="1" applyBorder="1" applyAlignment="1" applyProtection="1">
      <alignment vertical="top"/>
    </xf>
    <xf numFmtId="0" fontId="81" fillId="32" borderId="0" xfId="186" applyFont="1" applyFill="1" applyProtection="1"/>
    <xf numFmtId="0" fontId="82" fillId="32" borderId="0" xfId="30" applyFont="1" applyFill="1" applyProtection="1"/>
    <xf numFmtId="0" fontId="82" fillId="32" borderId="0" xfId="0" applyFont="1" applyFill="1" applyAlignment="1" applyProtection="1">
      <alignment vertical="top"/>
    </xf>
    <xf numFmtId="0" fontId="83" fillId="32" borderId="0" xfId="186" applyFont="1" applyFill="1" applyProtection="1"/>
    <xf numFmtId="0" fontId="68" fillId="32" borderId="0" xfId="0" applyFont="1" applyFill="1" applyAlignment="1" applyProtection="1">
      <alignment horizontal="center" vertical="top"/>
    </xf>
    <xf numFmtId="0" fontId="84" fillId="0" borderId="0" xfId="13" applyFont="1" applyAlignment="1" applyProtection="1"/>
    <xf numFmtId="0" fontId="86" fillId="32" borderId="11" xfId="0" applyFont="1" applyFill="1" applyBorder="1" applyAlignment="1" applyProtection="1">
      <alignment horizontal="center" vertical="center" wrapText="1"/>
    </xf>
    <xf numFmtId="0" fontId="86" fillId="32" borderId="32" xfId="0" applyFont="1" applyFill="1" applyBorder="1" applyAlignment="1" applyProtection="1">
      <alignment horizontal="center" vertical="top" wrapText="1"/>
    </xf>
    <xf numFmtId="0" fontId="86" fillId="32" borderId="0" xfId="0" applyFont="1" applyFill="1" applyBorder="1" applyAlignment="1" applyProtection="1">
      <alignment horizontal="center" vertical="top" wrapText="1"/>
    </xf>
    <xf numFmtId="4" fontId="87" fillId="31" borderId="11" xfId="192" applyNumberFormat="1" applyFont="1" applyFill="1" applyBorder="1" applyAlignment="1" applyProtection="1">
      <alignment vertical="center"/>
      <protection locked="0"/>
    </xf>
    <xf numFmtId="4" fontId="87" fillId="32" borderId="0" xfId="0" applyNumberFormat="1" applyFont="1" applyFill="1" applyAlignment="1" applyProtection="1">
      <alignment vertical="top"/>
    </xf>
    <xf numFmtId="4" fontId="88" fillId="39" borderId="11" xfId="0" applyNumberFormat="1" applyFont="1" applyFill="1" applyBorder="1" applyAlignment="1" applyProtection="1">
      <alignment vertical="center"/>
    </xf>
    <xf numFmtId="4" fontId="86" fillId="32" borderId="11" xfId="192" applyNumberFormat="1" applyFont="1" applyFill="1" applyBorder="1" applyAlignment="1" applyProtection="1">
      <alignment horizontal="center" vertical="center"/>
      <protection locked="0"/>
    </xf>
    <xf numFmtId="4" fontId="87" fillId="31" borderId="11" xfId="192" applyNumberFormat="1" applyFont="1" applyFill="1" applyBorder="1" applyAlignment="1" applyProtection="1">
      <alignment vertical="top"/>
      <protection locked="0"/>
    </xf>
    <xf numFmtId="4" fontId="87" fillId="32" borderId="0" xfId="0" applyNumberFormat="1" applyFont="1" applyFill="1" applyProtection="1"/>
    <xf numFmtId="4" fontId="86" fillId="39" borderId="11" xfId="0" applyNumberFormat="1" applyFont="1" applyFill="1" applyBorder="1" applyAlignment="1" applyProtection="1">
      <alignment horizontal="center" vertical="center"/>
    </xf>
    <xf numFmtId="4" fontId="85" fillId="39" borderId="11" xfId="192" applyNumberFormat="1" applyFont="1" applyFill="1" applyBorder="1" applyAlignment="1" applyProtection="1">
      <alignment vertical="top"/>
      <protection locked="0"/>
    </xf>
    <xf numFmtId="4" fontId="87" fillId="32" borderId="11" xfId="192" applyNumberFormat="1" applyFont="1" applyFill="1" applyBorder="1" applyAlignment="1" applyProtection="1">
      <alignment vertical="top"/>
      <protection locked="0"/>
    </xf>
    <xf numFmtId="0" fontId="87" fillId="32" borderId="0" xfId="0" applyFont="1" applyFill="1" applyProtection="1"/>
    <xf numFmtId="0" fontId="87" fillId="32" borderId="11" xfId="0" applyFont="1" applyFill="1" applyBorder="1" applyAlignment="1" applyProtection="1">
      <alignment vertical="top"/>
    </xf>
    <xf numFmtId="0" fontId="87" fillId="32" borderId="32" xfId="0" applyFont="1" applyFill="1" applyBorder="1" applyAlignment="1" applyProtection="1">
      <alignment vertical="top"/>
    </xf>
    <xf numFmtId="164" fontId="87" fillId="31" borderId="11" xfId="192" applyNumberFormat="1" applyFont="1" applyFill="1" applyBorder="1" applyAlignment="1" applyProtection="1">
      <alignment vertical="top"/>
      <protection locked="0"/>
    </xf>
    <xf numFmtId="0" fontId="87" fillId="32" borderId="0" xfId="0" applyFont="1" applyFill="1" applyAlignment="1" applyProtection="1">
      <alignment vertical="top"/>
    </xf>
    <xf numFmtId="0" fontId="88" fillId="32" borderId="11" xfId="0" applyFont="1" applyFill="1" applyBorder="1" applyAlignment="1" applyProtection="1">
      <alignment vertical="top"/>
    </xf>
    <xf numFmtId="164" fontId="88" fillId="32" borderId="11" xfId="0" applyNumberFormat="1" applyFont="1" applyFill="1" applyBorder="1" applyAlignment="1" applyProtection="1">
      <alignment vertical="top"/>
    </xf>
    <xf numFmtId="9" fontId="87" fillId="32" borderId="11" xfId="121" applyFont="1" applyFill="1" applyBorder="1" applyAlignment="1" applyProtection="1">
      <alignment vertical="top"/>
      <protection locked="0"/>
    </xf>
    <xf numFmtId="9" fontId="87" fillId="32" borderId="0" xfId="121" applyFont="1" applyFill="1" applyProtection="1"/>
    <xf numFmtId="4" fontId="86" fillId="32" borderId="11" xfId="0" applyNumberFormat="1" applyFont="1" applyFill="1" applyBorder="1" applyAlignment="1" applyProtection="1">
      <alignment horizontal="right" vertical="center"/>
    </xf>
    <xf numFmtId="9" fontId="86" fillId="32" borderId="11" xfId="121" applyFont="1" applyFill="1" applyBorder="1" applyAlignment="1" applyProtection="1">
      <alignment horizontal="right" vertical="center"/>
    </xf>
    <xf numFmtId="0" fontId="79" fillId="32" borderId="0" xfId="0" applyFont="1" applyFill="1" applyAlignment="1" applyProtection="1">
      <alignment vertical="top"/>
    </xf>
    <xf numFmtId="164" fontId="2" fillId="31" borderId="11" xfId="192" applyNumberFormat="1" applyFont="1" applyFill="1" applyBorder="1" applyAlignment="1" applyProtection="1">
      <alignment vertical="top"/>
      <protection locked="0"/>
    </xf>
    <xf numFmtId="4" fontId="6" fillId="39" borderId="11" xfId="0" applyNumberFormat="1" applyFont="1" applyFill="1" applyBorder="1" applyAlignment="1" applyProtection="1">
      <alignment horizontal="right" vertical="center"/>
    </xf>
    <xf numFmtId="0" fontId="55" fillId="0" borderId="0" xfId="13" applyFont="1" applyFill="1" applyAlignment="1" applyProtection="1"/>
    <xf numFmtId="0" fontId="55" fillId="0" borderId="0" xfId="13" applyFont="1" applyAlignment="1" applyProtection="1"/>
    <xf numFmtId="0" fontId="20" fillId="32" borderId="31" xfId="0" applyFont="1" applyFill="1" applyBorder="1" applyAlignment="1" applyProtection="1">
      <alignment horizontal="center" vertical="center" wrapText="1"/>
    </xf>
    <xf numFmtId="0" fontId="20" fillId="32" borderId="11" xfId="0" applyFont="1" applyFill="1" applyBorder="1" applyAlignment="1" applyProtection="1">
      <alignment horizontal="center" vertical="center" wrapText="1"/>
    </xf>
    <xf numFmtId="164" fontId="6" fillId="32" borderId="11" xfId="192" applyNumberFormat="1" applyFont="1" applyFill="1" applyBorder="1" applyAlignment="1" applyProtection="1">
      <alignment vertical="top"/>
      <protection locked="0"/>
    </xf>
    <xf numFmtId="4" fontId="0" fillId="32" borderId="0" xfId="0" applyNumberFormat="1" applyFont="1" applyFill="1" applyAlignment="1" applyProtection="1">
      <alignment vertical="top"/>
    </xf>
    <xf numFmtId="4" fontId="0" fillId="32" borderId="0" xfId="0" applyNumberFormat="1" applyFont="1" applyFill="1" applyProtection="1"/>
    <xf numFmtId="0" fontId="59" fillId="32" borderId="0" xfId="0" applyFont="1" applyFill="1" applyProtection="1"/>
    <xf numFmtId="0" fontId="6" fillId="32" borderId="37" xfId="1" applyFont="1" applyFill="1" applyBorder="1" applyAlignment="1" applyProtection="1">
      <alignment horizontal="left"/>
    </xf>
    <xf numFmtId="0" fontId="6" fillId="32" borderId="29" xfId="1" applyFont="1" applyFill="1" applyBorder="1" applyAlignment="1" applyProtection="1">
      <alignment horizontal="left"/>
    </xf>
    <xf numFmtId="0" fontId="6" fillId="32" borderId="26" xfId="1" applyFont="1" applyFill="1" applyBorder="1" applyAlignment="1" applyProtection="1">
      <alignment horizontal="left"/>
    </xf>
    <xf numFmtId="0" fontId="6" fillId="31" borderId="34" xfId="192" applyNumberFormat="1" applyFont="1" applyFill="1" applyBorder="1" applyAlignment="1" applyProtection="1">
      <alignment horizontal="center"/>
      <protection locked="0"/>
    </xf>
    <xf numFmtId="0" fontId="6" fillId="31" borderId="47" xfId="192" applyNumberFormat="1" applyFont="1" applyFill="1" applyBorder="1" applyAlignment="1" applyProtection="1">
      <alignment horizontal="center"/>
      <protection locked="0"/>
    </xf>
    <xf numFmtId="0" fontId="6" fillId="31" borderId="39" xfId="192" applyNumberFormat="1" applyFont="1" applyFill="1" applyBorder="1" applyAlignment="1" applyProtection="1">
      <alignment horizontal="center"/>
      <protection locked="0"/>
    </xf>
    <xf numFmtId="0" fontId="6" fillId="31" borderId="34" xfId="0" applyFont="1" applyFill="1" applyBorder="1" applyAlignment="1" applyProtection="1">
      <alignment horizontal="center"/>
      <protection locked="0"/>
    </xf>
    <xf numFmtId="0" fontId="6" fillId="31" borderId="47" xfId="0" applyFont="1" applyFill="1" applyBorder="1" applyAlignment="1" applyProtection="1">
      <alignment horizontal="center"/>
      <protection locked="0"/>
    </xf>
    <xf numFmtId="0" fontId="6" fillId="31" borderId="39" xfId="0" applyFont="1" applyFill="1" applyBorder="1" applyAlignment="1" applyProtection="1">
      <alignment horizontal="center"/>
      <protection locked="0"/>
    </xf>
    <xf numFmtId="0" fontId="19" fillId="0" borderId="0" xfId="13" applyAlignment="1" applyProtection="1">
      <alignment wrapText="1"/>
    </xf>
    <xf numFmtId="0" fontId="2" fillId="32" borderId="0" xfId="13" applyFont="1" applyFill="1" applyAlignment="1" applyProtection="1">
      <alignment horizontal="left" vertical="top" wrapText="1"/>
    </xf>
    <xf numFmtId="0" fontId="0" fillId="32" borderId="0" xfId="13" applyFont="1" applyFill="1" applyAlignment="1" applyProtection="1">
      <alignment horizontal="left" vertical="top" wrapText="1"/>
    </xf>
    <xf numFmtId="4" fontId="6" fillId="32" borderId="93" xfId="186" applyNumberFormat="1" applyFont="1" applyFill="1" applyBorder="1" applyAlignment="1" applyProtection="1">
      <alignment horizontal="center" vertical="center"/>
    </xf>
    <xf numFmtId="4" fontId="6" fillId="32" borderId="29" xfId="186" applyNumberFormat="1" applyFont="1" applyFill="1" applyBorder="1" applyAlignment="1" applyProtection="1">
      <alignment horizontal="center" vertical="center"/>
    </xf>
    <xf numFmtId="4" fontId="6" fillId="32" borderId="26" xfId="186" applyNumberFormat="1" applyFont="1" applyFill="1" applyBorder="1" applyAlignment="1" applyProtection="1">
      <alignment horizontal="center" vertical="center"/>
    </xf>
    <xf numFmtId="4" fontId="6" fillId="32" borderId="94" xfId="186" applyNumberFormat="1" applyFont="1" applyFill="1" applyBorder="1" applyAlignment="1" applyProtection="1">
      <alignment horizontal="center" vertical="center"/>
    </xf>
    <xf numFmtId="4" fontId="6" fillId="32" borderId="95" xfId="186" applyNumberFormat="1" applyFont="1" applyFill="1" applyBorder="1" applyAlignment="1" applyProtection="1">
      <alignment horizontal="center" vertical="center"/>
    </xf>
    <xf numFmtId="4" fontId="6" fillId="32" borderId="67" xfId="186" applyNumberFormat="1" applyFont="1" applyFill="1" applyBorder="1" applyAlignment="1" applyProtection="1">
      <alignment horizontal="center" vertical="center"/>
    </xf>
    <xf numFmtId="4" fontId="6" fillId="32" borderId="96" xfId="186" applyNumberFormat="1" applyFont="1" applyFill="1" applyBorder="1" applyAlignment="1" applyProtection="1">
      <alignment horizontal="center" vertical="center"/>
    </xf>
    <xf numFmtId="4" fontId="6" fillId="32" borderId="97" xfId="186" applyNumberFormat="1" applyFont="1" applyFill="1" applyBorder="1" applyAlignment="1" applyProtection="1">
      <alignment horizontal="center" vertical="center"/>
    </xf>
    <xf numFmtId="4" fontId="6" fillId="32" borderId="98" xfId="186" applyNumberFormat="1" applyFont="1" applyFill="1" applyBorder="1" applyAlignment="1" applyProtection="1">
      <alignment horizontal="center" vertical="center"/>
    </xf>
    <xf numFmtId="4" fontId="6" fillId="32" borderId="99" xfId="186" applyNumberFormat="1" applyFont="1" applyFill="1" applyBorder="1" applyAlignment="1" applyProtection="1">
      <alignment horizontal="center" vertical="center"/>
    </xf>
    <xf numFmtId="4" fontId="6" fillId="32" borderId="30" xfId="186" applyNumberFormat="1" applyFont="1" applyFill="1" applyBorder="1" applyAlignment="1" applyProtection="1">
      <alignment horizontal="center" vertical="center"/>
    </xf>
    <xf numFmtId="4" fontId="6" fillId="32" borderId="68" xfId="186" applyNumberFormat="1" applyFont="1" applyFill="1" applyBorder="1" applyAlignment="1" applyProtection="1">
      <alignment horizontal="center" vertical="center"/>
    </xf>
    <xf numFmtId="4" fontId="4" fillId="32" borderId="96" xfId="186" applyNumberFormat="1" applyFont="1" applyFill="1" applyBorder="1" applyAlignment="1" applyProtection="1">
      <alignment horizontal="center" vertical="center"/>
    </xf>
    <xf numFmtId="4" fontId="4" fillId="32" borderId="97" xfId="186" applyNumberFormat="1" applyFont="1" applyFill="1" applyBorder="1" applyAlignment="1" applyProtection="1">
      <alignment horizontal="center" vertical="center"/>
    </xf>
    <xf numFmtId="4" fontId="4" fillId="32" borderId="98" xfId="186" applyNumberFormat="1" applyFont="1" applyFill="1" applyBorder="1" applyAlignment="1" applyProtection="1">
      <alignment horizontal="center" vertical="center"/>
    </xf>
    <xf numFmtId="4" fontId="4" fillId="32" borderId="99" xfId="186" applyNumberFormat="1" applyFont="1" applyFill="1" applyBorder="1" applyAlignment="1" applyProtection="1">
      <alignment horizontal="center" vertical="center"/>
    </xf>
    <xf numFmtId="4" fontId="4" fillId="32" borderId="30" xfId="186" applyNumberFormat="1" applyFont="1" applyFill="1" applyBorder="1" applyAlignment="1" applyProtection="1">
      <alignment horizontal="center" vertical="center"/>
    </xf>
    <xf numFmtId="4" fontId="4" fillId="32" borderId="68" xfId="186" applyNumberFormat="1" applyFont="1" applyFill="1" applyBorder="1" applyAlignment="1" applyProtection="1">
      <alignment horizontal="center" vertical="center"/>
    </xf>
    <xf numFmtId="0" fontId="4" fillId="32" borderId="95" xfId="186" applyNumberFormat="1" applyFont="1" applyFill="1" applyBorder="1" applyAlignment="1" applyProtection="1">
      <alignment horizontal="center" vertical="center"/>
    </xf>
    <xf numFmtId="0" fontId="4" fillId="32" borderId="67" xfId="186" applyNumberFormat="1" applyFont="1" applyFill="1" applyBorder="1" applyAlignment="1" applyProtection="1">
      <alignment horizontal="center" vertical="center"/>
    </xf>
    <xf numFmtId="0" fontId="21" fillId="32" borderId="34" xfId="0" applyFont="1" applyFill="1" applyBorder="1" applyAlignment="1" applyProtection="1">
      <alignment horizontal="center"/>
    </xf>
    <xf numFmtId="0" fontId="21" fillId="32" borderId="47" xfId="0" applyFont="1" applyFill="1" applyBorder="1" applyAlignment="1" applyProtection="1">
      <alignment horizontal="center"/>
    </xf>
    <xf numFmtId="0" fontId="21" fillId="32" borderId="39" xfId="0" applyFont="1" applyFill="1" applyBorder="1" applyAlignment="1" applyProtection="1">
      <alignment horizontal="center"/>
    </xf>
    <xf numFmtId="4" fontId="4" fillId="32" borderId="95" xfId="186" applyNumberFormat="1" applyFont="1" applyFill="1" applyBorder="1" applyAlignment="1" applyProtection="1">
      <alignment horizontal="center" vertical="center"/>
    </xf>
    <xf numFmtId="4" fontId="4" fillId="32" borderId="67" xfId="186" applyNumberFormat="1" applyFont="1" applyFill="1" applyBorder="1" applyAlignment="1" applyProtection="1">
      <alignment horizontal="center" vertical="center"/>
    </xf>
    <xf numFmtId="0" fontId="6" fillId="32" borderId="34" xfId="0" applyNumberFormat="1" applyFont="1" applyFill="1" applyBorder="1" applyAlignment="1" applyProtection="1">
      <alignment horizontal="center"/>
    </xf>
    <xf numFmtId="0" fontId="6" fillId="32" borderId="47" xfId="0" applyNumberFormat="1" applyFont="1" applyFill="1" applyBorder="1" applyAlignment="1" applyProtection="1">
      <alignment horizontal="center"/>
    </xf>
    <xf numFmtId="0" fontId="6" fillId="32" borderId="39" xfId="0" applyNumberFormat="1" applyFont="1" applyFill="1" applyBorder="1" applyAlignment="1" applyProtection="1">
      <alignment horizontal="center"/>
    </xf>
    <xf numFmtId="0" fontId="6" fillId="32" borderId="34" xfId="0" applyFont="1" applyFill="1" applyBorder="1" applyAlignment="1" applyProtection="1">
      <alignment horizontal="center"/>
    </xf>
    <xf numFmtId="0" fontId="6" fillId="32" borderId="47" xfId="0" applyFont="1" applyFill="1" applyBorder="1" applyAlignment="1" applyProtection="1">
      <alignment horizontal="center"/>
    </xf>
    <xf numFmtId="0" fontId="6" fillId="32" borderId="39" xfId="0" applyFont="1" applyFill="1" applyBorder="1" applyAlignment="1" applyProtection="1">
      <alignment horizontal="center"/>
    </xf>
    <xf numFmtId="0" fontId="21" fillId="32" borderId="34" xfId="0" applyFont="1" applyFill="1" applyBorder="1" applyAlignment="1" applyProtection="1">
      <alignment horizontal="center" vertical="top"/>
    </xf>
    <xf numFmtId="0" fontId="21" fillId="32" borderId="47" xfId="0" applyFont="1" applyFill="1" applyBorder="1" applyAlignment="1" applyProtection="1">
      <alignment horizontal="center" vertical="top"/>
    </xf>
    <xf numFmtId="0" fontId="21" fillId="32" borderId="39" xfId="0" applyFont="1" applyFill="1" applyBorder="1" applyAlignment="1" applyProtection="1">
      <alignment horizontal="center" vertical="top"/>
    </xf>
    <xf numFmtId="4" fontId="4" fillId="0" borderId="33" xfId="186" applyNumberFormat="1" applyFont="1" applyBorder="1" applyAlignment="1" applyProtection="1">
      <alignment horizontal="center" vertical="center" wrapText="1"/>
    </xf>
    <xf numFmtId="4" fontId="4" fillId="0" borderId="27" xfId="186" applyNumberFormat="1" applyFont="1" applyBorder="1" applyAlignment="1" applyProtection="1">
      <alignment horizontal="center" vertical="center" wrapText="1"/>
    </xf>
    <xf numFmtId="4" fontId="4" fillId="0" borderId="28" xfId="186" applyNumberFormat="1" applyFont="1" applyBorder="1" applyAlignment="1" applyProtection="1">
      <alignment horizontal="center" vertical="center" wrapText="1"/>
    </xf>
    <xf numFmtId="0" fontId="4" fillId="0" borderId="33" xfId="186" applyNumberFormat="1" applyFont="1" applyBorder="1" applyAlignment="1" applyProtection="1">
      <alignment horizontal="center" vertical="center"/>
    </xf>
    <xf numFmtId="0" fontId="4" fillId="0" borderId="27" xfId="186" applyNumberFormat="1" applyFont="1" applyBorder="1" applyAlignment="1" applyProtection="1">
      <alignment horizontal="center" vertical="center"/>
    </xf>
    <xf numFmtId="0" fontId="4" fillId="0" borderId="28" xfId="186" applyNumberFormat="1" applyFont="1" applyBorder="1" applyAlignment="1" applyProtection="1">
      <alignment horizontal="center" vertical="center"/>
    </xf>
    <xf numFmtId="44" fontId="0" fillId="0" borderId="37" xfId="192" applyFont="1" applyBorder="1" applyAlignment="1" applyProtection="1">
      <alignment horizontal="center" vertical="top"/>
    </xf>
    <xf numFmtId="0" fontId="4" fillId="32" borderId="33" xfId="186" applyNumberFormat="1" applyFont="1" applyFill="1" applyBorder="1" applyAlignment="1" applyProtection="1">
      <alignment horizontal="center" vertical="center"/>
    </xf>
    <xf numFmtId="0" fontId="4" fillId="32" borderId="27" xfId="186" applyNumberFormat="1" applyFont="1" applyFill="1" applyBorder="1" applyAlignment="1" applyProtection="1">
      <alignment horizontal="center" vertical="center"/>
    </xf>
    <xf numFmtId="0" fontId="4" fillId="32" borderId="28" xfId="186" applyNumberFormat="1" applyFont="1" applyFill="1" applyBorder="1" applyAlignment="1" applyProtection="1">
      <alignment horizontal="center" vertical="center"/>
    </xf>
    <xf numFmtId="0" fontId="0" fillId="32" borderId="33" xfId="0" applyFill="1" applyBorder="1" applyAlignment="1" applyProtection="1">
      <alignment horizontal="center" vertical="top"/>
    </xf>
    <xf numFmtId="0" fontId="0" fillId="32" borderId="28" xfId="0" applyFill="1" applyBorder="1" applyAlignment="1" applyProtection="1">
      <alignment horizontal="center" vertical="top"/>
    </xf>
    <xf numFmtId="0" fontId="5" fillId="32" borderId="0" xfId="0" applyFont="1" applyFill="1" applyAlignment="1" applyProtection="1">
      <alignment horizontal="left" vertical="top" wrapText="1"/>
    </xf>
    <xf numFmtId="0" fontId="4" fillId="0" borderId="11" xfId="186" applyNumberFormat="1" applyFont="1" applyBorder="1" applyAlignment="1" applyProtection="1">
      <alignment horizontal="center" vertical="center"/>
    </xf>
    <xf numFmtId="44" fontId="0" fillId="0" borderId="11" xfId="192" applyFont="1" applyBorder="1" applyAlignment="1" applyProtection="1">
      <alignment horizontal="center" vertical="top"/>
    </xf>
    <xf numFmtId="44" fontId="2" fillId="32" borderId="33" xfId="192" applyFont="1" applyFill="1" applyBorder="1" applyAlignment="1" applyProtection="1">
      <alignment horizontal="center" vertical="top" wrapText="1"/>
    </xf>
    <xf numFmtId="44" fontId="2" fillId="32" borderId="27" xfId="192" applyFont="1" applyFill="1" applyBorder="1" applyAlignment="1" applyProtection="1">
      <alignment horizontal="center" vertical="top" wrapText="1"/>
    </xf>
    <xf numFmtId="44" fontId="2" fillId="32" borderId="28" xfId="192" applyFont="1" applyFill="1" applyBorder="1" applyAlignment="1" applyProtection="1">
      <alignment horizontal="center" vertical="top" wrapText="1"/>
    </xf>
    <xf numFmtId="0" fontId="4" fillId="32" borderId="91" xfId="186" applyNumberFormat="1" applyFont="1" applyFill="1" applyBorder="1" applyAlignment="1" applyProtection="1">
      <alignment horizontal="center" vertical="center"/>
    </xf>
    <xf numFmtId="0" fontId="24" fillId="32" borderId="37" xfId="30" applyFont="1" applyFill="1" applyBorder="1" applyAlignment="1" applyProtection="1">
      <alignment horizontal="center"/>
    </xf>
    <xf numFmtId="0" fontId="24" fillId="32" borderId="29" xfId="30" applyFont="1" applyFill="1" applyBorder="1" applyAlignment="1" applyProtection="1">
      <alignment horizontal="center"/>
    </xf>
    <xf numFmtId="0" fontId="24" fillId="32" borderId="26" xfId="30" applyFont="1" applyFill="1" applyBorder="1" applyAlignment="1" applyProtection="1">
      <alignment horizontal="center"/>
    </xf>
    <xf numFmtId="0" fontId="2" fillId="32" borderId="33" xfId="30" applyFont="1" applyFill="1" applyBorder="1" applyAlignment="1" applyProtection="1">
      <alignment vertical="center" wrapText="1"/>
    </xf>
    <xf numFmtId="0" fontId="61" fillId="32" borderId="27" xfId="46" applyFill="1" applyBorder="1" applyAlignment="1" applyProtection="1"/>
    <xf numFmtId="0" fontId="61" fillId="32" borderId="28" xfId="46" applyFill="1" applyBorder="1" applyAlignment="1" applyProtection="1"/>
    <xf numFmtId="0" fontId="24" fillId="0" borderId="37" xfId="30" applyFont="1" applyFill="1" applyBorder="1" applyAlignment="1" applyProtection="1">
      <alignment horizontal="center"/>
    </xf>
    <xf numFmtId="0" fontId="24" fillId="0" borderId="29" xfId="30" applyFont="1" applyFill="1" applyBorder="1" applyAlignment="1" applyProtection="1">
      <alignment horizontal="center"/>
    </xf>
    <xf numFmtId="0" fontId="24" fillId="0" borderId="26" xfId="30" applyFont="1" applyFill="1" applyBorder="1" applyAlignment="1" applyProtection="1">
      <alignment horizontal="center"/>
    </xf>
    <xf numFmtId="0" fontId="0" fillId="0" borderId="33" xfId="30" applyFont="1" applyFill="1" applyBorder="1" applyAlignment="1" applyProtection="1">
      <alignment vertical="center" wrapText="1"/>
    </xf>
    <xf numFmtId="0" fontId="61" fillId="0" borderId="27" xfId="46" applyFill="1" applyBorder="1" applyAlignment="1" applyProtection="1">
      <alignment vertical="center" wrapText="1"/>
    </xf>
    <xf numFmtId="0" fontId="61" fillId="0" borderId="28" xfId="46" applyFill="1" applyBorder="1" applyAlignment="1" applyProtection="1"/>
    <xf numFmtId="0" fontId="6" fillId="32" borderId="0" xfId="30" applyFont="1" applyFill="1" applyBorder="1" applyAlignment="1" applyProtection="1">
      <alignment horizontal="center"/>
    </xf>
    <xf numFmtId="0" fontId="61" fillId="0" borderId="28" xfId="46" applyFill="1" applyBorder="1" applyAlignment="1" applyProtection="1">
      <alignment vertical="center" wrapText="1"/>
    </xf>
    <xf numFmtId="0" fontId="23" fillId="0" borderId="34" xfId="30" applyFont="1" applyBorder="1" applyAlignment="1" applyProtection="1">
      <alignment horizontal="center" vertical="center"/>
    </xf>
    <xf numFmtId="0" fontId="23" fillId="0" borderId="47" xfId="30" applyFont="1" applyBorder="1" applyAlignment="1" applyProtection="1">
      <alignment horizontal="center" vertical="center"/>
    </xf>
    <xf numFmtId="0" fontId="23" fillId="0" borderId="39" xfId="30" applyFont="1" applyBorder="1" applyAlignment="1" applyProtection="1">
      <alignment horizontal="center" vertical="center"/>
    </xf>
    <xf numFmtId="0" fontId="23" fillId="0" borderId="34" xfId="30" applyFont="1" applyFill="1" applyBorder="1" applyAlignment="1" applyProtection="1">
      <alignment horizontal="center" vertical="center"/>
    </xf>
    <xf numFmtId="0" fontId="23" fillId="0" borderId="47" xfId="30" applyFont="1" applyFill="1" applyBorder="1" applyAlignment="1" applyProtection="1">
      <alignment horizontal="center" vertical="center"/>
    </xf>
    <xf numFmtId="0" fontId="23" fillId="0" borderId="39" xfId="30" applyFont="1" applyFill="1" applyBorder="1" applyAlignment="1" applyProtection="1">
      <alignment horizontal="center" vertical="center"/>
    </xf>
    <xf numFmtId="0" fontId="24" fillId="32" borderId="34" xfId="30" applyFont="1" applyFill="1" applyBorder="1" applyAlignment="1" applyProtection="1">
      <alignment horizontal="center"/>
    </xf>
    <xf numFmtId="0" fontId="24" fillId="32" borderId="47" xfId="30" applyFont="1" applyFill="1" applyBorder="1" applyAlignment="1" applyProtection="1">
      <alignment horizontal="center"/>
    </xf>
    <xf numFmtId="0" fontId="24" fillId="32" borderId="39" xfId="30" applyFont="1" applyFill="1" applyBorder="1" applyAlignment="1" applyProtection="1">
      <alignment horizontal="center"/>
    </xf>
    <xf numFmtId="0" fontId="23" fillId="32" borderId="34" xfId="30" applyFont="1" applyFill="1" applyBorder="1" applyAlignment="1" applyProtection="1">
      <alignment horizontal="center" vertical="center"/>
    </xf>
    <xf numFmtId="0" fontId="23" fillId="32" borderId="47" xfId="30" applyFont="1" applyFill="1" applyBorder="1" applyAlignment="1" applyProtection="1">
      <alignment horizontal="center" vertical="center"/>
    </xf>
    <xf numFmtId="0" fontId="23" fillId="32" borderId="39" xfId="30" applyFont="1" applyFill="1" applyBorder="1" applyAlignment="1" applyProtection="1">
      <alignment horizontal="center" vertical="center"/>
    </xf>
    <xf numFmtId="0" fontId="27" fillId="32" borderId="14" xfId="30" applyFont="1" applyFill="1" applyBorder="1" applyAlignment="1" applyProtection="1">
      <alignment horizontal="center"/>
    </xf>
    <xf numFmtId="0" fontId="27" fillId="32" borderId="0" xfId="30" applyFont="1" applyFill="1" applyAlignment="1" applyProtection="1">
      <alignment horizontal="center"/>
    </xf>
    <xf numFmtId="0" fontId="21" fillId="32" borderId="34" xfId="186" applyFont="1" applyFill="1" applyBorder="1" applyAlignment="1" applyProtection="1">
      <alignment horizontal="center"/>
    </xf>
    <xf numFmtId="0" fontId="21" fillId="32" borderId="47" xfId="186" applyFont="1" applyFill="1" applyBorder="1" applyAlignment="1" applyProtection="1">
      <alignment horizontal="center"/>
    </xf>
    <xf numFmtId="0" fontId="21" fillId="32" borderId="39" xfId="186" applyFont="1" applyFill="1" applyBorder="1" applyAlignment="1" applyProtection="1">
      <alignment horizontal="center"/>
    </xf>
    <xf numFmtId="0" fontId="34" fillId="32" borderId="34" xfId="30" applyFont="1" applyFill="1" applyBorder="1" applyAlignment="1" applyProtection="1">
      <alignment horizontal="center"/>
    </xf>
    <xf numFmtId="0" fontId="34" fillId="32" borderId="47" xfId="30" applyFont="1" applyFill="1" applyBorder="1" applyAlignment="1" applyProtection="1">
      <alignment horizontal="center"/>
    </xf>
    <xf numFmtId="0" fontId="34" fillId="32" borderId="39" xfId="30" applyFont="1" applyFill="1" applyBorder="1" applyAlignment="1" applyProtection="1">
      <alignment horizontal="center"/>
    </xf>
    <xf numFmtId="0" fontId="5" fillId="32" borderId="37" xfId="0" applyFont="1" applyFill="1" applyBorder="1" applyAlignment="1" applyProtection="1">
      <alignment horizontal="center" vertical="center" wrapText="1"/>
    </xf>
    <xf numFmtId="0" fontId="5" fillId="32" borderId="29" xfId="0" applyFont="1" applyFill="1" applyBorder="1" applyAlignment="1" applyProtection="1">
      <alignment horizontal="center" vertical="center" wrapText="1"/>
    </xf>
    <xf numFmtId="0" fontId="5" fillId="32" borderId="26" xfId="0" applyFont="1" applyFill="1" applyBorder="1" applyAlignment="1" applyProtection="1">
      <alignment horizontal="center" vertical="center" wrapText="1"/>
    </xf>
    <xf numFmtId="0" fontId="6" fillId="32" borderId="37" xfId="0" applyFont="1" applyFill="1" applyBorder="1" applyAlignment="1" applyProtection="1">
      <alignment horizontal="center" vertical="center" wrapText="1"/>
    </xf>
    <xf numFmtId="0" fontId="6" fillId="32" borderId="29" xfId="0" applyFont="1" applyFill="1" applyBorder="1" applyAlignment="1" applyProtection="1">
      <alignment horizontal="center" vertical="center" wrapText="1"/>
    </xf>
    <xf numFmtId="0" fontId="6" fillId="32" borderId="26" xfId="0" applyFont="1" applyFill="1" applyBorder="1" applyAlignment="1" applyProtection="1">
      <alignment horizontal="center" vertical="center" wrapText="1"/>
    </xf>
    <xf numFmtId="0" fontId="5" fillId="39" borderId="37" xfId="0" applyFont="1" applyFill="1" applyBorder="1" applyAlignment="1" applyProtection="1">
      <alignment horizontal="center" vertical="center" wrapText="1"/>
    </xf>
    <xf numFmtId="0" fontId="5" fillId="39" borderId="29" xfId="0" applyFont="1" applyFill="1" applyBorder="1" applyAlignment="1" applyProtection="1">
      <alignment horizontal="center" vertical="center" wrapText="1"/>
    </xf>
    <xf numFmtId="0" fontId="5" fillId="39" borderId="26" xfId="0" applyFont="1" applyFill="1" applyBorder="1" applyAlignment="1" applyProtection="1">
      <alignment horizontal="center" vertical="center" wrapText="1"/>
    </xf>
    <xf numFmtId="0" fontId="5" fillId="32" borderId="32" xfId="0" applyFont="1" applyFill="1" applyBorder="1" applyAlignment="1" applyProtection="1">
      <alignment horizontal="right" vertical="top"/>
    </xf>
    <xf numFmtId="0" fontId="5" fillId="32" borderId="0" xfId="0" applyFont="1" applyFill="1" applyBorder="1" applyAlignment="1" applyProtection="1">
      <alignment horizontal="center"/>
    </xf>
    <xf numFmtId="0" fontId="0" fillId="32" borderId="37" xfId="0" applyFill="1" applyBorder="1" applyAlignment="1" applyProtection="1">
      <alignment horizontal="center" vertical="center" wrapText="1"/>
    </xf>
    <xf numFmtId="0" fontId="0" fillId="32" borderId="29" xfId="0" applyFill="1" applyBorder="1" applyAlignment="1" applyProtection="1">
      <alignment horizontal="center" vertical="center" wrapText="1"/>
    </xf>
    <xf numFmtId="0" fontId="0" fillId="32" borderId="26" xfId="0" applyFill="1" applyBorder="1" applyAlignment="1" applyProtection="1">
      <alignment horizontal="center" vertical="center" wrapText="1"/>
    </xf>
    <xf numFmtId="0" fontId="20" fillId="39" borderId="37" xfId="0" applyFont="1" applyFill="1" applyBorder="1" applyAlignment="1" applyProtection="1">
      <alignment horizontal="left" vertical="center"/>
    </xf>
    <xf numFmtId="0" fontId="20" fillId="39" borderId="29" xfId="0" applyFont="1" applyFill="1" applyBorder="1" applyAlignment="1" applyProtection="1">
      <alignment horizontal="left" vertical="center"/>
    </xf>
    <xf numFmtId="0" fontId="20" fillId="39" borderId="26" xfId="0" applyFont="1" applyFill="1" applyBorder="1" applyAlignment="1" applyProtection="1">
      <alignment horizontal="left" vertical="center"/>
    </xf>
    <xf numFmtId="0" fontId="6" fillId="32" borderId="37" xfId="0" applyFont="1" applyFill="1" applyBorder="1" applyAlignment="1" applyProtection="1">
      <alignment horizontal="left" vertical="top" wrapText="1"/>
    </xf>
    <xf numFmtId="0" fontId="6" fillId="32" borderId="29" xfId="0" applyFont="1" applyFill="1" applyBorder="1" applyAlignment="1" applyProtection="1">
      <alignment horizontal="left" vertical="top" wrapText="1"/>
    </xf>
    <xf numFmtId="0" fontId="6" fillId="32" borderId="26" xfId="0" applyFont="1" applyFill="1" applyBorder="1" applyAlignment="1" applyProtection="1">
      <alignment horizontal="left" vertical="top" wrapText="1"/>
    </xf>
    <xf numFmtId="0" fontId="6" fillId="32" borderId="37" xfId="0" applyFont="1" applyFill="1" applyBorder="1" applyAlignment="1" applyProtection="1">
      <alignment horizontal="left" vertical="center" wrapText="1"/>
    </xf>
    <xf numFmtId="0" fontId="6" fillId="32" borderId="29" xfId="0" applyFont="1" applyFill="1" applyBorder="1" applyAlignment="1" applyProtection="1">
      <alignment horizontal="left" vertical="center" wrapText="1"/>
    </xf>
    <xf numFmtId="0" fontId="6" fillId="32" borderId="26" xfId="0" applyFont="1" applyFill="1" applyBorder="1" applyAlignment="1" applyProtection="1">
      <alignment horizontal="left" vertical="center" wrapText="1"/>
    </xf>
    <xf numFmtId="0" fontId="6" fillId="32" borderId="11" xfId="0" applyFont="1" applyFill="1" applyBorder="1" applyAlignment="1" applyProtection="1">
      <alignment horizontal="left" vertical="top" wrapText="1"/>
    </xf>
    <xf numFmtId="0" fontId="0" fillId="32" borderId="11" xfId="0" applyFill="1" applyBorder="1" applyAlignment="1" applyProtection="1">
      <alignment horizontal="left" vertical="center" wrapText="1"/>
    </xf>
    <xf numFmtId="0" fontId="0" fillId="32" borderId="37" xfId="0" applyFill="1" applyBorder="1" applyAlignment="1" applyProtection="1">
      <alignment horizontal="left" vertical="center" wrapText="1"/>
    </xf>
    <xf numFmtId="0" fontId="0" fillId="32" borderId="29" xfId="0" applyFill="1" applyBorder="1" applyAlignment="1" applyProtection="1">
      <alignment horizontal="left" vertical="center" wrapText="1"/>
    </xf>
    <xf numFmtId="0" fontId="0" fillId="32" borderId="26" xfId="0" applyFill="1" applyBorder="1" applyAlignment="1" applyProtection="1">
      <alignment horizontal="left" vertical="center" wrapText="1"/>
    </xf>
    <xf numFmtId="0" fontId="6" fillId="32" borderId="11" xfId="0" applyFont="1" applyFill="1" applyBorder="1" applyAlignment="1" applyProtection="1">
      <alignment horizontal="left" vertical="center" wrapText="1"/>
    </xf>
    <xf numFmtId="0" fontId="20" fillId="32" borderId="37" xfId="0" applyFont="1" applyFill="1" applyBorder="1" applyAlignment="1" applyProtection="1">
      <alignment horizontal="left"/>
    </xf>
    <xf numFmtId="0" fontId="20" fillId="32" borderId="29" xfId="0" applyFont="1" applyFill="1" applyBorder="1" applyAlignment="1" applyProtection="1">
      <alignment horizontal="left"/>
    </xf>
    <xf numFmtId="0" fontId="20" fillId="32" borderId="26" xfId="0" applyFont="1" applyFill="1" applyBorder="1" applyAlignment="1" applyProtection="1">
      <alignment horizontal="left"/>
    </xf>
    <xf numFmtId="0" fontId="6" fillId="32" borderId="37" xfId="0" applyFont="1" applyFill="1" applyBorder="1" applyAlignment="1" applyProtection="1">
      <alignment horizontal="left" vertical="center"/>
    </xf>
    <xf numFmtId="0" fontId="6" fillId="32" borderId="29" xfId="0" applyFont="1" applyFill="1" applyBorder="1" applyAlignment="1" applyProtection="1">
      <alignment horizontal="left" vertical="center"/>
    </xf>
    <xf numFmtId="0" fontId="6" fillId="32" borderId="26" xfId="0" applyFont="1" applyFill="1" applyBorder="1" applyAlignment="1" applyProtection="1">
      <alignment horizontal="left" vertical="center"/>
    </xf>
    <xf numFmtId="0" fontId="21" fillId="32" borderId="34" xfId="186" applyFont="1" applyFill="1" applyBorder="1" applyAlignment="1" applyProtection="1">
      <alignment horizontal="center" wrapText="1"/>
    </xf>
    <xf numFmtId="0" fontId="21" fillId="32" borderId="47" xfId="186" applyFont="1" applyFill="1" applyBorder="1" applyAlignment="1" applyProtection="1">
      <alignment horizontal="center" wrapText="1"/>
    </xf>
    <xf numFmtId="0" fontId="21" fillId="32" borderId="39" xfId="186" applyFont="1" applyFill="1" applyBorder="1" applyAlignment="1" applyProtection="1">
      <alignment horizontal="center" wrapText="1"/>
    </xf>
    <xf numFmtId="0" fontId="23" fillId="0" borderId="34" xfId="30" applyFont="1" applyFill="1" applyBorder="1" applyAlignment="1" applyProtection="1">
      <alignment horizontal="center"/>
    </xf>
    <xf numFmtId="0" fontId="23" fillId="0" borderId="47" xfId="30" applyFont="1" applyFill="1" applyBorder="1" applyAlignment="1" applyProtection="1">
      <alignment horizontal="center"/>
    </xf>
    <xf numFmtId="0" fontId="23" fillId="0" borderId="39" xfId="30" applyFont="1" applyFill="1" applyBorder="1" applyAlignment="1" applyProtection="1">
      <alignment horizontal="center"/>
    </xf>
    <xf numFmtId="0" fontId="34" fillId="32" borderId="37" xfId="30" applyFont="1" applyFill="1" applyBorder="1" applyAlignment="1" applyProtection="1">
      <alignment horizontal="center"/>
    </xf>
    <xf numFmtId="0" fontId="34" fillId="32" borderId="29" xfId="30" applyFont="1" applyFill="1" applyBorder="1" applyAlignment="1" applyProtection="1">
      <alignment horizontal="center"/>
    </xf>
    <xf numFmtId="0" fontId="34" fillId="32" borderId="26" xfId="30" applyFont="1" applyFill="1" applyBorder="1" applyAlignment="1" applyProtection="1">
      <alignment horizontal="center"/>
    </xf>
    <xf numFmtId="0" fontId="5" fillId="32" borderId="37" xfId="0" applyFont="1" applyFill="1" applyBorder="1" applyAlignment="1" applyProtection="1">
      <alignment horizontal="left" vertical="center" wrapText="1"/>
    </xf>
    <xf numFmtId="0" fontId="5" fillId="32" borderId="26" xfId="0" applyFont="1" applyFill="1" applyBorder="1" applyAlignment="1" applyProtection="1">
      <alignment horizontal="left" vertical="center" wrapText="1"/>
    </xf>
    <xf numFmtId="0" fontId="6" fillId="32" borderId="37" xfId="0" applyFont="1" applyFill="1" applyBorder="1" applyAlignment="1" applyProtection="1">
      <alignment horizontal="center" vertical="top" wrapText="1"/>
    </xf>
    <xf numFmtId="0" fontId="6" fillId="32" borderId="26" xfId="0" applyFont="1" applyFill="1" applyBorder="1" applyAlignment="1" applyProtection="1">
      <alignment horizontal="center" vertical="top" wrapText="1"/>
    </xf>
    <xf numFmtId="0" fontId="23" fillId="32" borderId="34" xfId="30" applyFont="1" applyFill="1" applyBorder="1" applyAlignment="1" applyProtection="1">
      <alignment horizontal="center"/>
    </xf>
    <xf numFmtId="0" fontId="23" fillId="32" borderId="47" xfId="30" applyFont="1" applyFill="1" applyBorder="1" applyAlignment="1" applyProtection="1">
      <alignment horizontal="center"/>
    </xf>
    <xf numFmtId="0" fontId="23" fillId="32" borderId="39" xfId="30" applyFont="1" applyFill="1" applyBorder="1" applyAlignment="1" applyProtection="1">
      <alignment horizontal="center"/>
    </xf>
    <xf numFmtId="0" fontId="61" fillId="32" borderId="27" xfId="46" applyFill="1" applyBorder="1" applyAlignment="1" applyProtection="1">
      <alignment vertical="center" wrapText="1"/>
    </xf>
    <xf numFmtId="0" fontId="61" fillId="32" borderId="28" xfId="46" applyFill="1" applyBorder="1" applyAlignment="1" applyProtection="1">
      <alignment vertical="center" wrapText="1"/>
    </xf>
    <xf numFmtId="0" fontId="23" fillId="0" borderId="34" xfId="30" applyFont="1" applyBorder="1" applyAlignment="1" applyProtection="1">
      <alignment horizontal="center"/>
    </xf>
    <xf numFmtId="0" fontId="23" fillId="0" borderId="47" xfId="30" applyFont="1" applyBorder="1" applyAlignment="1" applyProtection="1">
      <alignment horizontal="center"/>
    </xf>
    <xf numFmtId="0" fontId="23" fillId="0" borderId="39" xfId="30" applyFont="1" applyBorder="1" applyAlignment="1" applyProtection="1">
      <alignment horizontal="center"/>
    </xf>
    <xf numFmtId="0" fontId="21" fillId="32" borderId="34" xfId="0" applyFont="1" applyFill="1" applyBorder="1" applyAlignment="1" applyProtection="1">
      <alignment horizontal="center" wrapText="1"/>
    </xf>
    <xf numFmtId="0" fontId="21" fillId="32" borderId="47" xfId="0" applyFont="1" applyFill="1" applyBorder="1" applyAlignment="1" applyProtection="1">
      <alignment horizontal="center" wrapText="1"/>
    </xf>
    <xf numFmtId="0" fontId="21" fillId="32" borderId="39" xfId="0" applyFont="1" applyFill="1" applyBorder="1" applyAlignment="1" applyProtection="1">
      <alignment horizontal="center" wrapText="1"/>
    </xf>
    <xf numFmtId="0" fontId="4" fillId="30" borderId="42" xfId="174" applyFont="1" applyFill="1" applyBorder="1" applyAlignment="1" applyProtection="1">
      <alignment horizontal="left" vertical="center" wrapText="1"/>
    </xf>
    <xf numFmtId="0" fontId="4" fillId="30" borderId="43" xfId="174" applyFont="1" applyFill="1" applyBorder="1" applyAlignment="1" applyProtection="1">
      <alignment horizontal="left" vertical="center" wrapText="1"/>
    </xf>
    <xf numFmtId="0" fontId="57" fillId="0" borderId="42" xfId="174" applyFont="1" applyFill="1" applyBorder="1" applyAlignment="1" applyProtection="1">
      <alignment horizontal="left" wrapText="1"/>
    </xf>
    <xf numFmtId="0" fontId="57" fillId="0" borderId="43" xfId="174" applyFont="1" applyFill="1" applyBorder="1" applyAlignment="1" applyProtection="1">
      <alignment horizontal="left" wrapText="1"/>
    </xf>
    <xf numFmtId="0" fontId="2" fillId="0" borderId="42" xfId="174" applyFont="1" applyFill="1" applyBorder="1" applyAlignment="1" applyProtection="1">
      <alignment horizontal="left" vertical="center" wrapText="1"/>
    </xf>
    <xf numFmtId="0" fontId="2" fillId="0" borderId="43" xfId="174" applyFont="1" applyFill="1" applyBorder="1" applyAlignment="1" applyProtection="1">
      <alignment horizontal="left" vertical="center" wrapText="1"/>
    </xf>
    <xf numFmtId="0" fontId="6" fillId="32" borderId="42" xfId="184" applyFont="1" applyFill="1" applyBorder="1" applyAlignment="1" applyProtection="1">
      <alignment horizontal="left" wrapText="1"/>
    </xf>
    <xf numFmtId="0" fontId="6" fillId="32" borderId="43" xfId="184" applyFont="1" applyFill="1" applyBorder="1" applyAlignment="1" applyProtection="1">
      <alignment horizontal="left" wrapText="1"/>
    </xf>
    <xf numFmtId="0" fontId="6" fillId="0" borderId="100" xfId="174" applyFont="1" applyFill="1" applyBorder="1" applyAlignment="1" applyProtection="1">
      <alignment horizontal="center" vertical="center" wrapText="1"/>
    </xf>
    <xf numFmtId="0" fontId="6" fillId="0" borderId="83" xfId="174" applyFont="1" applyFill="1" applyBorder="1" applyAlignment="1" applyProtection="1">
      <alignment horizontal="center" vertical="center" wrapText="1"/>
    </xf>
    <xf numFmtId="0" fontId="6" fillId="0" borderId="66" xfId="174" applyFont="1" applyFill="1" applyBorder="1" applyAlignment="1" applyProtection="1">
      <alignment horizontal="center" vertical="center" wrapText="1"/>
    </xf>
    <xf numFmtId="0" fontId="6" fillId="32" borderId="100" xfId="184" applyFont="1" applyFill="1" applyBorder="1" applyAlignment="1" applyProtection="1">
      <alignment horizontal="center" vertical="center" wrapText="1"/>
    </xf>
    <xf numFmtId="0" fontId="6" fillId="32" borderId="83" xfId="184" applyFont="1" applyFill="1" applyBorder="1" applyAlignment="1" applyProtection="1">
      <alignment horizontal="center" vertical="center" wrapText="1"/>
    </xf>
    <xf numFmtId="0" fontId="6" fillId="32" borderId="66" xfId="184" applyFont="1" applyFill="1" applyBorder="1" applyAlignment="1" applyProtection="1">
      <alignment horizontal="center" vertical="center" wrapText="1"/>
    </xf>
    <xf numFmtId="0" fontId="3" fillId="32" borderId="48" xfId="171" applyFont="1" applyFill="1" applyBorder="1" applyAlignment="1" applyProtection="1">
      <alignment horizontal="center" vertical="center"/>
    </xf>
    <xf numFmtId="0" fontId="3" fillId="32" borderId="49" xfId="171" applyFont="1" applyFill="1" applyBorder="1" applyAlignment="1" applyProtection="1">
      <alignment horizontal="center" vertical="center"/>
    </xf>
    <xf numFmtId="0" fontId="3" fillId="32" borderId="50" xfId="171" applyFont="1" applyFill="1" applyBorder="1" applyAlignment="1" applyProtection="1">
      <alignment horizontal="center" vertical="center"/>
    </xf>
    <xf numFmtId="0" fontId="3" fillId="32" borderId="14" xfId="171" applyFont="1" applyFill="1" applyBorder="1" applyAlignment="1" applyProtection="1">
      <alignment horizontal="center" vertical="center"/>
    </xf>
    <xf numFmtId="0" fontId="3" fillId="32" borderId="0" xfId="171" applyFont="1" applyFill="1" applyBorder="1" applyAlignment="1" applyProtection="1">
      <alignment horizontal="center" vertical="center"/>
    </xf>
    <xf numFmtId="0" fontId="3" fillId="32" borderId="40" xfId="171" applyFont="1" applyFill="1" applyBorder="1" applyAlignment="1" applyProtection="1">
      <alignment horizontal="center" vertical="center"/>
    </xf>
    <xf numFmtId="0" fontId="3" fillId="32" borderId="51" xfId="171" applyFont="1" applyFill="1" applyBorder="1" applyAlignment="1" applyProtection="1">
      <alignment horizontal="center" vertical="center"/>
    </xf>
    <xf numFmtId="0" fontId="3" fillId="32" borderId="15" xfId="171" applyFont="1" applyFill="1" applyBorder="1" applyAlignment="1" applyProtection="1">
      <alignment horizontal="center" vertical="center"/>
    </xf>
    <xf numFmtId="0" fontId="3" fillId="32" borderId="52" xfId="171" applyFont="1" applyFill="1" applyBorder="1" applyAlignment="1" applyProtection="1">
      <alignment horizontal="center" vertical="center"/>
    </xf>
    <xf numFmtId="0" fontId="6" fillId="32" borderId="87" xfId="171" applyFont="1" applyFill="1" applyBorder="1" applyAlignment="1" applyProtection="1">
      <alignment horizontal="center" vertical="center" wrapText="1"/>
    </xf>
    <xf numFmtId="0" fontId="6" fillId="32" borderId="13" xfId="171" applyFont="1" applyFill="1" applyBorder="1" applyAlignment="1" applyProtection="1">
      <alignment horizontal="center" vertical="center" wrapText="1"/>
    </xf>
    <xf numFmtId="0" fontId="6" fillId="32" borderId="88" xfId="171" applyFont="1" applyFill="1" applyBorder="1" applyAlignment="1" applyProtection="1">
      <alignment horizontal="center" vertical="center" wrapText="1"/>
    </xf>
    <xf numFmtId="0" fontId="6" fillId="32" borderId="101" xfId="171" applyFont="1" applyFill="1" applyBorder="1" applyAlignment="1" applyProtection="1">
      <alignment horizontal="center" vertical="center" wrapText="1"/>
    </xf>
    <xf numFmtId="0" fontId="6" fillId="32" borderId="27" xfId="171" applyFont="1" applyFill="1" applyBorder="1" applyAlignment="1" applyProtection="1">
      <alignment horizontal="center" vertical="center" wrapText="1"/>
    </xf>
    <xf numFmtId="0" fontId="6" fillId="32" borderId="102" xfId="171" applyFont="1" applyFill="1" applyBorder="1" applyAlignment="1" applyProtection="1">
      <alignment horizontal="center" vertical="center" wrapText="1"/>
    </xf>
    <xf numFmtId="0" fontId="6" fillId="32" borderId="50" xfId="184" applyFont="1" applyFill="1" applyBorder="1" applyAlignment="1" applyProtection="1">
      <alignment horizontal="center" vertical="center" wrapText="1"/>
    </xf>
    <xf numFmtId="0" fontId="6" fillId="32" borderId="40" xfId="184" applyFont="1" applyFill="1" applyBorder="1" applyAlignment="1" applyProtection="1">
      <alignment horizontal="center" vertical="center" wrapText="1"/>
    </xf>
    <xf numFmtId="0" fontId="6" fillId="32" borderId="52" xfId="184" applyFont="1" applyFill="1" applyBorder="1" applyAlignment="1" applyProtection="1">
      <alignment horizontal="center" vertical="center" wrapText="1"/>
    </xf>
    <xf numFmtId="0" fontId="0" fillId="32" borderId="37" xfId="0" applyFont="1" applyFill="1" applyBorder="1" applyAlignment="1" applyProtection="1">
      <alignment horizontal="left" vertical="top" wrapText="1"/>
    </xf>
    <xf numFmtId="0" fontId="0" fillId="32" borderId="26" xfId="0" applyFont="1" applyFill="1" applyBorder="1" applyAlignment="1" applyProtection="1">
      <alignment horizontal="left" vertical="top" wrapText="1"/>
    </xf>
    <xf numFmtId="0" fontId="5" fillId="32" borderId="37" xfId="0" applyFont="1" applyFill="1" applyBorder="1" applyAlignment="1" applyProtection="1">
      <alignment horizontal="left" vertical="top" wrapText="1"/>
    </xf>
    <xf numFmtId="0" fontId="5" fillId="32" borderId="26" xfId="0" applyFont="1" applyFill="1" applyBorder="1" applyAlignment="1" applyProtection="1">
      <alignment horizontal="left" vertical="top" wrapText="1"/>
    </xf>
    <xf numFmtId="0" fontId="6" fillId="32" borderId="37" xfId="0" applyFont="1" applyFill="1" applyBorder="1" applyAlignment="1" applyProtection="1">
      <alignment horizontal="left" vertical="top"/>
    </xf>
    <xf numFmtId="0" fontId="6" fillId="32" borderId="26" xfId="0" applyFont="1" applyFill="1" applyBorder="1" applyAlignment="1" applyProtection="1">
      <alignment horizontal="left" vertical="top"/>
    </xf>
    <xf numFmtId="0" fontId="6" fillId="32" borderId="37" xfId="0" applyFont="1" applyFill="1" applyBorder="1" applyAlignment="1" applyProtection="1">
      <alignment horizontal="center" vertical="top"/>
    </xf>
    <xf numFmtId="0" fontId="6" fillId="32" borderId="26" xfId="0" applyFont="1" applyFill="1" applyBorder="1" applyAlignment="1" applyProtection="1">
      <alignment horizontal="center" vertical="top"/>
    </xf>
    <xf numFmtId="0" fontId="27" fillId="32" borderId="0" xfId="30" applyFont="1" applyFill="1" applyAlignment="1" applyProtection="1">
      <alignment horizontal="center" vertical="center"/>
    </xf>
    <xf numFmtId="0" fontId="21" fillId="32" borderId="34" xfId="186" applyFont="1" applyFill="1" applyBorder="1" applyAlignment="1" applyProtection="1">
      <alignment horizontal="center" vertical="center" wrapText="1"/>
    </xf>
    <xf numFmtId="0" fontId="21" fillId="32" borderId="47" xfId="186" applyFont="1" applyFill="1" applyBorder="1" applyAlignment="1" applyProtection="1">
      <alignment horizontal="center" vertical="center" wrapText="1"/>
    </xf>
    <xf numFmtId="0" fontId="21" fillId="32" borderId="39" xfId="186" applyFont="1" applyFill="1" applyBorder="1" applyAlignment="1" applyProtection="1">
      <alignment horizontal="center" vertical="center" wrapText="1"/>
    </xf>
    <xf numFmtId="0" fontId="0" fillId="32" borderId="37" xfId="0" applyFill="1" applyBorder="1" applyAlignment="1" applyProtection="1">
      <alignment horizontal="left" vertical="top" wrapText="1"/>
    </xf>
    <xf numFmtId="0" fontId="0" fillId="32" borderId="26" xfId="0" applyFill="1" applyBorder="1" applyAlignment="1" applyProtection="1">
      <alignment horizontal="left" vertical="top" wrapText="1"/>
    </xf>
    <xf numFmtId="0" fontId="6" fillId="32" borderId="34" xfId="0" applyNumberFormat="1" applyFont="1" applyFill="1" applyBorder="1" applyAlignment="1" applyProtection="1">
      <alignment horizontal="center" vertical="center"/>
    </xf>
    <xf numFmtId="0" fontId="6" fillId="32" borderId="47" xfId="0" applyNumberFormat="1" applyFont="1" applyFill="1" applyBorder="1" applyAlignment="1" applyProtection="1">
      <alignment horizontal="center" vertical="center"/>
    </xf>
    <xf numFmtId="0" fontId="6" fillId="32" borderId="39" xfId="0" applyNumberFormat="1" applyFont="1" applyFill="1" applyBorder="1" applyAlignment="1" applyProtection="1">
      <alignment horizontal="center" vertical="center"/>
    </xf>
    <xf numFmtId="0" fontId="6" fillId="32" borderId="34" xfId="0" applyFont="1" applyFill="1" applyBorder="1" applyAlignment="1" applyProtection="1">
      <alignment horizontal="center" vertical="center"/>
    </xf>
    <xf numFmtId="0" fontId="6" fillId="32" borderId="47" xfId="0" applyFont="1" applyFill="1" applyBorder="1" applyAlignment="1" applyProtection="1">
      <alignment horizontal="center" vertical="center"/>
    </xf>
    <xf numFmtId="0" fontId="6" fillId="32" borderId="39" xfId="0" applyFont="1" applyFill="1" applyBorder="1" applyAlignment="1" applyProtection="1">
      <alignment horizontal="center" vertical="center"/>
    </xf>
    <xf numFmtId="0" fontId="5" fillId="32" borderId="30" xfId="0" applyFont="1" applyFill="1" applyBorder="1" applyAlignment="1" applyProtection="1">
      <alignment horizontal="center"/>
    </xf>
    <xf numFmtId="0" fontId="20" fillId="32" borderId="37" xfId="0" applyFont="1" applyFill="1" applyBorder="1" applyAlignment="1" applyProtection="1">
      <alignment horizontal="left" vertical="center"/>
    </xf>
    <xf numFmtId="0" fontId="20" fillId="32" borderId="29" xfId="0" applyFont="1" applyFill="1" applyBorder="1" applyAlignment="1" applyProtection="1">
      <alignment horizontal="left" vertical="center"/>
    </xf>
    <xf numFmtId="0" fontId="20" fillId="32" borderId="26" xfId="0" applyFont="1" applyFill="1" applyBorder="1" applyAlignment="1" applyProtection="1">
      <alignment horizontal="left" vertical="center"/>
    </xf>
    <xf numFmtId="0" fontId="20" fillId="32" borderId="37" xfId="0" applyFont="1" applyFill="1" applyBorder="1" applyAlignment="1" applyProtection="1">
      <alignment horizontal="left" vertical="top"/>
    </xf>
    <xf numFmtId="0" fontId="20" fillId="32" borderId="29" xfId="0" applyFont="1" applyFill="1" applyBorder="1" applyAlignment="1" applyProtection="1">
      <alignment horizontal="left" vertical="top"/>
    </xf>
    <xf numFmtId="0" fontId="20" fillId="32" borderId="26" xfId="0" applyFont="1" applyFill="1" applyBorder="1" applyAlignment="1" applyProtection="1">
      <alignment horizontal="left" vertical="top"/>
    </xf>
    <xf numFmtId="0" fontId="6" fillId="32" borderId="37" xfId="0" applyFont="1" applyFill="1" applyBorder="1" applyAlignment="1" applyProtection="1">
      <alignment horizontal="center" vertical="center"/>
    </xf>
    <xf numFmtId="0" fontId="6" fillId="32" borderId="29" xfId="0" applyFont="1" applyFill="1" applyBorder="1" applyAlignment="1" applyProtection="1">
      <alignment horizontal="center" vertical="center"/>
    </xf>
    <xf numFmtId="0" fontId="6" fillId="32" borderId="26" xfId="0" applyFont="1" applyFill="1" applyBorder="1" applyAlignment="1" applyProtection="1">
      <alignment horizontal="center" vertical="center"/>
    </xf>
    <xf numFmtId="0" fontId="0" fillId="32" borderId="11" xfId="0" applyFont="1" applyFill="1" applyBorder="1" applyAlignment="1" applyProtection="1">
      <alignment horizontal="left" vertical="top" wrapText="1"/>
    </xf>
    <xf numFmtId="0" fontId="20" fillId="39" borderId="37" xfId="0" applyFont="1" applyFill="1" applyBorder="1" applyAlignment="1" applyProtection="1">
      <alignment horizontal="left" vertical="center" wrapText="1"/>
    </xf>
    <xf numFmtId="0" fontId="20" fillId="39" borderId="29" xfId="0" applyFont="1" applyFill="1" applyBorder="1" applyAlignment="1" applyProtection="1">
      <alignment horizontal="left" vertical="center" wrapText="1"/>
    </xf>
    <xf numFmtId="0" fontId="20" fillId="39" borderId="26" xfId="0" applyFont="1" applyFill="1" applyBorder="1" applyAlignment="1" applyProtection="1">
      <alignment horizontal="left" vertical="center" wrapText="1"/>
    </xf>
    <xf numFmtId="0" fontId="20" fillId="32" borderId="37" xfId="0" applyFont="1" applyFill="1" applyBorder="1" applyAlignment="1" applyProtection="1">
      <alignment horizontal="center"/>
    </xf>
    <xf numFmtId="0" fontId="0" fillId="32" borderId="29" xfId="0" applyFont="1" applyFill="1" applyBorder="1" applyAlignment="1" applyProtection="1">
      <alignment horizontal="center"/>
    </xf>
    <xf numFmtId="0" fontId="0" fillId="32" borderId="26" xfId="0" applyFont="1" applyFill="1" applyBorder="1" applyAlignment="1" applyProtection="1">
      <alignment horizontal="center"/>
    </xf>
    <xf numFmtId="0" fontId="6" fillId="32" borderId="0" xfId="0" applyFont="1" applyFill="1" applyAlignment="1" applyProtection="1">
      <alignment horizontal="center" vertical="center"/>
    </xf>
    <xf numFmtId="0" fontId="0" fillId="32" borderId="0" xfId="0" applyFill="1" applyAlignment="1" applyProtection="1">
      <alignment horizontal="center" vertical="center"/>
    </xf>
    <xf numFmtId="0" fontId="6" fillId="0" borderId="84" xfId="174" applyFont="1" applyBorder="1" applyAlignment="1" applyProtection="1">
      <alignment horizontal="center" vertical="center"/>
    </xf>
    <xf numFmtId="0" fontId="6" fillId="0" borderId="36" xfId="174" applyFont="1" applyBorder="1" applyAlignment="1" applyProtection="1">
      <alignment horizontal="center" vertical="center"/>
    </xf>
    <xf numFmtId="0" fontId="6" fillId="0" borderId="86" xfId="174" applyFont="1" applyBorder="1" applyAlignment="1" applyProtection="1">
      <alignment horizontal="center" vertical="center"/>
    </xf>
    <xf numFmtId="0" fontId="6" fillId="0" borderId="50" xfId="174" applyFont="1" applyBorder="1" applyAlignment="1" applyProtection="1">
      <alignment horizontal="center" vertical="center"/>
    </xf>
    <xf numFmtId="0" fontId="6" fillId="0" borderId="40" xfId="174" applyFont="1" applyBorder="1" applyAlignment="1" applyProtection="1">
      <alignment horizontal="center" vertical="center"/>
    </xf>
    <xf numFmtId="0" fontId="6" fillId="0" borderId="52" xfId="174" applyFont="1" applyBorder="1" applyAlignment="1" applyProtection="1">
      <alignment horizontal="center" vertical="center"/>
    </xf>
    <xf numFmtId="0" fontId="6" fillId="32" borderId="48" xfId="174" applyFont="1" applyFill="1" applyBorder="1" applyAlignment="1" applyProtection="1">
      <alignment horizontal="center" vertical="center" wrapText="1"/>
    </xf>
    <xf numFmtId="0" fontId="6" fillId="32" borderId="50" xfId="174" applyFont="1" applyFill="1" applyBorder="1" applyAlignment="1" applyProtection="1">
      <alignment horizontal="center" vertical="center" wrapText="1"/>
    </xf>
    <xf numFmtId="0" fontId="6" fillId="32" borderId="14" xfId="174" applyFont="1" applyFill="1" applyBorder="1" applyAlignment="1" applyProtection="1">
      <alignment horizontal="center" vertical="center" wrapText="1"/>
    </xf>
    <xf numFmtId="0" fontId="6" fillId="32" borderId="40" xfId="174" applyFont="1" applyFill="1" applyBorder="1" applyAlignment="1" applyProtection="1">
      <alignment horizontal="center" vertical="center" wrapText="1"/>
    </xf>
    <xf numFmtId="0" fontId="6" fillId="32" borderId="51" xfId="174" applyFont="1" applyFill="1" applyBorder="1" applyAlignment="1" applyProtection="1">
      <alignment horizontal="center" vertical="center" wrapText="1"/>
    </xf>
    <xf numFmtId="0" fontId="6" fillId="32" borderId="52" xfId="174" applyFont="1" applyFill="1" applyBorder="1" applyAlignment="1" applyProtection="1">
      <alignment horizontal="center" vertical="center" wrapText="1"/>
    </xf>
    <xf numFmtId="0" fontId="2" fillId="32" borderId="14" xfId="174" applyFont="1" applyFill="1" applyBorder="1" applyAlignment="1" applyProtection="1">
      <alignment horizontal="left" vertical="top" wrapText="1"/>
    </xf>
    <xf numFmtId="0" fontId="2" fillId="32" borderId="0" xfId="174" applyFont="1" applyFill="1" applyBorder="1" applyAlignment="1" applyProtection="1">
      <alignment horizontal="left" vertical="top" wrapText="1"/>
    </xf>
    <xf numFmtId="0" fontId="21" fillId="0" borderId="34" xfId="0" applyFont="1" applyBorder="1" applyAlignment="1" applyProtection="1">
      <alignment horizontal="center"/>
    </xf>
    <xf numFmtId="0" fontId="15" fillId="0" borderId="47" xfId="0" applyFont="1" applyBorder="1" applyAlignment="1" applyProtection="1">
      <alignment horizontal="center"/>
    </xf>
    <xf numFmtId="0" fontId="15" fillId="0" borderId="39" xfId="0" applyFont="1" applyBorder="1" applyAlignment="1" applyProtection="1">
      <alignment horizontal="center"/>
    </xf>
    <xf numFmtId="0" fontId="6" fillId="0" borderId="34" xfId="174" applyFont="1" applyBorder="1" applyAlignment="1" applyProtection="1">
      <alignment horizontal="center" vertical="top"/>
    </xf>
    <xf numFmtId="0" fontId="6" fillId="0" borderId="47" xfId="174" applyFont="1" applyBorder="1" applyAlignment="1" applyProtection="1">
      <alignment horizontal="center" vertical="top"/>
    </xf>
    <xf numFmtId="0" fontId="6" fillId="0" borderId="39" xfId="174" applyFont="1" applyBorder="1" applyAlignment="1" applyProtection="1">
      <alignment horizontal="center" vertical="top"/>
    </xf>
    <xf numFmtId="0" fontId="6" fillId="0" borderId="87" xfId="174" applyFont="1" applyBorder="1" applyAlignment="1" applyProtection="1">
      <alignment horizontal="center" vertical="center"/>
    </xf>
    <xf numFmtId="0" fontId="6" fillId="0" borderId="13" xfId="174" applyFont="1" applyBorder="1" applyAlignment="1" applyProtection="1">
      <alignment horizontal="center" vertical="center"/>
    </xf>
    <xf numFmtId="0" fontId="6" fillId="0" borderId="88" xfId="174" applyFont="1" applyBorder="1" applyAlignment="1" applyProtection="1">
      <alignment horizontal="center" vertical="center"/>
    </xf>
    <xf numFmtId="0" fontId="2" fillId="32" borderId="14" xfId="174" applyFont="1" applyFill="1" applyBorder="1" applyAlignment="1" applyProtection="1">
      <alignment horizontal="left" vertical="top"/>
    </xf>
    <xf numFmtId="0" fontId="2" fillId="32" borderId="0" xfId="174" applyFont="1" applyFill="1" applyBorder="1" applyAlignment="1" applyProtection="1">
      <alignment horizontal="left" vertical="top"/>
    </xf>
    <xf numFmtId="0" fontId="2" fillId="0" borderId="34" xfId="186" applyFont="1" applyFill="1" applyBorder="1" applyAlignment="1" applyProtection="1">
      <alignment horizontal="center"/>
    </xf>
    <xf numFmtId="0" fontId="2" fillId="0" borderId="47" xfId="186" applyFont="1" applyFill="1" applyBorder="1" applyAlignment="1" applyProtection="1">
      <alignment horizontal="center"/>
    </xf>
    <xf numFmtId="0" fontId="2" fillId="0" borderId="39" xfId="186" applyFont="1" applyFill="1" applyBorder="1" applyAlignment="1" applyProtection="1">
      <alignment horizontal="center"/>
    </xf>
  </cellXfs>
  <cellStyles count="194">
    <cellStyle name="_x000d__x000a_JournalTemplate=C:\COMFO\CTALK\JOURSTD.TPL_x000d__x000a_LbStateAddress=3 3 0 251 1 89 2 311_x000d__x000a_LbStateJou" xfId="1"/>
    <cellStyle name="Bad" xfId="2"/>
    <cellStyle name="Calculation" xfId="3"/>
    <cellStyle name="Check Cell" xfId="4"/>
    <cellStyle name="Comma 2" xfId="5"/>
    <cellStyle name="Euro" xfId="6"/>
    <cellStyle name="Explanatory Text" xfId="7"/>
    <cellStyle name="Good" xfId="8"/>
    <cellStyle name="Heading 1" xfId="9"/>
    <cellStyle name="Heading 2" xfId="10"/>
    <cellStyle name="Heading 3" xfId="11"/>
    <cellStyle name="Heading 4" xfId="12"/>
    <cellStyle name="Hyperlink" xfId="13" builtinId="8"/>
    <cellStyle name="Input" xfId="14"/>
    <cellStyle name="Komma 2" xfId="15"/>
    <cellStyle name="Komma 3" xfId="16"/>
    <cellStyle name="Linked Cell" xfId="17"/>
    <cellStyle name="Milliers 2" xfId="18"/>
    <cellStyle name="Milliers 5" xfId="19"/>
    <cellStyle name="Milliers 8" xfId="20"/>
    <cellStyle name="Neutral" xfId="21"/>
    <cellStyle name="Normal 10" xfId="22"/>
    <cellStyle name="Normal 13" xfId="23"/>
    <cellStyle name="Normal 14" xfId="24"/>
    <cellStyle name="Normal 15" xfId="25"/>
    <cellStyle name="Normal 16" xfId="26"/>
    <cellStyle name="Normal 17" xfId="27"/>
    <cellStyle name="Normal 18" xfId="28"/>
    <cellStyle name="Normal 19" xfId="29"/>
    <cellStyle name="Normal 2" xfId="30"/>
    <cellStyle name="Normal 2 11" xfId="31"/>
    <cellStyle name="Normal 2 12" xfId="32"/>
    <cellStyle name="Normal 2 13" xfId="33"/>
    <cellStyle name="Normal 2 2" xfId="34"/>
    <cellStyle name="Normal 2 2 2" xfId="35"/>
    <cellStyle name="Normal 20" xfId="36"/>
    <cellStyle name="Normal 21" xfId="37"/>
    <cellStyle name="Normal 22" xfId="38"/>
    <cellStyle name="Normal 23" xfId="39"/>
    <cellStyle name="Normal 24" xfId="40"/>
    <cellStyle name="Normal 25" xfId="41"/>
    <cellStyle name="Normal 26" xfId="42"/>
    <cellStyle name="Normal 27" xfId="43"/>
    <cellStyle name="Normal 28" xfId="44"/>
    <cellStyle name="Normal 29" xfId="45"/>
    <cellStyle name="Normal 3" xfId="46"/>
    <cellStyle name="Normal 3 2" xfId="47"/>
    <cellStyle name="Normal 3 3" xfId="48"/>
    <cellStyle name="Normal 30" xfId="49"/>
    <cellStyle name="Normal 31" xfId="50"/>
    <cellStyle name="Normal 32" xfId="51"/>
    <cellStyle name="Normal 33" xfId="52"/>
    <cellStyle name="Normal 34" xfId="53"/>
    <cellStyle name="Normal 35" xfId="54"/>
    <cellStyle name="Normal 36" xfId="55"/>
    <cellStyle name="Normal 37" xfId="56"/>
    <cellStyle name="Normal 38" xfId="57"/>
    <cellStyle name="Normal 39" xfId="58"/>
    <cellStyle name="Normal 4" xfId="59"/>
    <cellStyle name="Normal 40" xfId="60"/>
    <cellStyle name="Normal 41" xfId="61"/>
    <cellStyle name="Normal 42" xfId="62"/>
    <cellStyle name="Normal 43" xfId="63"/>
    <cellStyle name="Normal 44" xfId="64"/>
    <cellStyle name="Normal 45" xfId="65"/>
    <cellStyle name="Normal 46" xfId="66"/>
    <cellStyle name="Normal 47" xfId="67"/>
    <cellStyle name="Normal 48" xfId="68"/>
    <cellStyle name="Normal 49" xfId="69"/>
    <cellStyle name="Normal 50" xfId="70"/>
    <cellStyle name="Normal 51" xfId="71"/>
    <cellStyle name="Normal 52" xfId="72"/>
    <cellStyle name="Normal 53" xfId="73"/>
    <cellStyle name="Normal 54" xfId="74"/>
    <cellStyle name="Normal 56" xfId="75"/>
    <cellStyle name="Normal 57" xfId="76"/>
    <cellStyle name="Normal 58" xfId="77"/>
    <cellStyle name="Normal 59" xfId="78"/>
    <cellStyle name="Normal 60" xfId="79"/>
    <cellStyle name="Normal 61" xfId="80"/>
    <cellStyle name="Normal 62" xfId="81"/>
    <cellStyle name="Normal 63" xfId="82"/>
    <cellStyle name="Normal 64" xfId="83"/>
    <cellStyle name="Normal 65" xfId="84"/>
    <cellStyle name="Normal 66" xfId="85"/>
    <cellStyle name="Normal 67" xfId="86"/>
    <cellStyle name="Normal 68" xfId="87"/>
    <cellStyle name="Normal 69" xfId="88"/>
    <cellStyle name="Normal 70" xfId="89"/>
    <cellStyle name="Normal 71" xfId="90"/>
    <cellStyle name="Normal 72" xfId="91"/>
    <cellStyle name="Normal 73" xfId="92"/>
    <cellStyle name="Normal 74" xfId="93"/>
    <cellStyle name="Normal 75" xfId="94"/>
    <cellStyle name="Normal 76" xfId="95"/>
    <cellStyle name="Normal 77" xfId="96"/>
    <cellStyle name="Normal 78" xfId="97"/>
    <cellStyle name="Normal 79" xfId="98"/>
    <cellStyle name="Normal 80" xfId="99"/>
    <cellStyle name="Normal 81" xfId="100"/>
    <cellStyle name="Normal 82" xfId="101"/>
    <cellStyle name="Normal 83" xfId="102"/>
    <cellStyle name="Normal 84" xfId="103"/>
    <cellStyle name="Normal 85" xfId="104"/>
    <cellStyle name="Normal 86" xfId="105"/>
    <cellStyle name="Normal 87" xfId="106"/>
    <cellStyle name="Normal 88" xfId="107"/>
    <cellStyle name="Normal 89" xfId="108"/>
    <cellStyle name="Normal 9" xfId="109"/>
    <cellStyle name="Normal 90" xfId="110"/>
    <cellStyle name="Normal 91" xfId="111"/>
    <cellStyle name="Normal 92" xfId="112"/>
    <cellStyle name="Normal 93" xfId="113"/>
    <cellStyle name="Normal 94" xfId="114"/>
    <cellStyle name="Normal 95 2" xfId="115"/>
    <cellStyle name="Normal_IMEA" xfId="116"/>
    <cellStyle name="Note" xfId="117"/>
    <cellStyle name="Output" xfId="118"/>
    <cellStyle name="Percent 2" xfId="119"/>
    <cellStyle name="Pourcentage 2" xfId="120"/>
    <cellStyle name="Procent" xfId="121" builtinId="5"/>
    <cellStyle name="Procent 2" xfId="122"/>
    <cellStyle name="Procent 3" xfId="123"/>
    <cellStyle name="Procent 4" xfId="124"/>
    <cellStyle name="Procent 5" xfId="125"/>
    <cellStyle name="Procent 6" xfId="126"/>
    <cellStyle name="SAPBEXaggData" xfId="127"/>
    <cellStyle name="SAPBEXaggDataEmph" xfId="128"/>
    <cellStyle name="SAPBEXaggItem" xfId="129"/>
    <cellStyle name="SAPBEXaggItemX" xfId="130"/>
    <cellStyle name="SAPBEXchaText" xfId="131"/>
    <cellStyle name="SAPBEXchaText 2" xfId="132"/>
    <cellStyle name="SAPBEXexcBad7" xfId="133"/>
    <cellStyle name="SAPBEXexcBad8" xfId="134"/>
    <cellStyle name="SAPBEXexcBad9" xfId="135"/>
    <cellStyle name="SAPBEXexcCritical4" xfId="136"/>
    <cellStyle name="SAPBEXexcCritical5" xfId="137"/>
    <cellStyle name="SAPBEXexcCritical6" xfId="138"/>
    <cellStyle name="SAPBEXexcGood1" xfId="139"/>
    <cellStyle name="SAPBEXexcGood2" xfId="140"/>
    <cellStyle name="SAPBEXexcGood3" xfId="141"/>
    <cellStyle name="SAPBEXfilterDrill" xfId="142"/>
    <cellStyle name="SAPBEXfilterItem" xfId="143"/>
    <cellStyle name="SAPBEXfilterText" xfId="144"/>
    <cellStyle name="SAPBEXformats" xfId="145"/>
    <cellStyle name="SAPBEXheaderItem" xfId="146"/>
    <cellStyle name="SAPBEXheaderText" xfId="147"/>
    <cellStyle name="SAPBEXHLevel0" xfId="148"/>
    <cellStyle name="SAPBEXHLevel0X" xfId="149"/>
    <cellStyle name="SAPBEXHLevel1" xfId="150"/>
    <cellStyle name="SAPBEXHLevel1X" xfId="151"/>
    <cellStyle name="SAPBEXHLevel2" xfId="152"/>
    <cellStyle name="SAPBEXHLevel2X" xfId="153"/>
    <cellStyle name="SAPBEXHLevel3" xfId="154"/>
    <cellStyle name="SAPBEXHLevel3X" xfId="155"/>
    <cellStyle name="SAPBEXinputData" xfId="156"/>
    <cellStyle name="SAPBEXresData" xfId="157"/>
    <cellStyle name="SAPBEXresDataEmph" xfId="158"/>
    <cellStyle name="SAPBEXresItem" xfId="159"/>
    <cellStyle name="SAPBEXresItemX" xfId="160"/>
    <cellStyle name="SAPBEXstdData" xfId="161"/>
    <cellStyle name="SAPBEXstdDataEmph" xfId="162"/>
    <cellStyle name="SAPBEXstdItem" xfId="163"/>
    <cellStyle name="SAPBEXstdItem 2" xfId="164"/>
    <cellStyle name="SAPBEXstdItemX" xfId="165"/>
    <cellStyle name="SAPBEXtitle" xfId="166"/>
    <cellStyle name="SAPBEXundefined" xfId="167"/>
    <cellStyle name="Sheet Title" xfId="168"/>
    <cellStyle name="Standaard" xfId="0" builtinId="0"/>
    <cellStyle name="Standaard 2" xfId="169"/>
    <cellStyle name="Standaard 2 2" xfId="170"/>
    <cellStyle name="Standaard 2 3" xfId="171"/>
    <cellStyle name="Standaard 2 4" xfId="172"/>
    <cellStyle name="Standaard 2_B2009_doorvervoer ELEK_MATRIX_versie DEF" xfId="173"/>
    <cellStyle name="Standaard 3" xfId="174"/>
    <cellStyle name="Standaard 3 2" xfId="175"/>
    <cellStyle name="Standaard 3 3" xfId="176"/>
    <cellStyle name="Standaard 4" xfId="177"/>
    <cellStyle name="Standaard 4 2" xfId="178"/>
    <cellStyle name="Standaard 4_B2009_doorvervoer ELEK_MATRIX_versie DEF" xfId="179"/>
    <cellStyle name="Standaard 5" xfId="180"/>
    <cellStyle name="Standaard 6" xfId="181"/>
    <cellStyle name="Standaard 7" xfId="182"/>
    <cellStyle name="Standaard 7 2" xfId="183"/>
    <cellStyle name="Standaard 8" xfId="184"/>
    <cellStyle name="Standaard_20100727 Rekenmodel NE5R v1.9" xfId="185"/>
    <cellStyle name="Standaard_Balans IL-Glob. PLAU" xfId="186"/>
    <cellStyle name="Standaard_Balans IL-Glob. PLAU 2" xfId="187"/>
    <cellStyle name="Stijl 1" xfId="188"/>
    <cellStyle name="Style 1" xfId="189"/>
    <cellStyle name="Title" xfId="190"/>
    <cellStyle name="Total" xfId="191"/>
    <cellStyle name="Valuta 2" xfId="192"/>
    <cellStyle name="Warning Text" xfId="193"/>
  </cellStyles>
  <dxfs count="105">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19050</xdr:colOff>
      <xdr:row>33</xdr:row>
      <xdr:rowOff>9525</xdr:rowOff>
    </xdr:from>
    <xdr:to>
      <xdr:col>12</xdr:col>
      <xdr:colOff>180975</xdr:colOff>
      <xdr:row>39</xdr:row>
      <xdr:rowOff>38100</xdr:rowOff>
    </xdr:to>
    <xdr:sp macro="" textlink="">
      <xdr:nvSpPr>
        <xdr:cNvPr id="47254" name="AutoShape 2">
          <a:extLst>
            <a:ext uri="{FF2B5EF4-FFF2-40B4-BE49-F238E27FC236}">
              <a16:creationId xmlns:a16="http://schemas.microsoft.com/office/drawing/2014/main" id="{29286435-CF18-413D-B605-60ECEF42A1D4}"/>
            </a:ext>
          </a:extLst>
        </xdr:cNvPr>
        <xdr:cNvSpPr>
          <a:spLocks/>
        </xdr:cNvSpPr>
      </xdr:nvSpPr>
      <xdr:spPr bwMode="auto">
        <a:xfrm>
          <a:off x="12058650" y="6124575"/>
          <a:ext cx="161925" cy="1000125"/>
        </a:xfrm>
        <a:prstGeom prst="rightBrace">
          <a:avLst>
            <a:gd name="adj1" fmla="val 18566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19050</xdr:colOff>
      <xdr:row>33</xdr:row>
      <xdr:rowOff>9525</xdr:rowOff>
    </xdr:from>
    <xdr:to>
      <xdr:col>12</xdr:col>
      <xdr:colOff>180975</xdr:colOff>
      <xdr:row>39</xdr:row>
      <xdr:rowOff>38100</xdr:rowOff>
    </xdr:to>
    <xdr:sp macro="" textlink="">
      <xdr:nvSpPr>
        <xdr:cNvPr id="36226" name="AutoShape 2">
          <a:extLst>
            <a:ext uri="{FF2B5EF4-FFF2-40B4-BE49-F238E27FC236}">
              <a16:creationId xmlns:a16="http://schemas.microsoft.com/office/drawing/2014/main" id="{C12AC74D-D8F4-47A0-9DD4-7A0A922EB19A}"/>
            </a:ext>
          </a:extLst>
        </xdr:cNvPr>
        <xdr:cNvSpPr>
          <a:spLocks/>
        </xdr:cNvSpPr>
      </xdr:nvSpPr>
      <xdr:spPr bwMode="auto">
        <a:xfrm>
          <a:off x="19859625" y="6276975"/>
          <a:ext cx="161925" cy="1000125"/>
        </a:xfrm>
        <a:prstGeom prst="rightBrace">
          <a:avLst>
            <a:gd name="adj1" fmla="val 18566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19050</xdr:colOff>
      <xdr:row>63</xdr:row>
      <xdr:rowOff>9525</xdr:rowOff>
    </xdr:from>
    <xdr:to>
      <xdr:col>12</xdr:col>
      <xdr:colOff>180975</xdr:colOff>
      <xdr:row>69</xdr:row>
      <xdr:rowOff>38100</xdr:rowOff>
    </xdr:to>
    <xdr:sp macro="" textlink="">
      <xdr:nvSpPr>
        <xdr:cNvPr id="48278" name="AutoShape 2">
          <a:extLst>
            <a:ext uri="{FF2B5EF4-FFF2-40B4-BE49-F238E27FC236}">
              <a16:creationId xmlns:a16="http://schemas.microsoft.com/office/drawing/2014/main" id="{262EECD2-220A-4FE4-B017-619C16A3C7C0}"/>
            </a:ext>
          </a:extLst>
        </xdr:cNvPr>
        <xdr:cNvSpPr>
          <a:spLocks/>
        </xdr:cNvSpPr>
      </xdr:nvSpPr>
      <xdr:spPr bwMode="auto">
        <a:xfrm>
          <a:off x="12811125" y="20021550"/>
          <a:ext cx="161925" cy="1000125"/>
        </a:xfrm>
        <a:prstGeom prst="rightBrace">
          <a:avLst>
            <a:gd name="adj1" fmla="val 19098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19050</xdr:colOff>
      <xdr:row>85</xdr:row>
      <xdr:rowOff>9525</xdr:rowOff>
    </xdr:from>
    <xdr:to>
      <xdr:col>10</xdr:col>
      <xdr:colOff>180975</xdr:colOff>
      <xdr:row>89</xdr:row>
      <xdr:rowOff>38100</xdr:rowOff>
    </xdr:to>
    <xdr:sp macro="" textlink="">
      <xdr:nvSpPr>
        <xdr:cNvPr id="39288" name="AutoShape 2">
          <a:extLst>
            <a:ext uri="{FF2B5EF4-FFF2-40B4-BE49-F238E27FC236}">
              <a16:creationId xmlns:a16="http://schemas.microsoft.com/office/drawing/2014/main" id="{6493A4A7-2CF1-4C69-90B0-C290086BEC5A}"/>
            </a:ext>
          </a:extLst>
        </xdr:cNvPr>
        <xdr:cNvSpPr>
          <a:spLocks/>
        </xdr:cNvSpPr>
      </xdr:nvSpPr>
      <xdr:spPr bwMode="auto">
        <a:xfrm>
          <a:off x="10515600" y="26127075"/>
          <a:ext cx="161925" cy="676275"/>
        </a:xfrm>
        <a:prstGeom prst="rightBrace">
          <a:avLst>
            <a:gd name="adj1" fmla="val 1291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19050</xdr:colOff>
      <xdr:row>29</xdr:row>
      <xdr:rowOff>9525</xdr:rowOff>
    </xdr:from>
    <xdr:to>
      <xdr:col>10</xdr:col>
      <xdr:colOff>180975</xdr:colOff>
      <xdr:row>33</xdr:row>
      <xdr:rowOff>38100</xdr:rowOff>
    </xdr:to>
    <xdr:sp macro="" textlink="">
      <xdr:nvSpPr>
        <xdr:cNvPr id="42340" name="AutoShape 2">
          <a:extLst>
            <a:ext uri="{FF2B5EF4-FFF2-40B4-BE49-F238E27FC236}">
              <a16:creationId xmlns:a16="http://schemas.microsoft.com/office/drawing/2014/main" id="{611A36E6-7A7A-4918-9601-5B46D5C48ECF}"/>
            </a:ext>
          </a:extLst>
        </xdr:cNvPr>
        <xdr:cNvSpPr>
          <a:spLocks/>
        </xdr:cNvSpPr>
      </xdr:nvSpPr>
      <xdr:spPr bwMode="auto">
        <a:xfrm>
          <a:off x="16506825" y="5334000"/>
          <a:ext cx="161925" cy="676275"/>
        </a:xfrm>
        <a:prstGeom prst="rightBrace">
          <a:avLst>
            <a:gd name="adj1" fmla="val 1291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Centers\OP\OP_EV\CREG\Dossier%202007\Nacalculatie\Nacalc20080215\Documents%20and%20Settings\htulpinck\Local%20Settings\Temporary%20Internet%20Files\OLK39B\Tariefvoorstel%20aansluitingen%20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refreshError="1"/>
      <sheetData sheetId="1" refreshError="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V130"/>
  <sheetViews>
    <sheetView showGridLines="0" tabSelected="1" zoomScaleNormal="100" workbookViewId="0">
      <selection activeCell="B2" sqref="B2"/>
    </sheetView>
  </sheetViews>
  <sheetFormatPr defaultColWidth="8.81640625" defaultRowHeight="12.5" x14ac:dyDescent="0.25"/>
  <cols>
    <col min="1" max="1" width="10.7265625" style="8" bestFit="1" customWidth="1"/>
    <col min="2" max="2" width="36.26953125" style="8" customWidth="1"/>
    <col min="3" max="3" width="11.54296875" style="8" customWidth="1"/>
    <col min="4" max="4" width="14" style="8" customWidth="1"/>
    <col min="5" max="6" width="8.81640625" style="8"/>
    <col min="7" max="7" width="10.7265625" style="8" bestFit="1" customWidth="1"/>
    <col min="8" max="14" width="8.81640625" style="8"/>
    <col min="15" max="15" width="10.1796875" style="8" bestFit="1" customWidth="1"/>
    <col min="16" max="16" width="8.81640625" style="8"/>
    <col min="17" max="17" width="31.7265625" style="8" customWidth="1"/>
    <col min="18" max="16384" width="8.81640625" style="8"/>
  </cols>
  <sheetData>
    <row r="1" spans="1:15" ht="13" x14ac:dyDescent="0.3">
      <c r="B1" s="9"/>
      <c r="C1" s="10"/>
      <c r="O1" s="446"/>
    </row>
    <row r="2" spans="1:15" ht="25" x14ac:dyDescent="0.5">
      <c r="A2" s="11"/>
      <c r="B2" s="12" t="s">
        <v>25</v>
      </c>
      <c r="C2" s="13"/>
      <c r="D2" s="13"/>
      <c r="E2" s="13"/>
      <c r="F2" s="11"/>
      <c r="G2" s="11"/>
      <c r="H2" s="11"/>
      <c r="I2" s="11"/>
      <c r="J2" s="11"/>
      <c r="K2" s="11"/>
      <c r="L2" s="11"/>
      <c r="M2" s="11"/>
      <c r="O2" s="892">
        <v>42986</v>
      </c>
    </row>
    <row r="3" spans="1:15" ht="13" x14ac:dyDescent="0.3">
      <c r="B3" s="9"/>
      <c r="C3" s="10"/>
    </row>
    <row r="4" spans="1:15" ht="13" x14ac:dyDescent="0.3">
      <c r="B4" s="9"/>
      <c r="C4" s="10"/>
    </row>
    <row r="5" spans="1:15" ht="13" x14ac:dyDescent="0.3">
      <c r="B5" s="9"/>
      <c r="C5" s="14"/>
    </row>
    <row r="6" spans="1:15" ht="13.5" thickBot="1" x14ac:dyDescent="0.35">
      <c r="B6" s="9"/>
      <c r="C6" s="10"/>
    </row>
    <row r="7" spans="1:15" ht="13.5" thickBot="1" x14ac:dyDescent="0.35">
      <c r="B7" s="9" t="s">
        <v>17</v>
      </c>
      <c r="C7" s="961" t="s">
        <v>223</v>
      </c>
      <c r="D7" s="962"/>
      <c r="E7" s="962"/>
      <c r="F7" s="963"/>
    </row>
    <row r="8" spans="1:15" ht="13.5" thickBot="1" x14ac:dyDescent="0.35">
      <c r="B8" s="9" t="s">
        <v>18</v>
      </c>
      <c r="C8" s="961"/>
      <c r="D8" s="962"/>
      <c r="E8" s="962"/>
      <c r="F8" s="963"/>
    </row>
    <row r="9" spans="1:15" ht="13.5" thickBot="1" x14ac:dyDescent="0.35">
      <c r="B9" s="9" t="s">
        <v>146</v>
      </c>
      <c r="C9" s="961"/>
      <c r="D9" s="962"/>
      <c r="E9" s="962"/>
      <c r="F9" s="963"/>
    </row>
    <row r="10" spans="1:15" ht="13.5" thickBot="1" x14ac:dyDescent="0.35">
      <c r="B10" s="9" t="s">
        <v>19</v>
      </c>
      <c r="C10" s="961"/>
      <c r="D10" s="962"/>
      <c r="E10" s="962"/>
      <c r="F10" s="963"/>
    </row>
    <row r="11" spans="1:15" s="15" customFormat="1" ht="13.5" thickBot="1" x14ac:dyDescent="0.35">
      <c r="B11" s="16"/>
      <c r="C11" s="17"/>
      <c r="D11" s="17"/>
      <c r="E11" s="17"/>
      <c r="F11" s="17"/>
    </row>
    <row r="12" spans="1:15" ht="13.5" thickBot="1" x14ac:dyDescent="0.35">
      <c r="B12" s="9" t="s">
        <v>20</v>
      </c>
      <c r="C12" s="964" t="s">
        <v>372</v>
      </c>
      <c r="D12" s="965"/>
      <c r="E12" s="965"/>
      <c r="F12" s="966"/>
    </row>
    <row r="13" spans="1:15" ht="13" x14ac:dyDescent="0.3">
      <c r="B13" s="9"/>
      <c r="C13" s="10"/>
    </row>
    <row r="14" spans="1:15" ht="13.5" thickBot="1" x14ac:dyDescent="0.35">
      <c r="B14" s="9"/>
      <c r="C14" s="10"/>
    </row>
    <row r="15" spans="1:15" ht="13.5" thickBot="1" x14ac:dyDescent="0.35">
      <c r="B15" s="18" t="s">
        <v>21</v>
      </c>
      <c r="C15" s="9"/>
      <c r="D15" s="18" t="s">
        <v>22</v>
      </c>
      <c r="E15" s="607">
        <v>2017</v>
      </c>
    </row>
    <row r="16" spans="1:15" ht="13.5" thickBot="1" x14ac:dyDescent="0.35">
      <c r="B16" s="18"/>
      <c r="C16" s="9"/>
      <c r="D16" s="18" t="s">
        <v>23</v>
      </c>
      <c r="E16" s="607">
        <v>2020</v>
      </c>
    </row>
    <row r="17" spans="1:16" ht="13.5" thickBot="1" x14ac:dyDescent="0.35">
      <c r="B17" s="19"/>
      <c r="C17" s="10"/>
    </row>
    <row r="18" spans="1:16" s="20" customFormat="1" ht="13.5" thickBot="1" x14ac:dyDescent="0.35">
      <c r="B18" s="18" t="s">
        <v>198</v>
      </c>
      <c r="E18" s="608">
        <v>2019</v>
      </c>
      <c r="F18" s="609" t="s">
        <v>190</v>
      </c>
      <c r="G18" s="21"/>
      <c r="H18" s="21"/>
      <c r="I18" s="21"/>
      <c r="J18" s="21"/>
      <c r="K18" s="21"/>
      <c r="L18" s="21"/>
      <c r="M18" s="21"/>
      <c r="N18" s="21"/>
      <c r="O18" s="21"/>
      <c r="P18" s="21"/>
    </row>
    <row r="19" spans="1:16" ht="13" x14ac:dyDescent="0.3">
      <c r="B19" s="22"/>
      <c r="C19" s="23"/>
    </row>
    <row r="21" spans="1:16" ht="13" x14ac:dyDescent="0.3">
      <c r="A21" s="958" t="s">
        <v>53</v>
      </c>
      <c r="B21" s="959"/>
      <c r="C21" s="959"/>
      <c r="D21" s="959"/>
      <c r="E21" s="959"/>
      <c r="F21" s="959"/>
      <c r="G21" s="959"/>
      <c r="H21" s="959"/>
      <c r="I21" s="960"/>
    </row>
    <row r="22" spans="1:16" ht="14" x14ac:dyDescent="0.3">
      <c r="A22" s="24"/>
    </row>
    <row r="23" spans="1:16" x14ac:dyDescent="0.25">
      <c r="A23" s="25" t="s">
        <v>24</v>
      </c>
    </row>
    <row r="24" spans="1:16" x14ac:dyDescent="0.25">
      <c r="A24" s="31" t="s">
        <v>199</v>
      </c>
    </row>
    <row r="25" spans="1:16" x14ac:dyDescent="0.25">
      <c r="A25" s="25" t="s">
        <v>52</v>
      </c>
    </row>
    <row r="26" spans="1:16" x14ac:dyDescent="0.25">
      <c r="A26" s="26" t="s">
        <v>54</v>
      </c>
    </row>
    <row r="27" spans="1:16" x14ac:dyDescent="0.25">
      <c r="A27" s="42" t="s">
        <v>298</v>
      </c>
    </row>
    <row r="28" spans="1:16" x14ac:dyDescent="0.25">
      <c r="A28" s="26"/>
    </row>
    <row r="29" spans="1:16" s="26" customFormat="1" x14ac:dyDescent="0.25">
      <c r="A29" s="27" t="s">
        <v>200</v>
      </c>
    </row>
    <row r="30" spans="1:16" s="26" customFormat="1" x14ac:dyDescent="0.25"/>
    <row r="31" spans="1:16" s="26" customFormat="1" ht="13" x14ac:dyDescent="0.3">
      <c r="A31" s="27" t="s">
        <v>201</v>
      </c>
    </row>
    <row r="32" spans="1:16" s="26" customFormat="1" x14ac:dyDescent="0.25">
      <c r="A32" s="27" t="s">
        <v>70</v>
      </c>
    </row>
    <row r="33" spans="1:12" s="26" customFormat="1" ht="13" x14ac:dyDescent="0.3">
      <c r="A33" s="27" t="s">
        <v>299</v>
      </c>
    </row>
    <row r="34" spans="1:12" s="26" customFormat="1" x14ac:dyDescent="0.25"/>
    <row r="35" spans="1:12" ht="13" x14ac:dyDescent="0.3">
      <c r="A35" s="958" t="s">
        <v>55</v>
      </c>
      <c r="B35" s="959"/>
      <c r="C35" s="959"/>
      <c r="D35" s="959"/>
      <c r="E35" s="959"/>
      <c r="F35" s="959"/>
      <c r="G35" s="959"/>
      <c r="H35" s="959"/>
      <c r="I35" s="960"/>
    </row>
    <row r="36" spans="1:12" s="25" customFormat="1" x14ac:dyDescent="0.25">
      <c r="A36" s="28"/>
      <c r="B36" s="28"/>
      <c r="C36" s="8"/>
      <c r="D36" s="8"/>
      <c r="E36" s="8"/>
      <c r="F36" s="8"/>
      <c r="G36" s="8"/>
      <c r="H36" s="8"/>
      <c r="I36" s="8"/>
      <c r="J36" s="8"/>
      <c r="K36" s="8"/>
      <c r="L36" s="8"/>
    </row>
    <row r="37" spans="1:12" x14ac:dyDescent="0.25">
      <c r="A37" s="28"/>
      <c r="B37" s="29"/>
      <c r="C37" s="30"/>
      <c r="D37" s="31" t="s">
        <v>124</v>
      </c>
      <c r="E37" s="30"/>
      <c r="F37" s="30"/>
      <c r="G37" s="30"/>
      <c r="H37" s="30"/>
      <c r="I37" s="30"/>
      <c r="J37" s="30"/>
    </row>
    <row r="38" spans="1:12" x14ac:dyDescent="0.25">
      <c r="A38" s="28"/>
      <c r="B38" s="32"/>
      <c r="C38" s="30"/>
      <c r="D38" s="31"/>
      <c r="E38" s="30"/>
      <c r="F38" s="30"/>
      <c r="G38" s="30"/>
      <c r="H38" s="30"/>
      <c r="I38" s="30"/>
      <c r="J38" s="30"/>
    </row>
    <row r="39" spans="1:12" ht="15" customHeight="1" x14ac:dyDescent="0.25">
      <c r="A39" s="28"/>
      <c r="B39" s="33"/>
      <c r="C39" s="34"/>
      <c r="D39" s="31" t="s">
        <v>61</v>
      </c>
      <c r="E39" s="35"/>
      <c r="F39" s="35"/>
      <c r="G39" s="35"/>
      <c r="H39" s="30"/>
      <c r="I39" s="30"/>
      <c r="J39" s="30"/>
    </row>
    <row r="40" spans="1:12" x14ac:dyDescent="0.25">
      <c r="A40" s="28"/>
      <c r="B40" s="36"/>
      <c r="C40" s="30"/>
      <c r="D40" s="31"/>
      <c r="E40" s="30"/>
      <c r="F40" s="30"/>
      <c r="G40" s="30"/>
      <c r="H40" s="30"/>
      <c r="I40" s="30"/>
      <c r="J40" s="30"/>
    </row>
    <row r="41" spans="1:12" x14ac:dyDescent="0.25">
      <c r="A41" s="28"/>
      <c r="B41" s="37"/>
      <c r="C41" s="30"/>
      <c r="D41" s="31" t="s">
        <v>125</v>
      </c>
      <c r="E41" s="30"/>
      <c r="F41" s="30"/>
      <c r="G41" s="30"/>
      <c r="H41" s="30"/>
      <c r="I41" s="30"/>
      <c r="J41" s="30"/>
    </row>
    <row r="42" spans="1:12" x14ac:dyDescent="0.25">
      <c r="A42" s="28"/>
      <c r="B42" s="38"/>
      <c r="C42" s="30"/>
      <c r="D42" s="31"/>
      <c r="E42" s="30"/>
      <c r="F42" s="30"/>
      <c r="G42" s="30"/>
      <c r="H42" s="30"/>
      <c r="I42" s="30"/>
      <c r="J42" s="30"/>
    </row>
    <row r="43" spans="1:12" ht="12.75" customHeight="1" x14ac:dyDescent="0.25">
      <c r="A43" s="28"/>
      <c r="B43" s="39"/>
      <c r="C43" s="30"/>
      <c r="D43" s="31" t="s">
        <v>126</v>
      </c>
      <c r="E43" s="40"/>
      <c r="F43" s="40"/>
      <c r="G43" s="40"/>
      <c r="H43" s="40"/>
      <c r="I43" s="40"/>
      <c r="J43" s="40"/>
      <c r="K43" s="41"/>
    </row>
    <row r="44" spans="1:12" x14ac:dyDescent="0.25">
      <c r="A44" s="28"/>
      <c r="B44" s="28"/>
      <c r="D44" s="41"/>
      <c r="E44" s="41"/>
      <c r="F44" s="41"/>
      <c r="G44" s="41"/>
      <c r="H44" s="41"/>
      <c r="I44" s="41"/>
      <c r="J44" s="41"/>
      <c r="K44" s="41"/>
    </row>
    <row r="45" spans="1:12" x14ac:dyDescent="0.25">
      <c r="A45" s="28"/>
      <c r="B45" s="28"/>
      <c r="D45" s="42"/>
    </row>
    <row r="46" spans="1:12" x14ac:dyDescent="0.25">
      <c r="A46" s="28"/>
      <c r="B46" s="28"/>
      <c r="D46" s="42"/>
    </row>
    <row r="47" spans="1:12" ht="13" x14ac:dyDescent="0.3">
      <c r="A47" s="958" t="s">
        <v>69</v>
      </c>
      <c r="B47" s="959"/>
      <c r="C47" s="959"/>
      <c r="D47" s="959"/>
      <c r="E47" s="959"/>
      <c r="F47" s="959"/>
      <c r="G47" s="959"/>
      <c r="H47" s="959"/>
      <c r="I47" s="960"/>
    </row>
    <row r="48" spans="1:12" s="15" customFormat="1" ht="13" x14ac:dyDescent="0.3">
      <c r="A48" s="797"/>
    </row>
    <row r="49" spans="1:9" s="15" customFormat="1" x14ac:dyDescent="0.25">
      <c r="A49" s="6" t="s">
        <v>127</v>
      </c>
      <c r="B49" s="6"/>
    </row>
    <row r="50" spans="1:9" s="15" customFormat="1" ht="60.75" customHeight="1" x14ac:dyDescent="0.25">
      <c r="A50" s="968" t="s">
        <v>300</v>
      </c>
      <c r="B50" s="968"/>
      <c r="C50" s="968"/>
      <c r="D50" s="968"/>
      <c r="E50" s="968"/>
      <c r="F50" s="968"/>
      <c r="G50" s="968"/>
      <c r="H50" s="968"/>
      <c r="I50" s="968"/>
    </row>
    <row r="51" spans="1:9" s="15" customFormat="1" x14ac:dyDescent="0.25">
      <c r="A51" s="605"/>
    </row>
    <row r="52" spans="1:9" s="15" customFormat="1" x14ac:dyDescent="0.25">
      <c r="A52" s="825" t="str">
        <f>+'T1'!A1:L1</f>
        <v xml:space="preserve"> TABEL 1: Resultatenrekening (algemene boekhouding) voor boekjaar 2019 (waarden boekhouding)</v>
      </c>
      <c r="B52" s="825"/>
      <c r="C52" s="825"/>
      <c r="D52" s="825"/>
      <c r="E52" s="825"/>
      <c r="F52" s="825"/>
      <c r="G52" s="6"/>
    </row>
    <row r="53" spans="1:9" s="15" customFormat="1" ht="84.75" customHeight="1" x14ac:dyDescent="0.25">
      <c r="A53" s="968" t="s">
        <v>334</v>
      </c>
      <c r="B53" s="968"/>
      <c r="C53" s="968"/>
      <c r="D53" s="968"/>
      <c r="E53" s="968"/>
      <c r="F53" s="968"/>
      <c r="G53" s="968"/>
      <c r="H53" s="968"/>
      <c r="I53" s="968"/>
    </row>
    <row r="54" spans="1:9" s="15" customFormat="1" ht="14" x14ac:dyDescent="0.3">
      <c r="A54" s="798"/>
      <c r="B54" s="799"/>
      <c r="C54" s="799"/>
      <c r="D54" s="800"/>
      <c r="E54" s="799"/>
    </row>
    <row r="55" spans="1:9" s="15" customFormat="1" x14ac:dyDescent="0.25">
      <c r="A55" s="825" t="str">
        <f>+'T2'!A1:H1</f>
        <v>TABEL 2: Algemeen overzicht</v>
      </c>
      <c r="B55" s="825"/>
    </row>
    <row r="56" spans="1:9" s="15" customFormat="1" ht="57" customHeight="1" x14ac:dyDescent="0.25">
      <c r="A56" s="968" t="s">
        <v>347</v>
      </c>
      <c r="B56" s="968"/>
      <c r="C56" s="968"/>
      <c r="D56" s="968"/>
      <c r="E56" s="968"/>
      <c r="F56" s="968"/>
      <c r="G56" s="968"/>
      <c r="H56" s="968"/>
      <c r="I56" s="968"/>
    </row>
    <row r="57" spans="1:9" s="15" customFormat="1" x14ac:dyDescent="0.25">
      <c r="A57" s="605"/>
    </row>
    <row r="58" spans="1:9" s="15" customFormat="1" x14ac:dyDescent="0.25">
      <c r="A58" s="825" t="str">
        <f>+T3A!A1:G1</f>
        <v>TABEL 3A: Overzicht exogene kosten (gebudgetteerde waarden)</v>
      </c>
      <c r="B58" s="825"/>
      <c r="C58" s="825"/>
    </row>
    <row r="59" spans="1:9" s="15" customFormat="1" ht="51.75" customHeight="1" x14ac:dyDescent="0.25">
      <c r="A59" s="968" t="s">
        <v>302</v>
      </c>
      <c r="B59" s="968"/>
      <c r="C59" s="968"/>
      <c r="D59" s="968"/>
      <c r="E59" s="968"/>
      <c r="F59" s="968"/>
      <c r="G59" s="968"/>
      <c r="H59" s="968"/>
      <c r="I59" s="968"/>
    </row>
    <row r="60" spans="1:9" s="15" customFormat="1" x14ac:dyDescent="0.25">
      <c r="A60" s="6"/>
      <c r="B60" s="6"/>
      <c r="C60" s="6"/>
    </row>
    <row r="61" spans="1:9" s="15" customFormat="1" x14ac:dyDescent="0.25">
      <c r="A61" s="825" t="str">
        <f>+T3B!A1:G1</f>
        <v>TABEL 3B: Bepaling regulatoir saldo inzake exogene kosten (werkelijke waarden)</v>
      </c>
      <c r="B61" s="825"/>
      <c r="C61" s="825"/>
      <c r="D61" s="6"/>
    </row>
    <row r="62" spans="1:9" s="15" customFormat="1" ht="48.75" customHeight="1" x14ac:dyDescent="0.25">
      <c r="A62" s="968" t="s">
        <v>312</v>
      </c>
      <c r="B62" s="968"/>
      <c r="C62" s="968"/>
      <c r="D62" s="968"/>
      <c r="E62" s="968"/>
      <c r="F62" s="968"/>
      <c r="G62" s="968"/>
      <c r="H62" s="968"/>
      <c r="I62" s="968"/>
    </row>
    <row r="63" spans="1:9" s="15" customFormat="1" x14ac:dyDescent="0.25">
      <c r="A63" s="605"/>
    </row>
    <row r="64" spans="1:9" s="15" customFormat="1" x14ac:dyDescent="0.25">
      <c r="A64" s="825" t="str">
        <f>+T4A!A1:H1</f>
        <v xml:space="preserve">TABEL 4A: Opvolging regulatoir saldo inzake exogene kosten m.b.t. distributienettarieven </v>
      </c>
      <c r="B64" s="825"/>
      <c r="C64" s="825"/>
      <c r="D64" s="825"/>
      <c r="E64" s="825"/>
      <c r="F64"/>
      <c r="G64"/>
      <c r="H64"/>
    </row>
    <row r="65" spans="1:17" s="15" customFormat="1" ht="58.5" customHeight="1" x14ac:dyDescent="0.25">
      <c r="A65" s="968" t="s">
        <v>303</v>
      </c>
      <c r="B65" s="968"/>
      <c r="C65" s="968"/>
      <c r="D65" s="968"/>
      <c r="E65" s="968"/>
      <c r="F65" s="968"/>
      <c r="G65" s="968"/>
      <c r="H65" s="968"/>
      <c r="I65" s="968"/>
    </row>
    <row r="66" spans="1:17" s="15" customFormat="1" x14ac:dyDescent="0.25">
      <c r="A66" s="605"/>
    </row>
    <row r="67" spans="1:17" s="15" customFormat="1" x14ac:dyDescent="0.25">
      <c r="A67" s="825" t="str">
        <f>+T4B!A1:J1</f>
        <v>TABEL 4B: Overzicht regulatoir saldo inzake exogene kosten m.b.t. distributienettarieven per tariefcomponent</v>
      </c>
      <c r="B67" s="825"/>
      <c r="C67" s="825"/>
      <c r="D67" s="825"/>
      <c r="E67" s="825"/>
      <c r="F67" s="825"/>
      <c r="G67" s="825"/>
      <c r="H67" s="801"/>
    </row>
    <row r="68" spans="1:17" s="15" customFormat="1" ht="76.5" customHeight="1" x14ac:dyDescent="0.25">
      <c r="A68" s="968" t="s">
        <v>365</v>
      </c>
      <c r="B68" s="968"/>
      <c r="C68" s="968"/>
      <c r="D68" s="968"/>
      <c r="E68" s="968"/>
      <c r="F68" s="968"/>
      <c r="G68" s="968"/>
      <c r="H68" s="968"/>
      <c r="I68" s="968"/>
    </row>
    <row r="69" spans="1:17" s="15" customFormat="1" ht="14.25" customHeight="1" x14ac:dyDescent="0.25">
      <c r="A69" s="802"/>
      <c r="B69" s="786"/>
      <c r="C69" s="786"/>
      <c r="D69" s="786"/>
      <c r="E69" s="786"/>
      <c r="F69" s="786"/>
      <c r="G69" s="786"/>
      <c r="H69" s="786"/>
      <c r="I69" s="786"/>
    </row>
    <row r="70" spans="1:17" s="15" customFormat="1" x14ac:dyDescent="0.25">
      <c r="A70" s="825" t="str">
        <f>+T4C!A1:J1</f>
        <v>TABEL 4C: Opvolging regulatoir saldo inzake exogene kosten m.b.t. transmissienettarieven (exclusief federale bijdrage elektriciteit)</v>
      </c>
      <c r="B70" s="825"/>
      <c r="C70" s="825"/>
      <c r="D70" s="825"/>
      <c r="E70" s="825"/>
      <c r="F70" s="825"/>
      <c r="G70" s="825"/>
      <c r="H70" s="825"/>
      <c r="I70" s="6"/>
      <c r="J70" s="597"/>
    </row>
    <row r="71" spans="1:17" s="15" customFormat="1" ht="58.5" customHeight="1" x14ac:dyDescent="0.25">
      <c r="A71" s="968" t="s">
        <v>370</v>
      </c>
      <c r="B71" s="968"/>
      <c r="C71" s="968"/>
      <c r="D71" s="968"/>
      <c r="E71" s="968"/>
      <c r="F71" s="968"/>
      <c r="G71" s="968"/>
      <c r="H71" s="968"/>
      <c r="I71" s="968"/>
    </row>
    <row r="72" spans="1:17" s="15" customFormat="1" x14ac:dyDescent="0.25">
      <c r="A72" s="605"/>
    </row>
    <row r="73" spans="1:17" s="15" customFormat="1" ht="33" customHeight="1" x14ac:dyDescent="0.25">
      <c r="A73" s="967" t="str">
        <f>+T5A!A1:L1</f>
        <v>TABEL 5A: Opvolging regulatoir saldo inzake volumeverschillen m.b.t. inkomsten uit periodieke distributienettarieven voor endogene kosten op basis van energieverbruikgerelateerde tariefdragers (kWh, kWmax, kW, kVarh en kVA)</v>
      </c>
      <c r="B73" s="967"/>
      <c r="C73" s="967"/>
      <c r="D73" s="967"/>
      <c r="E73" s="967"/>
      <c r="F73" s="967"/>
      <c r="G73" s="967"/>
      <c r="H73" s="967"/>
      <c r="I73" s="967"/>
      <c r="J73" s="6"/>
      <c r="K73" s="6"/>
      <c r="L73" s="6"/>
      <c r="M73" s="6"/>
      <c r="N73" s="6"/>
      <c r="O73" s="6"/>
      <c r="P73" s="6"/>
      <c r="Q73" s="6"/>
    </row>
    <row r="74" spans="1:17" s="15" customFormat="1" ht="87.75" customHeight="1" x14ac:dyDescent="0.25">
      <c r="A74" s="968" t="s">
        <v>357</v>
      </c>
      <c r="B74" s="968"/>
      <c r="C74" s="968"/>
      <c r="D74" s="968"/>
      <c r="E74" s="968"/>
      <c r="F74" s="968"/>
      <c r="G74" s="968"/>
      <c r="H74" s="968"/>
      <c r="I74" s="968"/>
    </row>
    <row r="75" spans="1:17" s="15" customFormat="1" x14ac:dyDescent="0.25">
      <c r="A75" s="605"/>
    </row>
    <row r="76" spans="1:17" s="15" customFormat="1" ht="33" customHeight="1" x14ac:dyDescent="0.25">
      <c r="A76" s="967" t="str">
        <f>+T5B!A1:J1</f>
        <v xml:space="preserve">TABEL 5B: Overzicht regulatoir saldo per tariefcomponent inzake volumeverschillen m.b.t. inkomsten uit periodieke distributienettarieven voor endogene kosten op basis van energieverbruikgerelateerde tariefdragers (kWh, kWmax, kW, kVarh en kVA) </v>
      </c>
      <c r="B76" s="967"/>
      <c r="C76" s="967"/>
      <c r="D76" s="967"/>
      <c r="E76" s="967"/>
      <c r="F76" s="967"/>
      <c r="G76" s="967"/>
      <c r="H76" s="967"/>
      <c r="I76" s="967"/>
      <c r="J76" s="6"/>
      <c r="K76" s="6"/>
      <c r="L76" s="6"/>
      <c r="M76" s="6"/>
      <c r="N76" s="6"/>
      <c r="O76" s="6"/>
      <c r="P76" s="6"/>
      <c r="Q76" s="6"/>
    </row>
    <row r="77" spans="1:17" s="15" customFormat="1" ht="82.5" customHeight="1" x14ac:dyDescent="0.25">
      <c r="A77" s="968" t="s">
        <v>366</v>
      </c>
      <c r="B77" s="968"/>
      <c r="C77" s="968"/>
      <c r="D77" s="968"/>
      <c r="E77" s="968"/>
      <c r="F77" s="968"/>
      <c r="G77" s="968"/>
      <c r="H77" s="968"/>
      <c r="I77" s="968"/>
    </row>
    <row r="78" spans="1:17" s="15" customFormat="1" x14ac:dyDescent="0.25">
      <c r="A78" s="605"/>
    </row>
    <row r="79" spans="1:17" s="15" customFormat="1" x14ac:dyDescent="0.25">
      <c r="A79" s="825" t="str">
        <f>+T5C!A1:J1</f>
        <v>TABEL 5C: Werkelijke ontvangsten uit periodieke nettarieven voor exogene en endogene kosten in boekjaar 2017 (elektriciteit - afname)</v>
      </c>
      <c r="B79" s="825"/>
      <c r="C79" s="825"/>
      <c r="D79" s="825"/>
      <c r="E79" s="825"/>
      <c r="F79" s="825"/>
      <c r="G79" s="825"/>
      <c r="H79" s="825"/>
      <c r="I79" s="825"/>
      <c r="J79"/>
    </row>
    <row r="80" spans="1:17" s="15" customFormat="1" ht="209.25" customHeight="1" x14ac:dyDescent="0.25">
      <c r="A80" s="968" t="s">
        <v>358</v>
      </c>
      <c r="B80" s="968"/>
      <c r="C80" s="968"/>
      <c r="D80" s="968"/>
      <c r="E80" s="968"/>
      <c r="F80" s="968"/>
      <c r="G80" s="968"/>
      <c r="H80" s="968"/>
      <c r="I80" s="968"/>
    </row>
    <row r="81" spans="1:22" s="15" customFormat="1" x14ac:dyDescent="0.25">
      <c r="A81" s="605"/>
    </row>
    <row r="82" spans="1:22" s="15" customFormat="1" x14ac:dyDescent="0.25">
      <c r="A82" s="825" t="str">
        <f>+T5D!A1:I1</f>
        <v>TABEL 5D: Werkelijke ontvangsten uit periodieke distributienettarieven voor exogene en endogene kosten in boekjaar 2017 (elektriciteit-injectie)</v>
      </c>
      <c r="B82" s="825"/>
      <c r="C82" s="825"/>
      <c r="D82" s="825"/>
      <c r="E82" s="825"/>
      <c r="F82" s="825"/>
      <c r="G82" s="825"/>
      <c r="H82" s="825"/>
      <c r="I82" s="825"/>
      <c r="J82"/>
    </row>
    <row r="83" spans="1:22" s="15" customFormat="1" ht="193.5" customHeight="1" x14ac:dyDescent="0.25">
      <c r="A83" s="968" t="s">
        <v>352</v>
      </c>
      <c r="B83" s="968"/>
      <c r="C83" s="968"/>
      <c r="D83" s="968"/>
      <c r="E83" s="968"/>
      <c r="F83" s="968"/>
      <c r="G83" s="968"/>
      <c r="H83" s="968"/>
      <c r="I83" s="968"/>
    </row>
    <row r="84" spans="1:22" s="15" customFormat="1" x14ac:dyDescent="0.25">
      <c r="A84" s="605"/>
    </row>
    <row r="85" spans="1:22" s="15" customFormat="1" x14ac:dyDescent="0.25">
      <c r="A85" s="825" t="str">
        <f>+T5E!A1:G1</f>
        <v>TABEL 5E: Werkelijke ontvangsten uit periodieke distributienettarieven voor exogene en endogene kosten in boekjaar 2017 (gas - afname)</v>
      </c>
      <c r="B85" s="825"/>
      <c r="C85" s="825"/>
      <c r="D85" s="825"/>
      <c r="E85" s="825"/>
      <c r="F85" s="825"/>
      <c r="G85" s="825"/>
      <c r="H85" s="825"/>
      <c r="I85" s="825"/>
    </row>
    <row r="86" spans="1:22" s="15" customFormat="1" ht="152.25" customHeight="1" x14ac:dyDescent="0.25">
      <c r="A86" s="968" t="s">
        <v>351</v>
      </c>
      <c r="B86" s="968"/>
      <c r="C86" s="968"/>
      <c r="D86" s="968"/>
      <c r="E86" s="968"/>
      <c r="F86" s="968"/>
      <c r="G86" s="968"/>
      <c r="H86" s="968"/>
      <c r="I86" s="968"/>
    </row>
    <row r="87" spans="1:22" s="15" customFormat="1" x14ac:dyDescent="0.25">
      <c r="A87" s="605"/>
    </row>
    <row r="88" spans="1:22" s="15" customFormat="1" x14ac:dyDescent="0.25">
      <c r="A88" s="825" t="str">
        <f>+T6A!A1:H1</f>
        <v>TABEL 6A: Opvolging regulatoir saldo inzake herindexering van het budget voor endogene kosten</v>
      </c>
      <c r="B88" s="825"/>
      <c r="C88" s="825"/>
      <c r="D88" s="825"/>
      <c r="E88" s="825"/>
      <c r="F88"/>
      <c r="G88" s="801"/>
      <c r="H88" s="801"/>
      <c r="I88" s="801"/>
    </row>
    <row r="89" spans="1:22" s="15" customFormat="1" ht="177.75" customHeight="1" x14ac:dyDescent="0.25">
      <c r="A89" s="968" t="s">
        <v>360</v>
      </c>
      <c r="B89" s="968"/>
      <c r="C89" s="968"/>
      <c r="D89" s="968"/>
      <c r="E89" s="968"/>
      <c r="F89" s="968"/>
      <c r="G89" s="968"/>
      <c r="H89" s="968"/>
      <c r="I89" s="968"/>
    </row>
    <row r="90" spans="1:22" s="15" customFormat="1" x14ac:dyDescent="0.25">
      <c r="A90" s="605"/>
    </row>
    <row r="91" spans="1:22" s="15" customFormat="1" ht="12.75" customHeight="1" x14ac:dyDescent="0.25">
      <c r="A91" s="825" t="str">
        <f>+T6B!A1:J1</f>
        <v>TABEL 6B: Overzicht regulatoir saldo inzake herindexering van het budget voor endogene kosten per tariefcomponent</v>
      </c>
      <c r="B91" s="825"/>
      <c r="C91" s="825"/>
      <c r="D91" s="825"/>
      <c r="E91" s="825"/>
      <c r="F91" s="825"/>
      <c r="G91" s="825"/>
      <c r="H91" s="803"/>
      <c r="I91" s="803"/>
      <c r="J91" s="6"/>
      <c r="K91" s="6"/>
      <c r="L91" s="6"/>
      <c r="M91" s="6"/>
      <c r="N91" s="6"/>
      <c r="O91" s="6"/>
      <c r="P91" s="6"/>
      <c r="Q91" s="6"/>
    </row>
    <row r="92" spans="1:22" s="15" customFormat="1" ht="81.75" customHeight="1" x14ac:dyDescent="0.25">
      <c r="A92" s="968" t="s">
        <v>367</v>
      </c>
      <c r="B92" s="968"/>
      <c r="C92" s="968"/>
      <c r="D92" s="968"/>
      <c r="E92" s="968"/>
      <c r="F92" s="968"/>
      <c r="G92" s="968"/>
      <c r="H92" s="968"/>
      <c r="I92" s="968"/>
      <c r="N92" s="968"/>
      <c r="O92" s="968"/>
      <c r="P92" s="968"/>
      <c r="Q92" s="968"/>
      <c r="R92" s="968"/>
      <c r="S92" s="968"/>
      <c r="T92" s="968"/>
      <c r="U92" s="968"/>
      <c r="V92" s="968"/>
    </row>
    <row r="93" spans="1:22" s="15" customFormat="1" x14ac:dyDescent="0.25">
      <c r="A93" s="605"/>
    </row>
    <row r="94" spans="1:22" s="15" customFormat="1" x14ac:dyDescent="0.25">
      <c r="A94" s="825" t="str">
        <f>+'T7'!A1:H1</f>
        <v>TABEL 7: Opvolging regulatoir saldo inzake vennootschapsbelasting</v>
      </c>
      <c r="B94" s="825"/>
      <c r="C94" s="825"/>
      <c r="D94" s="801"/>
      <c r="E94" s="801"/>
      <c r="F94" s="801"/>
      <c r="G94" s="801"/>
      <c r="H94" s="801"/>
      <c r="I94" s="801"/>
    </row>
    <row r="95" spans="1:22" s="15" customFormat="1" ht="88.5" customHeight="1" x14ac:dyDescent="0.25">
      <c r="A95" s="968" t="s">
        <v>371</v>
      </c>
      <c r="B95" s="968"/>
      <c r="C95" s="968"/>
      <c r="D95" s="968"/>
      <c r="E95" s="968"/>
      <c r="F95" s="968"/>
      <c r="G95" s="968"/>
      <c r="H95" s="968"/>
      <c r="I95" s="968"/>
    </row>
    <row r="96" spans="1:22" s="15" customFormat="1" x14ac:dyDescent="0.25">
      <c r="A96" s="605"/>
    </row>
    <row r="97" spans="1:14" s="15" customFormat="1" ht="13" x14ac:dyDescent="0.3">
      <c r="A97" s="950" t="s">
        <v>373</v>
      </c>
      <c r="B97" s="951"/>
      <c r="C97" s="951"/>
      <c r="D97" s="951"/>
      <c r="E97" s="951"/>
      <c r="F97" s="951"/>
      <c r="G97" s="951"/>
      <c r="H97" s="951"/>
      <c r="I97" s="951"/>
      <c r="J97" s="923"/>
      <c r="K97"/>
      <c r="L97" s="804"/>
      <c r="M97" s="804"/>
      <c r="N97" s="378" t="s">
        <v>376</v>
      </c>
    </row>
    <row r="98" spans="1:14" s="15" customFormat="1" ht="106.5" customHeight="1" x14ac:dyDescent="0.25">
      <c r="A98" s="969" t="s">
        <v>375</v>
      </c>
      <c r="B98" s="968"/>
      <c r="C98" s="968"/>
      <c r="D98" s="968"/>
      <c r="E98" s="968"/>
      <c r="F98" s="968"/>
      <c r="G98" s="968"/>
      <c r="H98" s="968"/>
      <c r="I98" s="968"/>
    </row>
    <row r="99" spans="1:14" s="15" customFormat="1" x14ac:dyDescent="0.25">
      <c r="A99" s="605"/>
    </row>
    <row r="100" spans="1:14" s="15" customFormat="1" x14ac:dyDescent="0.25">
      <c r="A100" s="825" t="str">
        <f>+'T9'!A1:J1</f>
        <v>TABEL 9: Saldo kapitaalkostvergoeding voor geïmmobiliseerde GSC en WKC in portefeuille van de distributienetbeheerder</v>
      </c>
      <c r="B100" s="825"/>
      <c r="C100" s="825"/>
      <c r="D100" s="825"/>
      <c r="E100" s="825"/>
      <c r="F100" s="825"/>
      <c r="G100" s="825"/>
      <c r="H100"/>
    </row>
    <row r="101" spans="1:14" s="15" customFormat="1" ht="81" customHeight="1" x14ac:dyDescent="0.25">
      <c r="A101" s="968" t="s">
        <v>355</v>
      </c>
      <c r="B101" s="968"/>
      <c r="C101" s="968"/>
      <c r="D101" s="968"/>
      <c r="E101" s="968"/>
      <c r="F101" s="968"/>
      <c r="G101" s="968"/>
      <c r="H101" s="968"/>
      <c r="I101" s="968"/>
    </row>
    <row r="102" spans="1:14" s="15" customFormat="1" x14ac:dyDescent="0.25">
      <c r="A102" s="605"/>
    </row>
    <row r="103" spans="1:14" s="15" customFormat="1" x14ac:dyDescent="0.25">
      <c r="A103" s="825" t="str">
        <f>+'T10'!A1:J1</f>
        <v>TABEL 10: Belastingen, heffingen, toeslagen, bijdragen en retributies</v>
      </c>
      <c r="B103" s="825"/>
      <c r="C103" s="825"/>
      <c r="D103"/>
    </row>
    <row r="104" spans="1:14" s="15" customFormat="1" ht="107.25" customHeight="1" x14ac:dyDescent="0.25">
      <c r="A104" s="968" t="s">
        <v>306</v>
      </c>
      <c r="B104" s="968"/>
      <c r="C104" s="968"/>
      <c r="D104" s="968"/>
      <c r="E104" s="968"/>
      <c r="F104" s="968"/>
      <c r="G104" s="968"/>
      <c r="H104" s="968"/>
      <c r="I104" s="968"/>
    </row>
    <row r="105" spans="1:14" s="15" customFormat="1" ht="14" x14ac:dyDescent="0.3">
      <c r="A105" s="805"/>
    </row>
    <row r="106" spans="1:14" ht="14" x14ac:dyDescent="0.3">
      <c r="A106" s="24"/>
    </row>
    <row r="107" spans="1:14" ht="14" x14ac:dyDescent="0.3">
      <c r="A107" s="24"/>
    </row>
    <row r="108" spans="1:14" ht="14" x14ac:dyDescent="0.3">
      <c r="A108" s="24"/>
    </row>
    <row r="109" spans="1:14" ht="14" x14ac:dyDescent="0.3">
      <c r="A109" s="43"/>
    </row>
    <row r="110" spans="1:14" ht="14" x14ac:dyDescent="0.3">
      <c r="A110" s="24"/>
    </row>
    <row r="111" spans="1:14" ht="14" x14ac:dyDescent="0.3">
      <c r="A111" s="24"/>
    </row>
    <row r="112" spans="1:14" ht="14" x14ac:dyDescent="0.3">
      <c r="A112" s="43"/>
    </row>
    <row r="113" spans="1:1" ht="14" x14ac:dyDescent="0.3">
      <c r="A113" s="44"/>
    </row>
    <row r="114" spans="1:1" ht="14" x14ac:dyDescent="0.3">
      <c r="A114" s="44"/>
    </row>
    <row r="115" spans="1:1" ht="14" x14ac:dyDescent="0.3">
      <c r="A115" s="24"/>
    </row>
    <row r="116" spans="1:1" ht="14" x14ac:dyDescent="0.3">
      <c r="A116" s="43"/>
    </row>
    <row r="117" spans="1:1" ht="14" x14ac:dyDescent="0.3">
      <c r="A117" s="24"/>
    </row>
    <row r="118" spans="1:1" ht="14" x14ac:dyDescent="0.3">
      <c r="A118" s="24"/>
    </row>
    <row r="119" spans="1:1" ht="14" x14ac:dyDescent="0.3">
      <c r="A119" s="24"/>
    </row>
    <row r="120" spans="1:1" ht="14" x14ac:dyDescent="0.3">
      <c r="A120" s="24"/>
    </row>
    <row r="121" spans="1:1" ht="14" x14ac:dyDescent="0.3">
      <c r="A121" s="43"/>
    </row>
    <row r="122" spans="1:1" ht="14" x14ac:dyDescent="0.3">
      <c r="A122" s="24"/>
    </row>
    <row r="123" spans="1:1" ht="14" x14ac:dyDescent="0.3">
      <c r="A123" s="24"/>
    </row>
    <row r="124" spans="1:1" ht="14" x14ac:dyDescent="0.3">
      <c r="A124" s="24"/>
    </row>
    <row r="125" spans="1:1" ht="14" x14ac:dyDescent="0.3">
      <c r="A125" s="24"/>
    </row>
    <row r="126" spans="1:1" ht="14" x14ac:dyDescent="0.3">
      <c r="A126" s="24"/>
    </row>
    <row r="127" spans="1:1" ht="14" x14ac:dyDescent="0.3">
      <c r="A127" s="45"/>
    </row>
    <row r="128" spans="1:1" ht="14" x14ac:dyDescent="0.3">
      <c r="A128" s="24"/>
    </row>
    <row r="129" spans="1:1" x14ac:dyDescent="0.25">
      <c r="A129" s="25"/>
    </row>
    <row r="130" spans="1:1" x14ac:dyDescent="0.25">
      <c r="A130" s="25"/>
    </row>
  </sheetData>
  <customSheetViews>
    <customSheetView guid="{C8C7977F-B6BF-432B-A1A7-559450D521AF}" showGridLines="0" topLeftCell="A20">
      <selection activeCell="E53" sqref="E53"/>
      <colBreaks count="1" manualBreakCount="1">
        <brk id="17" max="1048575" man="1"/>
      </colBreaks>
      <pageMargins left="0.98425196850393704" right="0.23622047244094491" top="0.82677165354330717" bottom="0.70866141732283472" header="0.74803149606299213" footer="0.47244094488188981"/>
      <pageSetup paperSize="8" scale="90" orientation="landscape" r:id="rId1"/>
      <headerFooter alignWithMargins="0">
        <oddFooter>&amp;C&amp;P/&amp;N</oddFooter>
      </headerFooter>
    </customSheetView>
  </customSheetViews>
  <mergeCells count="30">
    <mergeCell ref="A101:I101"/>
    <mergeCell ref="A77:I77"/>
    <mergeCell ref="N92:V92"/>
    <mergeCell ref="A104:I104"/>
    <mergeCell ref="A80:I80"/>
    <mergeCell ref="A83:I83"/>
    <mergeCell ref="A86:I86"/>
    <mergeCell ref="A89:I89"/>
    <mergeCell ref="A92:I92"/>
    <mergeCell ref="A95:I95"/>
    <mergeCell ref="A98:I98"/>
    <mergeCell ref="A35:I35"/>
    <mergeCell ref="A47:I47"/>
    <mergeCell ref="A65:I65"/>
    <mergeCell ref="A73:I73"/>
    <mergeCell ref="A50:I50"/>
    <mergeCell ref="A76:I76"/>
    <mergeCell ref="A53:I53"/>
    <mergeCell ref="A56:I56"/>
    <mergeCell ref="A59:I59"/>
    <mergeCell ref="A62:I62"/>
    <mergeCell ref="A68:I68"/>
    <mergeCell ref="A71:I71"/>
    <mergeCell ref="A74:I74"/>
    <mergeCell ref="A21:I21"/>
    <mergeCell ref="C7:F7"/>
    <mergeCell ref="C8:F8"/>
    <mergeCell ref="C9:F9"/>
    <mergeCell ref="C10:F10"/>
    <mergeCell ref="C12:F12"/>
  </mergeCells>
  <dataValidations count="3">
    <dataValidation type="list" allowBlank="1" showInputMessage="1" showErrorMessage="1" sqref="C12">
      <formula1>"elektriciteit,gas"</formula1>
    </dataValidation>
    <dataValidation type="list" allowBlank="1" showInputMessage="1" showErrorMessage="1" sqref="F18">
      <formula1>"ex-ante,ex-post"</formula1>
    </dataValidation>
    <dataValidation type="list" allowBlank="1" showInputMessage="1" showErrorMessage="1" sqref="E18">
      <formula1>"2017,2018,2019,2020"</formula1>
    </dataValidation>
  </dataValidations>
  <hyperlinks>
    <hyperlink ref="A49:B49" location="TITELBLAD!A1" display="TITELBLAD"/>
    <hyperlink ref="A52:F52" location="'T1'!A1" display="'T1'!A1"/>
    <hyperlink ref="A55:B55" location="'T2'!A1" display="'T2'!A1"/>
    <hyperlink ref="A58:C58" location="T3A!A1" display="T3A!A1"/>
    <hyperlink ref="A61:D61" location="T3B!A1" display="T3B!A1"/>
    <hyperlink ref="A64:E64" location="T4A!A1" display="T4A!A1"/>
    <hyperlink ref="A67:G67" location="T4B!A1" display="T4B!A1"/>
    <hyperlink ref="A70:I70" location="T4C!A1" display="T4C!A1"/>
    <hyperlink ref="A73:I73" location="T5A!A1" display="T5A!A1"/>
    <hyperlink ref="A76:I76" location="T5B!A1" display="T5B!A1"/>
    <hyperlink ref="A79:I79" location="T5C!A1" display="T5C!A1"/>
    <hyperlink ref="A82:I82" location="T5D!A1" display="T5D!A1"/>
    <hyperlink ref="A85:I85" location="T5E!A1" display="T5E!A1"/>
    <hyperlink ref="A88:E88" location="T6A!A1" display="T6A!A1"/>
    <hyperlink ref="A91:G91" location="T6B!A1" display="T6B!A1"/>
    <hyperlink ref="A94:C94" location="'T7'!A1" display="'T7'!A1"/>
    <hyperlink ref="A100:G100" location="'T9'!A1" display="'T9'!A1"/>
    <hyperlink ref="A103:C103" location="'T10'!A1" display="'T10'!A1"/>
    <hyperlink ref="A97:J97" location="'T8'!Afdrukbereik" display="TABEL 8: Overzicht afbouw saldi voor 'niet-beheersbare' kosten per tariefcomponent en saldi voor 'beheersbare' kosten m.b.t. exploitatiejaren 2010-2014"/>
  </hyperlinks>
  <pageMargins left="0.98425196850393704" right="0.23622047244094491" top="0.82677165354330717" bottom="0.70866141732283472" header="0.74803149606299213" footer="0.47244094488188981"/>
  <pageSetup paperSize="8" scale="61" orientation="portrait" r:id="rId2"/>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Q453"/>
  <sheetViews>
    <sheetView topLeftCell="A115" zoomScale="80" zoomScaleNormal="80" workbookViewId="0">
      <selection activeCell="B129" sqref="B129:E129"/>
    </sheetView>
  </sheetViews>
  <sheetFormatPr defaultColWidth="9.1796875" defaultRowHeight="12.5" x14ac:dyDescent="0.25"/>
  <cols>
    <col min="1" max="1" width="4.1796875" style="20" customWidth="1"/>
    <col min="2" max="2" width="9.1796875" style="20"/>
    <col min="3" max="3" width="15.54296875" style="20" customWidth="1"/>
    <col min="4" max="4" width="12.54296875" style="20" customWidth="1"/>
    <col min="5" max="5" width="24.26953125" style="20" customWidth="1"/>
    <col min="6" max="6" width="10.453125" style="20" customWidth="1"/>
    <col min="7" max="7" width="49.1796875" style="20" customWidth="1"/>
    <col min="8" max="9" width="41.81640625" style="20" customWidth="1"/>
    <col min="10" max="10" width="42" style="20" customWidth="1"/>
    <col min="11" max="12" width="43.453125" style="20" customWidth="1"/>
    <col min="13" max="13" width="2.7265625" style="394" customWidth="1"/>
    <col min="14" max="14" width="43.453125" style="20" customWidth="1"/>
    <col min="15" max="16384" width="9.1796875" style="20"/>
  </cols>
  <sheetData>
    <row r="1" spans="1:17" ht="42" customHeight="1" thickBot="1" x14ac:dyDescent="0.45">
      <c r="A1" s="1113" t="s">
        <v>246</v>
      </c>
      <c r="B1" s="1114"/>
      <c r="C1" s="1114"/>
      <c r="D1" s="1114"/>
      <c r="E1" s="1114"/>
      <c r="F1" s="1114"/>
      <c r="G1" s="1114"/>
      <c r="H1" s="1114"/>
      <c r="I1" s="1114"/>
      <c r="J1" s="1115"/>
      <c r="K1" s="380"/>
      <c r="L1" s="593" t="str">
        <f>+TITELBLAD!F18</f>
        <v>ex-ante</v>
      </c>
      <c r="M1" s="593"/>
      <c r="N1" s="593">
        <f>+TITELBLAD!H18</f>
        <v>0</v>
      </c>
      <c r="O1" s="106"/>
      <c r="P1" s="106"/>
      <c r="Q1" s="106"/>
    </row>
    <row r="2" spans="1:17" ht="13" x14ac:dyDescent="0.3">
      <c r="B2" s="394" t="str">
        <f>+TITELBLAD!B18</f>
        <v>Rapportering over boekjaar:</v>
      </c>
      <c r="C2" s="394"/>
      <c r="D2" s="394">
        <f>+TITELBLAD!E18</f>
        <v>2019</v>
      </c>
      <c r="E2" s="394" t="str">
        <f>+TITELBLAD!F18</f>
        <v>ex-ante</v>
      </c>
      <c r="H2" s="194"/>
      <c r="I2" s="188"/>
      <c r="J2" s="188"/>
      <c r="K2" s="188"/>
      <c r="L2" s="491"/>
      <c r="N2" s="491"/>
    </row>
    <row r="3" spans="1:17" ht="13.5" thickBot="1" x14ac:dyDescent="0.35">
      <c r="B3" s="107" t="s">
        <v>26</v>
      </c>
      <c r="H3" s="194"/>
      <c r="I3" s="188"/>
      <c r="J3" s="188"/>
      <c r="K3" s="188"/>
      <c r="L3" s="491"/>
      <c r="N3" s="491"/>
    </row>
    <row r="4" spans="1:17" ht="13.5" thickBot="1" x14ac:dyDescent="0.35">
      <c r="B4" s="995" t="str">
        <f>+TITELBLAD!C7</f>
        <v>Naam distributienetbeheerder</v>
      </c>
      <c r="C4" s="996"/>
      <c r="D4" s="996"/>
      <c r="E4" s="997"/>
      <c r="H4" s="194"/>
      <c r="I4" s="188"/>
      <c r="J4" s="188"/>
      <c r="K4" s="188"/>
      <c r="L4" s="188"/>
      <c r="N4" s="188"/>
    </row>
    <row r="5" spans="1:17" ht="13" x14ac:dyDescent="0.3">
      <c r="H5" s="194"/>
      <c r="I5" s="188"/>
      <c r="J5" s="188"/>
      <c r="K5" s="188"/>
      <c r="L5" s="188"/>
      <c r="N5" s="188"/>
    </row>
    <row r="6" spans="1:17" ht="13.5" thickBot="1" x14ac:dyDescent="0.35">
      <c r="B6" s="107" t="s">
        <v>27</v>
      </c>
      <c r="H6" s="194"/>
      <c r="I6" s="188"/>
      <c r="J6" s="188"/>
      <c r="K6" s="188"/>
      <c r="L6" s="188"/>
      <c r="N6" s="188"/>
    </row>
    <row r="7" spans="1:17" ht="13.5" thickBot="1" x14ac:dyDescent="0.35">
      <c r="B7" s="998" t="str">
        <f>+TITELBLAD!C12</f>
        <v>elektriciteit</v>
      </c>
      <c r="C7" s="999"/>
      <c r="D7" s="999"/>
      <c r="E7" s="1000"/>
      <c r="H7" s="194"/>
      <c r="I7" s="188"/>
      <c r="J7" s="188"/>
      <c r="K7" s="188"/>
      <c r="L7" s="188"/>
      <c r="N7" s="188"/>
    </row>
    <row r="8" spans="1:17" ht="13" x14ac:dyDescent="0.3">
      <c r="H8" s="194"/>
      <c r="I8" s="188"/>
      <c r="J8" s="188"/>
      <c r="K8" s="188"/>
      <c r="L8" s="188"/>
      <c r="N8" s="188"/>
    </row>
    <row r="11" spans="1:17" ht="13" x14ac:dyDescent="0.3">
      <c r="G11" s="434" t="s">
        <v>343</v>
      </c>
      <c r="H11" s="383"/>
      <c r="I11" s="382"/>
    </row>
    <row r="12" spans="1:17" ht="13" x14ac:dyDescent="0.3">
      <c r="G12" s="197" t="s">
        <v>258</v>
      </c>
      <c r="H12" s="383"/>
      <c r="I12" s="382"/>
    </row>
    <row r="13" spans="1:17" s="48" customFormat="1" ht="60" customHeight="1" x14ac:dyDescent="0.25">
      <c r="B13" s="1060" t="s">
        <v>250</v>
      </c>
      <c r="C13" s="1061"/>
      <c r="D13" s="1061"/>
      <c r="E13" s="1062"/>
      <c r="F13" s="162"/>
      <c r="G13" s="675">
        <v>2015</v>
      </c>
      <c r="H13" s="675">
        <f>+G13+1</f>
        <v>2016</v>
      </c>
      <c r="I13" s="675">
        <f>+H13+1</f>
        <v>2017</v>
      </c>
      <c r="J13" s="675">
        <f>+I13+1</f>
        <v>2018</v>
      </c>
      <c r="K13" s="675">
        <f>+J13+1</f>
        <v>2019</v>
      </c>
      <c r="L13" s="675">
        <f>+K13+1</f>
        <v>2020</v>
      </c>
      <c r="M13" s="483"/>
      <c r="N13" s="675" t="s">
        <v>31</v>
      </c>
    </row>
    <row r="14" spans="1:17" s="130" customFormat="1" ht="12" customHeight="1" x14ac:dyDescent="0.25">
      <c r="B14" s="384"/>
      <c r="C14" s="384"/>
      <c r="D14" s="384"/>
      <c r="E14" s="384"/>
      <c r="F14" s="385"/>
      <c r="G14" s="386"/>
      <c r="H14" s="387"/>
      <c r="I14" s="387"/>
      <c r="M14" s="846"/>
    </row>
    <row r="15" spans="1:17" s="685" customFormat="1" ht="28.5" customHeight="1" x14ac:dyDescent="0.25">
      <c r="B15" s="1081" t="s">
        <v>131</v>
      </c>
      <c r="C15" s="1081"/>
      <c r="D15" s="1081"/>
      <c r="E15" s="1081"/>
      <c r="F15" s="688"/>
      <c r="G15" s="840">
        <f>+T5A!C25</f>
        <v>0</v>
      </c>
      <c r="H15" s="840">
        <f>+T5A!D25</f>
        <v>0</v>
      </c>
      <c r="I15" s="840">
        <f>+T5A!E25</f>
        <v>0</v>
      </c>
      <c r="J15" s="840">
        <f>+T5A!F25</f>
        <v>0</v>
      </c>
      <c r="K15" s="840">
        <f>+T5A!G25</f>
        <v>0</v>
      </c>
      <c r="L15" s="840">
        <f>+T5A!H25</f>
        <v>0</v>
      </c>
      <c r="M15" s="847"/>
      <c r="N15" s="842">
        <f>SUM(G15:L15)</f>
        <v>0</v>
      </c>
    </row>
    <row r="16" spans="1:17" s="685" customFormat="1" ht="26.25" customHeight="1" x14ac:dyDescent="0.25">
      <c r="B16" s="1081" t="s">
        <v>132</v>
      </c>
      <c r="C16" s="1081"/>
      <c r="D16" s="1081"/>
      <c r="E16" s="1081"/>
      <c r="F16" s="688"/>
      <c r="G16" s="840">
        <f>+T5A!C26</f>
        <v>0</v>
      </c>
      <c r="H16" s="840">
        <f>+T5A!D26</f>
        <v>0</v>
      </c>
      <c r="I16" s="840">
        <f>+T5A!E26</f>
        <v>0</v>
      </c>
      <c r="J16" s="840">
        <f>+T5A!F26</f>
        <v>0</v>
      </c>
      <c r="K16" s="840">
        <f>+T5A!G26</f>
        <v>0</v>
      </c>
      <c r="L16" s="840">
        <f>+T5A!H26</f>
        <v>0</v>
      </c>
      <c r="M16" s="847"/>
      <c r="N16" s="842">
        <f t="shared" ref="N16:N21" si="0">SUM(G16:L16)</f>
        <v>0</v>
      </c>
    </row>
    <row r="17" spans="2:14" s="685" customFormat="1" ht="24.75" customHeight="1" x14ac:dyDescent="0.25">
      <c r="B17" s="1081" t="s">
        <v>133</v>
      </c>
      <c r="C17" s="1081"/>
      <c r="D17" s="1081"/>
      <c r="E17" s="1081"/>
      <c r="F17" s="688"/>
      <c r="G17" s="840">
        <f>+T5A!C27</f>
        <v>0</v>
      </c>
      <c r="H17" s="840">
        <f>+T5A!D27</f>
        <v>0</v>
      </c>
      <c r="I17" s="840">
        <f>+T5A!E27</f>
        <v>0</v>
      </c>
      <c r="J17" s="840">
        <f>+T5A!F27</f>
        <v>0</v>
      </c>
      <c r="K17" s="840">
        <f>+T5A!G27</f>
        <v>0</v>
      </c>
      <c r="L17" s="840">
        <f>+T5A!H27</f>
        <v>0</v>
      </c>
      <c r="M17" s="847"/>
      <c r="N17" s="842">
        <f t="shared" si="0"/>
        <v>0</v>
      </c>
    </row>
    <row r="18" spans="2:14" s="685" customFormat="1" ht="27" customHeight="1" x14ac:dyDescent="0.25">
      <c r="B18" s="1081" t="s">
        <v>239</v>
      </c>
      <c r="C18" s="1081"/>
      <c r="D18" s="1081"/>
      <c r="E18" s="1081"/>
      <c r="F18" s="688"/>
      <c r="G18" s="840">
        <f>+T5A!C28</f>
        <v>0</v>
      </c>
      <c r="H18" s="840">
        <f>+T5A!D28</f>
        <v>0</v>
      </c>
      <c r="I18" s="840">
        <f>+T5A!E28</f>
        <v>0</v>
      </c>
      <c r="J18" s="840">
        <f>+T5A!F28</f>
        <v>0</v>
      </c>
      <c r="K18" s="840">
        <f>+T5A!G28</f>
        <v>0</v>
      </c>
      <c r="L18" s="840">
        <f>+T5A!H28</f>
        <v>0</v>
      </c>
      <c r="M18" s="847"/>
      <c r="N18" s="842">
        <f t="shared" si="0"/>
        <v>0</v>
      </c>
    </row>
    <row r="19" spans="2:14" s="685" customFormat="1" ht="18.75" customHeight="1" x14ac:dyDescent="0.25">
      <c r="B19" s="1081" t="s">
        <v>237</v>
      </c>
      <c r="C19" s="1081"/>
      <c r="D19" s="1081"/>
      <c r="E19" s="1081"/>
      <c r="F19" s="688"/>
      <c r="G19" s="840">
        <f>+T5A!C29</f>
        <v>0</v>
      </c>
      <c r="H19" s="840">
        <f>+T5A!D29</f>
        <v>0</v>
      </c>
      <c r="I19" s="840">
        <f>+T5A!E29</f>
        <v>0</v>
      </c>
      <c r="J19" s="840">
        <f>+T5A!F29</f>
        <v>0</v>
      </c>
      <c r="K19" s="840">
        <f>+T5A!G29</f>
        <v>0</v>
      </c>
      <c r="L19" s="840">
        <f>+T5A!H29</f>
        <v>0</v>
      </c>
      <c r="M19" s="847"/>
      <c r="N19" s="842">
        <f t="shared" si="0"/>
        <v>0</v>
      </c>
    </row>
    <row r="20" spans="2:14" s="685" customFormat="1" ht="26.25" customHeight="1" x14ac:dyDescent="0.25">
      <c r="B20" s="1081" t="s">
        <v>287</v>
      </c>
      <c r="C20" s="1081"/>
      <c r="D20" s="1081"/>
      <c r="E20" s="1081"/>
      <c r="F20" s="688"/>
      <c r="G20" s="840">
        <f>+T5A!C30</f>
        <v>0</v>
      </c>
      <c r="H20" s="840">
        <f>+T5A!D30</f>
        <v>0</v>
      </c>
      <c r="I20" s="840">
        <f>+T5A!E30</f>
        <v>0</v>
      </c>
      <c r="J20" s="840">
        <f>+T5A!F30</f>
        <v>0</v>
      </c>
      <c r="K20" s="840">
        <f>+T5A!G30</f>
        <v>0</v>
      </c>
      <c r="L20" s="840">
        <f>+T5A!H30</f>
        <v>0</v>
      </c>
      <c r="M20" s="847"/>
      <c r="N20" s="842">
        <f t="shared" si="0"/>
        <v>0</v>
      </c>
    </row>
    <row r="21" spans="2:14" s="685" customFormat="1" ht="28.5" customHeight="1" x14ac:dyDescent="0.25">
      <c r="B21" s="1082" t="s">
        <v>134</v>
      </c>
      <c r="C21" s="1083"/>
      <c r="D21" s="1083"/>
      <c r="E21" s="1084"/>
      <c r="F21" s="688"/>
      <c r="G21" s="840">
        <f>+T5A!C31</f>
        <v>0</v>
      </c>
      <c r="H21" s="840">
        <f>+T5A!D31</f>
        <v>0</v>
      </c>
      <c r="I21" s="840">
        <f>+T5A!E31</f>
        <v>0</v>
      </c>
      <c r="J21" s="840">
        <f>+T5A!F31</f>
        <v>0</v>
      </c>
      <c r="K21" s="840">
        <f>+T5A!G31</f>
        <v>0</v>
      </c>
      <c r="L21" s="840">
        <f>+T5A!H31</f>
        <v>0</v>
      </c>
      <c r="M21" s="847"/>
      <c r="N21" s="842">
        <f t="shared" si="0"/>
        <v>0</v>
      </c>
    </row>
    <row r="22" spans="2:14" x14ac:dyDescent="0.25">
      <c r="B22" s="48"/>
      <c r="C22" s="48"/>
      <c r="D22" s="48"/>
      <c r="E22" s="48"/>
      <c r="F22" s="48"/>
      <c r="G22" s="678"/>
      <c r="H22" s="678"/>
      <c r="I22" s="678"/>
      <c r="J22" s="678"/>
      <c r="K22" s="678"/>
      <c r="L22" s="678"/>
      <c r="N22" s="678"/>
    </row>
    <row r="23" spans="2:14" s="685" customFormat="1" ht="23.25" customHeight="1" x14ac:dyDescent="0.25">
      <c r="B23" s="1071" t="s">
        <v>33</v>
      </c>
      <c r="C23" s="1072"/>
      <c r="D23" s="1072"/>
      <c r="E23" s="1073"/>
      <c r="F23" s="700"/>
      <c r="G23" s="701">
        <f t="shared" ref="G23:L23" si="1">SUM(G21,G20,G19,G18,G17,G16,G15)</f>
        <v>0</v>
      </c>
      <c r="H23" s="701">
        <f t="shared" si="1"/>
        <v>0</v>
      </c>
      <c r="I23" s="701">
        <f t="shared" si="1"/>
        <v>0</v>
      </c>
      <c r="J23" s="701">
        <f t="shared" si="1"/>
        <v>0</v>
      </c>
      <c r="K23" s="701">
        <f t="shared" si="1"/>
        <v>0</v>
      </c>
      <c r="L23" s="701">
        <f t="shared" si="1"/>
        <v>0</v>
      </c>
      <c r="M23" s="847"/>
      <c r="N23" s="701">
        <f>SUM(G23:L23)</f>
        <v>0</v>
      </c>
    </row>
    <row r="24" spans="2:14" ht="13" x14ac:dyDescent="0.25">
      <c r="B24" s="1066" t="s">
        <v>247</v>
      </c>
      <c r="C24" s="1066"/>
      <c r="D24" s="1066"/>
      <c r="E24" s="1066"/>
      <c r="F24" s="691"/>
      <c r="G24" s="692">
        <f>+G23-T5A!C57</f>
        <v>0</v>
      </c>
      <c r="H24" s="692">
        <f>+H23-T5A!D57</f>
        <v>0</v>
      </c>
      <c r="I24" s="692">
        <f>+I23-T5A!E57</f>
        <v>0</v>
      </c>
      <c r="J24" s="692">
        <f>+J23-T5A!F57</f>
        <v>0</v>
      </c>
      <c r="K24" s="693">
        <f>+K23-T5A!G57</f>
        <v>0</v>
      </c>
      <c r="L24" s="693">
        <f>+L23-T5A!H57</f>
        <v>0</v>
      </c>
      <c r="N24" s="693">
        <f>+N23-T5A!J57</f>
        <v>0</v>
      </c>
    </row>
    <row r="25" spans="2:14" ht="13" x14ac:dyDescent="0.25">
      <c r="B25" s="437"/>
      <c r="C25" s="437"/>
      <c r="D25" s="437"/>
      <c r="E25" s="437"/>
      <c r="F25" s="438"/>
      <c r="G25" s="439"/>
      <c r="H25" s="439"/>
      <c r="I25" s="439"/>
      <c r="J25" s="439"/>
      <c r="K25" s="48"/>
      <c r="L25" s="48"/>
      <c r="N25" s="48"/>
    </row>
    <row r="26" spans="2:14" ht="13" x14ac:dyDescent="0.3">
      <c r="G26" s="435" t="s">
        <v>56</v>
      </c>
    </row>
    <row r="27" spans="2:14" ht="13" x14ac:dyDescent="0.3">
      <c r="G27" s="435" t="s">
        <v>57</v>
      </c>
    </row>
    <row r="28" spans="2:14" s="48" customFormat="1" ht="60" customHeight="1" x14ac:dyDescent="0.25">
      <c r="B28" s="1060" t="s">
        <v>249</v>
      </c>
      <c r="C28" s="1061"/>
      <c r="D28" s="1061"/>
      <c r="E28" s="1062"/>
      <c r="F28" s="162"/>
      <c r="G28" s="675">
        <v>2015</v>
      </c>
      <c r="H28" s="675">
        <f>+G28+1</f>
        <v>2016</v>
      </c>
      <c r="I28" s="675">
        <f>+H28+1</f>
        <v>2017</v>
      </c>
      <c r="J28" s="675">
        <f>+I28+1</f>
        <v>2018</v>
      </c>
      <c r="K28" s="675">
        <f>+J28+1</f>
        <v>2019</v>
      </c>
      <c r="L28" s="675">
        <f>+K28+1</f>
        <v>2020</v>
      </c>
      <c r="M28" s="483"/>
      <c r="N28" s="675" t="s">
        <v>31</v>
      </c>
    </row>
    <row r="29" spans="2:14" s="130" customFormat="1" ht="12" customHeight="1" x14ac:dyDescent="0.25">
      <c r="B29" s="384"/>
      <c r="C29" s="384"/>
      <c r="D29" s="384"/>
      <c r="E29" s="384"/>
      <c r="F29" s="385"/>
      <c r="G29" s="386"/>
      <c r="H29" s="387"/>
      <c r="I29" s="387"/>
      <c r="M29" s="846"/>
    </row>
    <row r="30" spans="2:14" ht="36" customHeight="1" x14ac:dyDescent="0.25">
      <c r="B30" s="1077" t="s">
        <v>131</v>
      </c>
      <c r="C30" s="1078"/>
      <c r="D30" s="1078"/>
      <c r="E30" s="1079"/>
      <c r="F30" s="162"/>
      <c r="G30" s="686"/>
      <c r="H30" s="686"/>
      <c r="I30" s="686"/>
      <c r="J30" s="686"/>
      <c r="K30" s="686"/>
      <c r="L30" s="686"/>
      <c r="N30" s="686"/>
    </row>
    <row r="31" spans="2:14" ht="28.5" customHeight="1" x14ac:dyDescent="0.25">
      <c r="B31" s="1068" t="str">
        <f>"per 31/12/"&amp;$G$13</f>
        <v>per 31/12/2015</v>
      </c>
      <c r="C31" s="1069"/>
      <c r="D31" s="1069"/>
      <c r="E31" s="1070"/>
      <c r="F31" s="162"/>
      <c r="G31" s="684"/>
      <c r="H31" s="684"/>
      <c r="I31" s="684"/>
      <c r="J31" s="684"/>
      <c r="K31" s="684"/>
      <c r="L31" s="684"/>
      <c r="N31" s="679">
        <f t="shared" ref="N31:N36" si="2">SUM(G31:L31)</f>
        <v>0</v>
      </c>
    </row>
    <row r="32" spans="2:14" ht="28.5" customHeight="1" x14ac:dyDescent="0.25">
      <c r="B32" s="1068" t="str">
        <f>"per 31/12/"&amp;$H$13</f>
        <v>per 31/12/2016</v>
      </c>
      <c r="C32" s="1069"/>
      <c r="D32" s="1069"/>
      <c r="E32" s="1070"/>
      <c r="F32" s="162"/>
      <c r="G32" s="684"/>
      <c r="H32" s="684"/>
      <c r="I32" s="684"/>
      <c r="J32" s="684"/>
      <c r="K32" s="684"/>
      <c r="L32" s="684"/>
      <c r="N32" s="679">
        <f t="shared" si="2"/>
        <v>0</v>
      </c>
    </row>
    <row r="33" spans="2:14" ht="28.5" customHeight="1" x14ac:dyDescent="0.25">
      <c r="B33" s="1068" t="str">
        <f>"per 31/12/"&amp;$I$13</f>
        <v>per 31/12/2017</v>
      </c>
      <c r="C33" s="1069"/>
      <c r="D33" s="1069"/>
      <c r="E33" s="1070"/>
      <c r="F33" s="162"/>
      <c r="G33" s="684">
        <f>J175</f>
        <v>0</v>
      </c>
      <c r="H33" s="684"/>
      <c r="I33" s="684"/>
      <c r="J33" s="684"/>
      <c r="K33" s="684"/>
      <c r="L33" s="684"/>
      <c r="N33" s="679">
        <f t="shared" si="2"/>
        <v>0</v>
      </c>
    </row>
    <row r="34" spans="2:14" ht="28.5" customHeight="1" x14ac:dyDescent="0.25">
      <c r="B34" s="1068" t="str">
        <f>"per 31/12/"&amp;$J$13</f>
        <v>per 31/12/2018</v>
      </c>
      <c r="C34" s="1069"/>
      <c r="D34" s="1069"/>
      <c r="E34" s="1070"/>
      <c r="F34" s="162"/>
      <c r="G34" s="684">
        <f>L180</f>
        <v>0</v>
      </c>
      <c r="H34" s="684">
        <f>L181</f>
        <v>0</v>
      </c>
      <c r="I34" s="684"/>
      <c r="J34" s="684"/>
      <c r="K34" s="684"/>
      <c r="L34" s="684"/>
      <c r="N34" s="679">
        <f t="shared" si="2"/>
        <v>0</v>
      </c>
    </row>
    <row r="35" spans="2:14" ht="28.5" customHeight="1" x14ac:dyDescent="0.25">
      <c r="B35" s="1068" t="str">
        <f>"per 31/12/"&amp;$K$13</f>
        <v>per 31/12/2019</v>
      </c>
      <c r="C35" s="1069"/>
      <c r="D35" s="1069"/>
      <c r="E35" s="1070"/>
      <c r="F35" s="162"/>
      <c r="G35" s="684">
        <f>L187</f>
        <v>0</v>
      </c>
      <c r="H35" s="684">
        <f>L188</f>
        <v>0</v>
      </c>
      <c r="I35" s="684">
        <f>L189</f>
        <v>0</v>
      </c>
      <c r="J35" s="684"/>
      <c r="K35" s="684"/>
      <c r="L35" s="684"/>
      <c r="N35" s="679">
        <f t="shared" si="2"/>
        <v>0</v>
      </c>
    </row>
    <row r="36" spans="2:14" ht="28.5" customHeight="1" x14ac:dyDescent="0.25">
      <c r="B36" s="1068" t="str">
        <f>"per 31/12/"&amp;$L$13</f>
        <v>per 31/12/2020</v>
      </c>
      <c r="C36" s="1069"/>
      <c r="D36" s="1069"/>
      <c r="E36" s="1070"/>
      <c r="F36" s="162"/>
      <c r="G36" s="684">
        <f>L195</f>
        <v>0</v>
      </c>
      <c r="H36" s="684">
        <f>L196</f>
        <v>0</v>
      </c>
      <c r="I36" s="684">
        <f>L197</f>
        <v>0</v>
      </c>
      <c r="J36" s="684">
        <f>L198</f>
        <v>0</v>
      </c>
      <c r="K36" s="684"/>
      <c r="L36" s="684"/>
      <c r="N36" s="679">
        <f t="shared" si="2"/>
        <v>0</v>
      </c>
    </row>
    <row r="37" spans="2:14" ht="27.75" customHeight="1" x14ac:dyDescent="0.25">
      <c r="B37" s="1077" t="s">
        <v>132</v>
      </c>
      <c r="C37" s="1078"/>
      <c r="D37" s="1078"/>
      <c r="E37" s="1079"/>
      <c r="F37" s="162"/>
      <c r="G37" s="686"/>
      <c r="H37" s="686"/>
      <c r="I37" s="686"/>
      <c r="J37" s="686"/>
      <c r="K37" s="686"/>
      <c r="L37" s="686"/>
      <c r="N37" s="686"/>
    </row>
    <row r="38" spans="2:14" ht="28.5" customHeight="1" x14ac:dyDescent="0.25">
      <c r="B38" s="1068" t="str">
        <f>"per 31/12/"&amp;$G$13</f>
        <v>per 31/12/2015</v>
      </c>
      <c r="C38" s="1069"/>
      <c r="D38" s="1069"/>
      <c r="E38" s="1070"/>
      <c r="F38" s="162"/>
      <c r="G38" s="684"/>
      <c r="H38" s="684"/>
      <c r="I38" s="684"/>
      <c r="J38" s="684"/>
      <c r="K38" s="684"/>
      <c r="L38" s="684"/>
      <c r="N38" s="679">
        <f t="shared" ref="N38:N43" si="3">SUM(G38:L38)</f>
        <v>0</v>
      </c>
    </row>
    <row r="39" spans="2:14" ht="28.5" customHeight="1" x14ac:dyDescent="0.25">
      <c r="B39" s="1068" t="str">
        <f>"per 31/12/"&amp;$H$13</f>
        <v>per 31/12/2016</v>
      </c>
      <c r="C39" s="1069"/>
      <c r="D39" s="1069"/>
      <c r="E39" s="1070"/>
      <c r="F39" s="162"/>
      <c r="G39" s="684"/>
      <c r="H39" s="684"/>
      <c r="I39" s="684"/>
      <c r="J39" s="684"/>
      <c r="K39" s="684"/>
      <c r="L39" s="684"/>
      <c r="N39" s="679">
        <f t="shared" si="3"/>
        <v>0</v>
      </c>
    </row>
    <row r="40" spans="2:14" ht="28.5" customHeight="1" x14ac:dyDescent="0.25">
      <c r="B40" s="1068" t="str">
        <f>"per 31/12/"&amp;$I$13</f>
        <v>per 31/12/2017</v>
      </c>
      <c r="C40" s="1069"/>
      <c r="D40" s="1069"/>
      <c r="E40" s="1070"/>
      <c r="F40" s="162"/>
      <c r="G40" s="684">
        <f>J215</f>
        <v>0</v>
      </c>
      <c r="H40" s="684"/>
      <c r="I40" s="684"/>
      <c r="J40" s="684"/>
      <c r="K40" s="684"/>
      <c r="L40" s="684"/>
      <c r="N40" s="679">
        <f t="shared" si="3"/>
        <v>0</v>
      </c>
    </row>
    <row r="41" spans="2:14" ht="28.5" customHeight="1" x14ac:dyDescent="0.25">
      <c r="B41" s="1068" t="str">
        <f>"per 31/12/"&amp;$J$13</f>
        <v>per 31/12/2018</v>
      </c>
      <c r="C41" s="1069"/>
      <c r="D41" s="1069"/>
      <c r="E41" s="1070"/>
      <c r="F41" s="162"/>
      <c r="G41" s="684">
        <f>L220</f>
        <v>0</v>
      </c>
      <c r="H41" s="684">
        <f>L221</f>
        <v>0</v>
      </c>
      <c r="I41" s="684"/>
      <c r="J41" s="684"/>
      <c r="K41" s="684"/>
      <c r="L41" s="684"/>
      <c r="N41" s="679">
        <f t="shared" si="3"/>
        <v>0</v>
      </c>
    </row>
    <row r="42" spans="2:14" ht="28.5" customHeight="1" x14ac:dyDescent="0.25">
      <c r="B42" s="1068" t="str">
        <f>"per 31/12/"&amp;$K$13</f>
        <v>per 31/12/2019</v>
      </c>
      <c r="C42" s="1069"/>
      <c r="D42" s="1069"/>
      <c r="E42" s="1070"/>
      <c r="F42" s="162"/>
      <c r="G42" s="684">
        <f>L227</f>
        <v>0</v>
      </c>
      <c r="H42" s="684">
        <f>L228</f>
        <v>0</v>
      </c>
      <c r="I42" s="684">
        <f>L229</f>
        <v>0</v>
      </c>
      <c r="J42" s="684"/>
      <c r="K42" s="684"/>
      <c r="L42" s="684"/>
      <c r="N42" s="679">
        <f t="shared" si="3"/>
        <v>0</v>
      </c>
    </row>
    <row r="43" spans="2:14" ht="28.5" customHeight="1" x14ac:dyDescent="0.25">
      <c r="B43" s="1068" t="str">
        <f>"per 31/12/"&amp;$L$13</f>
        <v>per 31/12/2020</v>
      </c>
      <c r="C43" s="1069"/>
      <c r="D43" s="1069"/>
      <c r="E43" s="1070"/>
      <c r="F43" s="162"/>
      <c r="G43" s="684">
        <f>L235</f>
        <v>0</v>
      </c>
      <c r="H43" s="684">
        <f>L236</f>
        <v>0</v>
      </c>
      <c r="I43" s="684">
        <f>L237</f>
        <v>0</v>
      </c>
      <c r="J43" s="684">
        <f>L238</f>
        <v>0</v>
      </c>
      <c r="K43" s="684"/>
      <c r="L43" s="684"/>
      <c r="N43" s="679">
        <f t="shared" si="3"/>
        <v>0</v>
      </c>
    </row>
    <row r="44" spans="2:14" ht="30" customHeight="1" x14ac:dyDescent="0.25">
      <c r="B44" s="1077" t="s">
        <v>133</v>
      </c>
      <c r="C44" s="1078"/>
      <c r="D44" s="1078"/>
      <c r="E44" s="1079"/>
      <c r="F44" s="162"/>
      <c r="G44" s="686"/>
      <c r="H44" s="686"/>
      <c r="I44" s="686"/>
      <c r="J44" s="686"/>
      <c r="K44" s="686"/>
      <c r="L44" s="686"/>
      <c r="N44" s="686"/>
    </row>
    <row r="45" spans="2:14" ht="28.5" customHeight="1" x14ac:dyDescent="0.25">
      <c r="B45" s="1068" t="str">
        <f>"per 31/12/"&amp;$G$13</f>
        <v>per 31/12/2015</v>
      </c>
      <c r="C45" s="1069"/>
      <c r="D45" s="1069"/>
      <c r="E45" s="1070"/>
      <c r="F45" s="162"/>
      <c r="G45" s="684"/>
      <c r="H45" s="684"/>
      <c r="I45" s="684"/>
      <c r="J45" s="684"/>
      <c r="K45" s="684"/>
      <c r="L45" s="684"/>
      <c r="N45" s="679">
        <f t="shared" ref="N45:N50" si="4">SUM(G45:L45)</f>
        <v>0</v>
      </c>
    </row>
    <row r="46" spans="2:14" ht="28.5" customHeight="1" x14ac:dyDescent="0.25">
      <c r="B46" s="1068" t="str">
        <f>"per 31/12/"&amp;$H$13</f>
        <v>per 31/12/2016</v>
      </c>
      <c r="C46" s="1069"/>
      <c r="D46" s="1069"/>
      <c r="E46" s="1070"/>
      <c r="F46" s="162"/>
      <c r="G46" s="684"/>
      <c r="H46" s="684"/>
      <c r="I46" s="684"/>
      <c r="J46" s="684"/>
      <c r="K46" s="684"/>
      <c r="L46" s="684"/>
      <c r="N46" s="679">
        <f t="shared" si="4"/>
        <v>0</v>
      </c>
    </row>
    <row r="47" spans="2:14" ht="28.5" customHeight="1" x14ac:dyDescent="0.25">
      <c r="B47" s="1068" t="str">
        <f>"per 31/12/"&amp;$I$13</f>
        <v>per 31/12/2017</v>
      </c>
      <c r="C47" s="1069"/>
      <c r="D47" s="1069"/>
      <c r="E47" s="1070"/>
      <c r="F47" s="162"/>
      <c r="G47" s="684">
        <f>J255</f>
        <v>0</v>
      </c>
      <c r="H47" s="684"/>
      <c r="I47" s="684"/>
      <c r="J47" s="684"/>
      <c r="K47" s="684"/>
      <c r="L47" s="684"/>
      <c r="N47" s="679">
        <f t="shared" si="4"/>
        <v>0</v>
      </c>
    </row>
    <row r="48" spans="2:14" ht="28.5" customHeight="1" x14ac:dyDescent="0.25">
      <c r="B48" s="1068" t="str">
        <f>"per 31/12/"&amp;$J$13</f>
        <v>per 31/12/2018</v>
      </c>
      <c r="C48" s="1069"/>
      <c r="D48" s="1069"/>
      <c r="E48" s="1070"/>
      <c r="F48" s="162"/>
      <c r="G48" s="684">
        <f>L260</f>
        <v>0</v>
      </c>
      <c r="H48" s="684">
        <f>L261</f>
        <v>0</v>
      </c>
      <c r="I48" s="684"/>
      <c r="J48" s="684"/>
      <c r="K48" s="684"/>
      <c r="L48" s="684"/>
      <c r="N48" s="679">
        <f t="shared" si="4"/>
        <v>0</v>
      </c>
    </row>
    <row r="49" spans="2:14" ht="28.5" customHeight="1" x14ac:dyDescent="0.25">
      <c r="B49" s="1068" t="str">
        <f>"per 31/12/"&amp;$K$13</f>
        <v>per 31/12/2019</v>
      </c>
      <c r="C49" s="1069"/>
      <c r="D49" s="1069"/>
      <c r="E49" s="1070"/>
      <c r="F49" s="162"/>
      <c r="G49" s="684">
        <f>L267</f>
        <v>0</v>
      </c>
      <c r="H49" s="684">
        <f>L268</f>
        <v>0</v>
      </c>
      <c r="I49" s="684">
        <f>L269</f>
        <v>0</v>
      </c>
      <c r="J49" s="684"/>
      <c r="K49" s="684"/>
      <c r="L49" s="684"/>
      <c r="N49" s="679">
        <f t="shared" si="4"/>
        <v>0</v>
      </c>
    </row>
    <row r="50" spans="2:14" ht="28.5" customHeight="1" x14ac:dyDescent="0.25">
      <c r="B50" s="1068" t="str">
        <f>"per 31/12/"&amp;$L$13</f>
        <v>per 31/12/2020</v>
      </c>
      <c r="C50" s="1069"/>
      <c r="D50" s="1069"/>
      <c r="E50" s="1070"/>
      <c r="F50" s="162"/>
      <c r="G50" s="684">
        <f>L275</f>
        <v>0</v>
      </c>
      <c r="H50" s="684">
        <f>L276</f>
        <v>0</v>
      </c>
      <c r="I50" s="684">
        <f>L277</f>
        <v>0</v>
      </c>
      <c r="J50" s="684">
        <f>L278</f>
        <v>0</v>
      </c>
      <c r="K50" s="684"/>
      <c r="L50" s="684"/>
      <c r="N50" s="679">
        <f t="shared" si="4"/>
        <v>0</v>
      </c>
    </row>
    <row r="51" spans="2:14" ht="27" customHeight="1" x14ac:dyDescent="0.25">
      <c r="B51" s="1080" t="s">
        <v>239</v>
      </c>
      <c r="C51" s="1080"/>
      <c r="D51" s="1080"/>
      <c r="E51" s="1080"/>
      <c r="F51" s="162"/>
      <c r="G51" s="679"/>
      <c r="H51" s="679"/>
      <c r="I51" s="679"/>
      <c r="J51" s="679"/>
      <c r="K51" s="679"/>
      <c r="L51" s="679"/>
      <c r="N51" s="679"/>
    </row>
    <row r="52" spans="2:14" ht="28.5" customHeight="1" x14ac:dyDescent="0.25">
      <c r="B52" s="1068" t="str">
        <f>"per 31/12/"&amp;$G$13</f>
        <v>per 31/12/2015</v>
      </c>
      <c r="C52" s="1069"/>
      <c r="D52" s="1069"/>
      <c r="E52" s="1070"/>
      <c r="F52" s="162"/>
      <c r="G52" s="684"/>
      <c r="H52" s="684"/>
      <c r="I52" s="684"/>
      <c r="J52" s="684"/>
      <c r="K52" s="684"/>
      <c r="L52" s="684"/>
      <c r="N52" s="679">
        <f t="shared" ref="N52:N57" si="5">SUM(G52:L52)</f>
        <v>0</v>
      </c>
    </row>
    <row r="53" spans="2:14" ht="28.5" customHeight="1" x14ac:dyDescent="0.25">
      <c r="B53" s="1068" t="str">
        <f>"per 31/12/"&amp;$H$13</f>
        <v>per 31/12/2016</v>
      </c>
      <c r="C53" s="1069"/>
      <c r="D53" s="1069"/>
      <c r="E53" s="1070"/>
      <c r="F53" s="162"/>
      <c r="G53" s="684"/>
      <c r="H53" s="684"/>
      <c r="I53" s="684"/>
      <c r="J53" s="684"/>
      <c r="K53" s="684"/>
      <c r="L53" s="684"/>
      <c r="N53" s="679">
        <f t="shared" si="5"/>
        <v>0</v>
      </c>
    </row>
    <row r="54" spans="2:14" ht="28.5" customHeight="1" x14ac:dyDescent="0.25">
      <c r="B54" s="1068" t="str">
        <f>"per 31/12/"&amp;$I$13</f>
        <v>per 31/12/2017</v>
      </c>
      <c r="C54" s="1069"/>
      <c r="D54" s="1069"/>
      <c r="E54" s="1070"/>
      <c r="F54" s="162"/>
      <c r="G54" s="684">
        <f>J295</f>
        <v>0</v>
      </c>
      <c r="H54" s="684"/>
      <c r="I54" s="684"/>
      <c r="J54" s="684"/>
      <c r="K54" s="684"/>
      <c r="L54" s="684"/>
      <c r="N54" s="679">
        <f t="shared" si="5"/>
        <v>0</v>
      </c>
    </row>
    <row r="55" spans="2:14" ht="28.5" customHeight="1" x14ac:dyDescent="0.25">
      <c r="B55" s="1068" t="str">
        <f>"per 31/12/"&amp;$J$13</f>
        <v>per 31/12/2018</v>
      </c>
      <c r="C55" s="1069"/>
      <c r="D55" s="1069"/>
      <c r="E55" s="1070"/>
      <c r="F55" s="162"/>
      <c r="G55" s="684">
        <f>L300</f>
        <v>0</v>
      </c>
      <c r="H55" s="684">
        <f>L301</f>
        <v>0</v>
      </c>
      <c r="I55" s="684"/>
      <c r="J55" s="684"/>
      <c r="K55" s="684"/>
      <c r="L55" s="684"/>
      <c r="N55" s="679">
        <f t="shared" si="5"/>
        <v>0</v>
      </c>
    </row>
    <row r="56" spans="2:14" ht="28.5" customHeight="1" x14ac:dyDescent="0.25">
      <c r="B56" s="1068" t="str">
        <f>"per 31/12/"&amp;$K$13</f>
        <v>per 31/12/2019</v>
      </c>
      <c r="C56" s="1069"/>
      <c r="D56" s="1069"/>
      <c r="E56" s="1070"/>
      <c r="F56" s="162"/>
      <c r="G56" s="684">
        <f>L307</f>
        <v>0</v>
      </c>
      <c r="H56" s="684">
        <f>L308</f>
        <v>0</v>
      </c>
      <c r="I56" s="684">
        <f>L309</f>
        <v>0</v>
      </c>
      <c r="J56" s="684"/>
      <c r="K56" s="684"/>
      <c r="L56" s="684"/>
      <c r="N56" s="679">
        <f t="shared" si="5"/>
        <v>0</v>
      </c>
    </row>
    <row r="57" spans="2:14" ht="28.5" customHeight="1" x14ac:dyDescent="0.25">
      <c r="B57" s="1068" t="str">
        <f>"per 31/12/"&amp;$L$13</f>
        <v>per 31/12/2020</v>
      </c>
      <c r="C57" s="1069"/>
      <c r="D57" s="1069"/>
      <c r="E57" s="1070"/>
      <c r="F57" s="162"/>
      <c r="G57" s="684">
        <f>L315</f>
        <v>0</v>
      </c>
      <c r="H57" s="684">
        <f>L316</f>
        <v>0</v>
      </c>
      <c r="I57" s="684">
        <f>L317</f>
        <v>0</v>
      </c>
      <c r="J57" s="684">
        <f>L318</f>
        <v>0</v>
      </c>
      <c r="K57" s="684"/>
      <c r="L57" s="684"/>
      <c r="N57" s="679">
        <f t="shared" si="5"/>
        <v>0</v>
      </c>
    </row>
    <row r="58" spans="2:14" ht="26.25" customHeight="1" x14ac:dyDescent="0.25">
      <c r="B58" s="1077" t="s">
        <v>237</v>
      </c>
      <c r="C58" s="1078"/>
      <c r="D58" s="1078"/>
      <c r="E58" s="1079"/>
      <c r="F58" s="162"/>
      <c r="G58" s="686"/>
      <c r="H58" s="686"/>
      <c r="I58" s="686"/>
      <c r="J58" s="686"/>
      <c r="K58" s="686"/>
      <c r="L58" s="686"/>
      <c r="N58" s="686"/>
    </row>
    <row r="59" spans="2:14" ht="28.5" customHeight="1" x14ac:dyDescent="0.25">
      <c r="B59" s="1068" t="str">
        <f>"per 31/12/"&amp;$G$13</f>
        <v>per 31/12/2015</v>
      </c>
      <c r="C59" s="1069"/>
      <c r="D59" s="1069"/>
      <c r="E59" s="1070"/>
      <c r="F59" s="162"/>
      <c r="G59" s="684"/>
      <c r="H59" s="684"/>
      <c r="I59" s="684"/>
      <c r="J59" s="684"/>
      <c r="K59" s="684"/>
      <c r="L59" s="684"/>
      <c r="N59" s="679">
        <f t="shared" ref="N59:N64" si="6">SUM(G59:L59)</f>
        <v>0</v>
      </c>
    </row>
    <row r="60" spans="2:14" ht="28.5" customHeight="1" x14ac:dyDescent="0.25">
      <c r="B60" s="1068" t="str">
        <f>"per 31/12/"&amp;$H$13</f>
        <v>per 31/12/2016</v>
      </c>
      <c r="C60" s="1069"/>
      <c r="D60" s="1069"/>
      <c r="E60" s="1070"/>
      <c r="F60" s="162"/>
      <c r="G60" s="684"/>
      <c r="H60" s="684"/>
      <c r="I60" s="684"/>
      <c r="J60" s="684"/>
      <c r="K60" s="684"/>
      <c r="L60" s="684"/>
      <c r="N60" s="679">
        <f t="shared" si="6"/>
        <v>0</v>
      </c>
    </row>
    <row r="61" spans="2:14" ht="29.25" customHeight="1" x14ac:dyDescent="0.25">
      <c r="B61" s="1068" t="str">
        <f>"per 31/12/"&amp;$I$13</f>
        <v>per 31/12/2017</v>
      </c>
      <c r="C61" s="1069"/>
      <c r="D61" s="1069"/>
      <c r="E61" s="1070"/>
      <c r="F61" s="162"/>
      <c r="G61" s="684">
        <f>J335</f>
        <v>0</v>
      </c>
      <c r="H61" s="684"/>
      <c r="I61" s="684"/>
      <c r="J61" s="684"/>
      <c r="K61" s="684"/>
      <c r="L61" s="684"/>
      <c r="N61" s="679">
        <f t="shared" si="6"/>
        <v>0</v>
      </c>
    </row>
    <row r="62" spans="2:14" ht="28.5" customHeight="1" x14ac:dyDescent="0.25">
      <c r="B62" s="1068" t="str">
        <f>"per 31/12/"&amp;$J$13</f>
        <v>per 31/12/2018</v>
      </c>
      <c r="C62" s="1069"/>
      <c r="D62" s="1069"/>
      <c r="E62" s="1070"/>
      <c r="F62" s="162"/>
      <c r="G62" s="684">
        <f>L340</f>
        <v>0</v>
      </c>
      <c r="H62" s="684">
        <f>L341</f>
        <v>0</v>
      </c>
      <c r="I62" s="684"/>
      <c r="J62" s="684"/>
      <c r="K62" s="684"/>
      <c r="L62" s="684"/>
      <c r="N62" s="679">
        <f t="shared" si="6"/>
        <v>0</v>
      </c>
    </row>
    <row r="63" spans="2:14" ht="28.5" customHeight="1" x14ac:dyDescent="0.25">
      <c r="B63" s="1068" t="str">
        <f>"per 31/12/"&amp;$K$13</f>
        <v>per 31/12/2019</v>
      </c>
      <c r="C63" s="1069"/>
      <c r="D63" s="1069"/>
      <c r="E63" s="1070"/>
      <c r="F63" s="162"/>
      <c r="G63" s="684">
        <f>L347</f>
        <v>0</v>
      </c>
      <c r="H63" s="684">
        <f>L348</f>
        <v>0</v>
      </c>
      <c r="I63" s="684">
        <f>L349</f>
        <v>0</v>
      </c>
      <c r="J63" s="684"/>
      <c r="K63" s="684"/>
      <c r="L63" s="684"/>
      <c r="N63" s="679">
        <f t="shared" si="6"/>
        <v>0</v>
      </c>
    </row>
    <row r="64" spans="2:14" ht="28.5" customHeight="1" x14ac:dyDescent="0.25">
      <c r="B64" s="1068" t="str">
        <f>"per 31/12/"&amp;$L$13</f>
        <v>per 31/12/2020</v>
      </c>
      <c r="C64" s="1069"/>
      <c r="D64" s="1069"/>
      <c r="E64" s="1070"/>
      <c r="F64" s="162"/>
      <c r="G64" s="684">
        <f>L355</f>
        <v>0</v>
      </c>
      <c r="H64" s="684">
        <f>L356</f>
        <v>0</v>
      </c>
      <c r="I64" s="684">
        <f>L357</f>
        <v>0</v>
      </c>
      <c r="J64" s="684">
        <f>L358</f>
        <v>0</v>
      </c>
      <c r="K64" s="684"/>
      <c r="L64" s="684"/>
      <c r="N64" s="679">
        <f t="shared" si="6"/>
        <v>0</v>
      </c>
    </row>
    <row r="65" spans="2:14" ht="31.5" customHeight="1" x14ac:dyDescent="0.25">
      <c r="B65" s="1077" t="s">
        <v>287</v>
      </c>
      <c r="C65" s="1078"/>
      <c r="D65" s="1078"/>
      <c r="E65" s="1079"/>
      <c r="F65" s="162"/>
      <c r="G65" s="686"/>
      <c r="H65" s="686"/>
      <c r="I65" s="686"/>
      <c r="J65" s="686"/>
      <c r="K65" s="686"/>
      <c r="L65" s="686"/>
      <c r="N65" s="686"/>
    </row>
    <row r="66" spans="2:14" ht="28.5" customHeight="1" x14ac:dyDescent="0.25">
      <c r="B66" s="1068" t="str">
        <f>"per 31/12/"&amp;$G$13</f>
        <v>per 31/12/2015</v>
      </c>
      <c r="C66" s="1069"/>
      <c r="D66" s="1069"/>
      <c r="E66" s="1070"/>
      <c r="F66" s="162"/>
      <c r="G66" s="684"/>
      <c r="H66" s="684"/>
      <c r="I66" s="684"/>
      <c r="J66" s="684"/>
      <c r="K66" s="684"/>
      <c r="L66" s="684"/>
      <c r="N66" s="679">
        <f t="shared" ref="N66:N71" si="7">SUM(G66:L66)</f>
        <v>0</v>
      </c>
    </row>
    <row r="67" spans="2:14" ht="28.5" customHeight="1" x14ac:dyDescent="0.25">
      <c r="B67" s="1068" t="str">
        <f>"per 31/12/"&amp;$H$13</f>
        <v>per 31/12/2016</v>
      </c>
      <c r="C67" s="1069"/>
      <c r="D67" s="1069"/>
      <c r="E67" s="1070"/>
      <c r="F67" s="162"/>
      <c r="G67" s="684"/>
      <c r="H67" s="684"/>
      <c r="I67" s="684"/>
      <c r="J67" s="684"/>
      <c r="K67" s="684"/>
      <c r="L67" s="684"/>
      <c r="N67" s="679">
        <f t="shared" si="7"/>
        <v>0</v>
      </c>
    </row>
    <row r="68" spans="2:14" ht="28.5" customHeight="1" x14ac:dyDescent="0.25">
      <c r="B68" s="1068" t="str">
        <f>"per 31/12/"&amp;$I$13</f>
        <v>per 31/12/2017</v>
      </c>
      <c r="C68" s="1069"/>
      <c r="D68" s="1069"/>
      <c r="E68" s="1070"/>
      <c r="F68" s="162"/>
      <c r="G68" s="684">
        <f>J375</f>
        <v>0</v>
      </c>
      <c r="H68" s="684"/>
      <c r="I68" s="684"/>
      <c r="J68" s="684"/>
      <c r="K68" s="684"/>
      <c r="L68" s="684"/>
      <c r="N68" s="679">
        <f t="shared" si="7"/>
        <v>0</v>
      </c>
    </row>
    <row r="69" spans="2:14" ht="28.5" customHeight="1" x14ac:dyDescent="0.25">
      <c r="B69" s="1068" t="str">
        <f>"per 31/12/"&amp;$J$13</f>
        <v>per 31/12/2018</v>
      </c>
      <c r="C69" s="1069"/>
      <c r="D69" s="1069"/>
      <c r="E69" s="1070"/>
      <c r="F69" s="162"/>
      <c r="G69" s="684">
        <f>L380</f>
        <v>0</v>
      </c>
      <c r="H69" s="684">
        <f>L381</f>
        <v>0</v>
      </c>
      <c r="I69" s="684"/>
      <c r="J69" s="684"/>
      <c r="K69" s="684"/>
      <c r="L69" s="684"/>
      <c r="N69" s="679">
        <f t="shared" si="7"/>
        <v>0</v>
      </c>
    </row>
    <row r="70" spans="2:14" ht="28.5" customHeight="1" x14ac:dyDescent="0.25">
      <c r="B70" s="1068" t="str">
        <f>"per 31/12/"&amp;$K$13</f>
        <v>per 31/12/2019</v>
      </c>
      <c r="C70" s="1069"/>
      <c r="D70" s="1069"/>
      <c r="E70" s="1070"/>
      <c r="F70" s="162"/>
      <c r="G70" s="684">
        <f>L387</f>
        <v>0</v>
      </c>
      <c r="H70" s="684">
        <f>L388</f>
        <v>0</v>
      </c>
      <c r="I70" s="684">
        <f>L389</f>
        <v>0</v>
      </c>
      <c r="J70" s="684"/>
      <c r="K70" s="684"/>
      <c r="L70" s="684"/>
      <c r="N70" s="679">
        <f t="shared" si="7"/>
        <v>0</v>
      </c>
    </row>
    <row r="71" spans="2:14" ht="28.5" customHeight="1" x14ac:dyDescent="0.25">
      <c r="B71" s="1068" t="str">
        <f>"per 31/12/"&amp;$L$13</f>
        <v>per 31/12/2020</v>
      </c>
      <c r="C71" s="1069"/>
      <c r="D71" s="1069"/>
      <c r="E71" s="1070"/>
      <c r="F71" s="162"/>
      <c r="G71" s="684">
        <f>L395</f>
        <v>0</v>
      </c>
      <c r="H71" s="684">
        <f>L396</f>
        <v>0</v>
      </c>
      <c r="I71" s="684">
        <f>L397</f>
        <v>0</v>
      </c>
      <c r="J71" s="684">
        <f>L398</f>
        <v>0</v>
      </c>
      <c r="K71" s="684"/>
      <c r="L71" s="684"/>
      <c r="N71" s="679">
        <f t="shared" si="7"/>
        <v>0</v>
      </c>
    </row>
    <row r="72" spans="2:14" ht="33" customHeight="1" x14ac:dyDescent="0.25">
      <c r="B72" s="1074" t="s">
        <v>134</v>
      </c>
      <c r="C72" s="1075"/>
      <c r="D72" s="1075"/>
      <c r="E72" s="1076"/>
      <c r="F72" s="162"/>
      <c r="G72" s="686"/>
      <c r="H72" s="686"/>
      <c r="I72" s="686"/>
      <c r="J72" s="686"/>
      <c r="K72" s="686"/>
      <c r="L72" s="686"/>
      <c r="N72" s="686"/>
    </row>
    <row r="73" spans="2:14" ht="28.5" customHeight="1" x14ac:dyDescent="0.25">
      <c r="B73" s="1068" t="str">
        <f>"per 31/12/"&amp;$G$13</f>
        <v>per 31/12/2015</v>
      </c>
      <c r="C73" s="1069"/>
      <c r="D73" s="1069"/>
      <c r="E73" s="1070"/>
      <c r="F73" s="162"/>
      <c r="G73" s="684"/>
      <c r="H73" s="684"/>
      <c r="I73" s="684"/>
      <c r="J73" s="684"/>
      <c r="K73" s="684"/>
      <c r="L73" s="684"/>
      <c r="N73" s="679">
        <f t="shared" ref="N73:N78" si="8">SUM(G73:L73)</f>
        <v>0</v>
      </c>
    </row>
    <row r="74" spans="2:14" ht="28.5" customHeight="1" x14ac:dyDescent="0.25">
      <c r="B74" s="1068" t="str">
        <f>"per 31/12/"&amp;$H$13</f>
        <v>per 31/12/2016</v>
      </c>
      <c r="C74" s="1069"/>
      <c r="D74" s="1069"/>
      <c r="E74" s="1070"/>
      <c r="F74" s="162"/>
      <c r="G74" s="684"/>
      <c r="H74" s="684"/>
      <c r="I74" s="684"/>
      <c r="J74" s="684"/>
      <c r="K74" s="684"/>
      <c r="L74" s="684"/>
      <c r="N74" s="679">
        <f t="shared" si="8"/>
        <v>0</v>
      </c>
    </row>
    <row r="75" spans="2:14" ht="28.5" customHeight="1" x14ac:dyDescent="0.25">
      <c r="B75" s="1068" t="str">
        <f>"per 31/12/"&amp;$I$13</f>
        <v>per 31/12/2017</v>
      </c>
      <c r="C75" s="1069"/>
      <c r="D75" s="1069"/>
      <c r="E75" s="1070"/>
      <c r="F75" s="162"/>
      <c r="G75" s="684">
        <f>J415</f>
        <v>0</v>
      </c>
      <c r="H75" s="684"/>
      <c r="I75" s="684"/>
      <c r="J75" s="684"/>
      <c r="K75" s="684"/>
      <c r="L75" s="684"/>
      <c r="N75" s="679">
        <f t="shared" si="8"/>
        <v>0</v>
      </c>
    </row>
    <row r="76" spans="2:14" ht="28.5" customHeight="1" x14ac:dyDescent="0.25">
      <c r="B76" s="1068" t="str">
        <f>"per 31/12/"&amp;$J$13</f>
        <v>per 31/12/2018</v>
      </c>
      <c r="C76" s="1069"/>
      <c r="D76" s="1069"/>
      <c r="E76" s="1070"/>
      <c r="F76" s="162"/>
      <c r="G76" s="684">
        <f>L420</f>
        <v>0</v>
      </c>
      <c r="H76" s="684">
        <f>L421</f>
        <v>0</v>
      </c>
      <c r="I76" s="684"/>
      <c r="J76" s="684"/>
      <c r="K76" s="684"/>
      <c r="L76" s="684"/>
      <c r="N76" s="679">
        <f t="shared" si="8"/>
        <v>0</v>
      </c>
    </row>
    <row r="77" spans="2:14" ht="28.5" customHeight="1" x14ac:dyDescent="0.25">
      <c r="B77" s="1068" t="str">
        <f>"per 31/12/"&amp;$K$13</f>
        <v>per 31/12/2019</v>
      </c>
      <c r="C77" s="1069"/>
      <c r="D77" s="1069"/>
      <c r="E77" s="1070"/>
      <c r="F77" s="162"/>
      <c r="G77" s="684">
        <f>L427</f>
        <v>0</v>
      </c>
      <c r="H77" s="684">
        <f>L428</f>
        <v>0</v>
      </c>
      <c r="I77" s="684">
        <f>L429</f>
        <v>0</v>
      </c>
      <c r="J77" s="684"/>
      <c r="K77" s="684"/>
      <c r="L77" s="684"/>
      <c r="N77" s="679">
        <f t="shared" si="8"/>
        <v>0</v>
      </c>
    </row>
    <row r="78" spans="2:14" ht="28.5" customHeight="1" x14ac:dyDescent="0.25">
      <c r="B78" s="1068" t="str">
        <f>"per 31/12/"&amp;$L$13</f>
        <v>per 31/12/2020</v>
      </c>
      <c r="C78" s="1069"/>
      <c r="D78" s="1069"/>
      <c r="E78" s="1070"/>
      <c r="F78" s="162"/>
      <c r="G78" s="684">
        <f>L435</f>
        <v>0</v>
      </c>
      <c r="H78" s="684">
        <f>L436</f>
        <v>0</v>
      </c>
      <c r="I78" s="684">
        <f>L437</f>
        <v>0</v>
      </c>
      <c r="J78" s="684">
        <f>L438</f>
        <v>0</v>
      </c>
      <c r="K78" s="684"/>
      <c r="L78" s="684"/>
      <c r="N78" s="679">
        <f t="shared" si="8"/>
        <v>0</v>
      </c>
    </row>
    <row r="79" spans="2:14" x14ac:dyDescent="0.25">
      <c r="G79" s="680"/>
      <c r="H79" s="680"/>
      <c r="I79" s="680"/>
      <c r="J79" s="680"/>
      <c r="K79" s="680"/>
      <c r="L79" s="680"/>
      <c r="N79" s="680"/>
    </row>
    <row r="80" spans="2:14" ht="13" x14ac:dyDescent="0.25">
      <c r="G80" s="675">
        <v>2015</v>
      </c>
      <c r="H80" s="675">
        <f>+G80+1</f>
        <v>2016</v>
      </c>
      <c r="I80" s="675">
        <f>+H80+1</f>
        <v>2017</v>
      </c>
      <c r="J80" s="675">
        <f>+I80+1</f>
        <v>2018</v>
      </c>
      <c r="K80" s="675">
        <f>+J80+1</f>
        <v>2019</v>
      </c>
      <c r="L80" s="675">
        <f>+K80+1</f>
        <v>2020</v>
      </c>
      <c r="M80" s="483"/>
      <c r="N80" s="675" t="s">
        <v>31</v>
      </c>
    </row>
    <row r="81" spans="1:14" s="612" customFormat="1" ht="26.25" customHeight="1" x14ac:dyDescent="0.25">
      <c r="B81" s="1071" t="s">
        <v>337</v>
      </c>
      <c r="C81" s="1072"/>
      <c r="D81" s="1072"/>
      <c r="E81" s="1073"/>
      <c r="F81" s="858"/>
      <c r="G81" s="859"/>
      <c r="H81" s="859"/>
      <c r="I81" s="859"/>
      <c r="J81" s="859"/>
      <c r="K81" s="859"/>
      <c r="L81" s="859"/>
      <c r="M81" s="860"/>
      <c r="N81" s="859"/>
    </row>
    <row r="82" spans="1:14" ht="28.5" customHeight="1" x14ac:dyDescent="0.25">
      <c r="A82" s="394">
        <v>2015</v>
      </c>
      <c r="B82" s="1063" t="str">
        <f>"per 31/12/"&amp;$G$13</f>
        <v>per 31/12/2015</v>
      </c>
      <c r="C82" s="1064"/>
      <c r="D82" s="1064"/>
      <c r="E82" s="1065"/>
      <c r="F82" s="697"/>
      <c r="G82" s="698"/>
      <c r="H82" s="698"/>
      <c r="I82" s="698"/>
      <c r="J82" s="698"/>
      <c r="K82" s="698"/>
      <c r="L82" s="698"/>
      <c r="N82" s="844">
        <f t="shared" ref="N82:N87" si="9">SUM(N31,N38,N45,N52,N59,N66,N73)</f>
        <v>0</v>
      </c>
    </row>
    <row r="83" spans="1:14" ht="28.5" customHeight="1" x14ac:dyDescent="0.25">
      <c r="A83" s="394">
        <v>2016</v>
      </c>
      <c r="B83" s="1063" t="str">
        <f>"per 31/12/"&amp;$H$13</f>
        <v>per 31/12/2016</v>
      </c>
      <c r="C83" s="1064"/>
      <c r="D83" s="1064"/>
      <c r="E83" s="1065"/>
      <c r="F83" s="697"/>
      <c r="G83" s="698"/>
      <c r="H83" s="698"/>
      <c r="I83" s="698"/>
      <c r="J83" s="698"/>
      <c r="K83" s="698"/>
      <c r="L83" s="698"/>
      <c r="N83" s="844">
        <f t="shared" si="9"/>
        <v>0</v>
      </c>
    </row>
    <row r="84" spans="1:14" ht="28.5" customHeight="1" x14ac:dyDescent="0.25">
      <c r="A84" s="394">
        <v>2017</v>
      </c>
      <c r="B84" s="1063" t="str">
        <f>"per 31/12/"&amp;$I$13</f>
        <v>per 31/12/2017</v>
      </c>
      <c r="C84" s="1064"/>
      <c r="D84" s="1064"/>
      <c r="E84" s="1065"/>
      <c r="F84" s="697"/>
      <c r="G84" s="698">
        <f>SUM(G33,G40,G47,G54,G61,G68,G75)</f>
        <v>0</v>
      </c>
      <c r="H84" s="698"/>
      <c r="I84" s="698"/>
      <c r="J84" s="698"/>
      <c r="K84" s="698"/>
      <c r="L84" s="698"/>
      <c r="N84" s="844">
        <f t="shared" si="9"/>
        <v>0</v>
      </c>
    </row>
    <row r="85" spans="1:14" ht="28.5" customHeight="1" x14ac:dyDescent="0.25">
      <c r="A85" s="394">
        <v>2018</v>
      </c>
      <c r="B85" s="1063" t="str">
        <f>"per 31/12/"&amp;$J$13</f>
        <v>per 31/12/2018</v>
      </c>
      <c r="C85" s="1064"/>
      <c r="D85" s="1064"/>
      <c r="E85" s="1065"/>
      <c r="F85" s="697"/>
      <c r="G85" s="698">
        <f>SUM(G34,G41,G48,G55,G62,G69,G76)</f>
        <v>0</v>
      </c>
      <c r="H85" s="698">
        <f>SUM(H34,H41,H48,H55,H62,H69,H76)</f>
        <v>0</v>
      </c>
      <c r="I85" s="698"/>
      <c r="J85" s="698"/>
      <c r="K85" s="698"/>
      <c r="L85" s="698"/>
      <c r="N85" s="844">
        <f t="shared" si="9"/>
        <v>0</v>
      </c>
    </row>
    <row r="86" spans="1:14" ht="28.5" customHeight="1" x14ac:dyDescent="0.25">
      <c r="A86" s="394">
        <v>2019</v>
      </c>
      <c r="B86" s="1063" t="str">
        <f>"per 31/12/"&amp;$K$13</f>
        <v>per 31/12/2019</v>
      </c>
      <c r="C86" s="1064"/>
      <c r="D86" s="1064"/>
      <c r="E86" s="1065"/>
      <c r="F86" s="697"/>
      <c r="G86" s="698">
        <f>SUM(G35,G42,G49,G56,G63,G70,G77)</f>
        <v>0</v>
      </c>
      <c r="H86" s="698">
        <f>SUM(H35,H42,H49,H56,H63,H70,H77)</f>
        <v>0</v>
      </c>
      <c r="I86" s="698">
        <f>SUM(I35,I42,I49,I56,I63,I70,I77)</f>
        <v>0</v>
      </c>
      <c r="J86" s="698"/>
      <c r="K86" s="698"/>
      <c r="L86" s="698"/>
      <c r="N86" s="844">
        <f t="shared" si="9"/>
        <v>0</v>
      </c>
    </row>
    <row r="87" spans="1:14" ht="28.5" customHeight="1" x14ac:dyDescent="0.25">
      <c r="A87" s="394">
        <v>2020</v>
      </c>
      <c r="B87" s="1063" t="str">
        <f>"per 31/12/"&amp;$L$13</f>
        <v>per 31/12/2020</v>
      </c>
      <c r="C87" s="1064"/>
      <c r="D87" s="1064"/>
      <c r="E87" s="1065"/>
      <c r="F87" s="697"/>
      <c r="G87" s="698">
        <f>SUM(G36,G43,G50,G57,G64,G71,G78)</f>
        <v>0</v>
      </c>
      <c r="H87" s="698">
        <f>SUM(H36,H43,H50,H57,H64,H71,H78)</f>
        <v>0</v>
      </c>
      <c r="I87" s="698">
        <f>SUM(I36,I43,I50,I57,I64,I71,I78)</f>
        <v>0</v>
      </c>
      <c r="J87" s="698">
        <f>SUM(J36,J43,J50,J57,J64,J71,J78)</f>
        <v>0</v>
      </c>
      <c r="K87" s="698"/>
      <c r="L87" s="698"/>
      <c r="N87" s="844">
        <f t="shared" si="9"/>
        <v>0</v>
      </c>
    </row>
    <row r="88" spans="1:14" s="381" customFormat="1" ht="13" x14ac:dyDescent="0.3">
      <c r="B88" s="1066" t="s">
        <v>247</v>
      </c>
      <c r="C88" s="1066"/>
      <c r="D88" s="1066"/>
      <c r="E88" s="1066"/>
      <c r="G88" s="913">
        <f>(VLOOKUP($D$2,$A$82:$G$87,7,FALSE)+IF($A$82&lt;$D$2,G82,0)+IF($A$83&lt;$D$2,G83,0)+IF($A$84&lt;$D$2,G84,0)+IF($A$85&lt;$D$2,G85,0)+IF($A$86&lt;$D$2,G86,0)+IF($A$87&lt;$D$2,G87,0))-T5A!C70</f>
        <v>0</v>
      </c>
      <c r="H88" s="913">
        <f>(VLOOKUP($D$2,$A$82:$H$87,8,FALSE)+IF($A$82&lt;$D$2,H82,0)+IF($A$83&lt;$D$2,H83,0)+IF($A$84&lt;$D$2,H84,0)+IF($A$85&lt;$D$2,H85,0)+IF($A$86&lt;$D$2,H86,0)+IF($A$87&lt;$D$2,H87,0))-T5A!D70</f>
        <v>0</v>
      </c>
      <c r="I88" s="913">
        <f>(VLOOKUP($D$2,$A$82:$I$87,9,FALSE)+IF($A$82&lt;$D$2,I82,0)+IF($A$83&lt;$D$2,I83,0)+IF($A$84&lt;$D$2,I84,0)+IF($A$85&lt;$D$2,I85,0)+IF($A$86&lt;$D$2,I86,0)+IF($A$87&lt;$D$2,I87,0))-T5A!E70</f>
        <v>0</v>
      </c>
      <c r="J88" s="913">
        <f>(VLOOKUP($D$2,$A$82:$J$87,10,FALSE)+IF($A$82&lt;$D$2,J82,0)+IF($A$83&lt;$D$2,J83,0)+IF($A$84&lt;$D$2,J84,0)+IF($A$85&lt;$D$2,J85,0)+IF($A$86&lt;$D$2,J86,0)+IF($A$87&lt;$D$2,J87,0))-T5A!F70</f>
        <v>0</v>
      </c>
      <c r="K88" s="694"/>
      <c r="L88" s="694"/>
      <c r="M88" s="848"/>
      <c r="N88" s="694">
        <f>(VLOOKUP($D$2,$A$82:$N$87,14,FALSE))-T5A!J70</f>
        <v>0</v>
      </c>
    </row>
    <row r="90" spans="1:14" ht="13" x14ac:dyDescent="0.3">
      <c r="G90" s="434" t="s">
        <v>343</v>
      </c>
    </row>
    <row r="91" spans="1:14" ht="13" x14ac:dyDescent="0.3">
      <c r="G91" s="197" t="s">
        <v>258</v>
      </c>
    </row>
    <row r="92" spans="1:14" s="48" customFormat="1" ht="69.75" customHeight="1" x14ac:dyDescent="0.25">
      <c r="B92" s="1060" t="s">
        <v>248</v>
      </c>
      <c r="C92" s="1061"/>
      <c r="D92" s="1061"/>
      <c r="E92" s="1062"/>
      <c r="F92" s="599"/>
      <c r="G92" s="675">
        <v>2015</v>
      </c>
      <c r="H92" s="675">
        <f>+G92+1</f>
        <v>2016</v>
      </c>
      <c r="I92" s="675">
        <f>+H92+1</f>
        <v>2017</v>
      </c>
      <c r="J92" s="675">
        <f>+I92+1</f>
        <v>2018</v>
      </c>
      <c r="K92" s="675">
        <f>+J92+1</f>
        <v>2019</v>
      </c>
      <c r="L92" s="675">
        <f>+K92+1</f>
        <v>2020</v>
      </c>
      <c r="M92" s="483"/>
      <c r="N92" s="675" t="s">
        <v>31</v>
      </c>
    </row>
    <row r="93" spans="1:14" s="130" customFormat="1" ht="12" customHeight="1" x14ac:dyDescent="0.25">
      <c r="B93" s="600"/>
      <c r="C93" s="600"/>
      <c r="D93" s="600"/>
      <c r="E93" s="600"/>
      <c r="F93" s="601"/>
      <c r="G93" s="602"/>
      <c r="H93" s="603"/>
      <c r="I93" s="603"/>
      <c r="J93" s="604"/>
      <c r="K93" s="604"/>
      <c r="L93" s="604"/>
      <c r="M93" s="846"/>
      <c r="N93" s="604"/>
    </row>
    <row r="94" spans="1:14" ht="36" customHeight="1" x14ac:dyDescent="0.25">
      <c r="B94" s="1077" t="s">
        <v>131</v>
      </c>
      <c r="C94" s="1078"/>
      <c r="D94" s="1078"/>
      <c r="E94" s="1079"/>
      <c r="F94" s="162"/>
      <c r="G94" s="686"/>
      <c r="H94" s="686"/>
      <c r="I94" s="686"/>
      <c r="J94" s="686"/>
      <c r="K94" s="686"/>
      <c r="L94" s="686"/>
      <c r="N94" s="686"/>
    </row>
    <row r="95" spans="1:14" ht="28.5" customHeight="1" x14ac:dyDescent="0.25">
      <c r="B95" s="1068" t="str">
        <f>"per 31/12/"&amp;$G$13</f>
        <v>per 31/12/2015</v>
      </c>
      <c r="C95" s="1069"/>
      <c r="D95" s="1069"/>
      <c r="E95" s="1070"/>
      <c r="F95" s="162"/>
      <c r="G95" s="684">
        <f>+G$15+G31</f>
        <v>0</v>
      </c>
      <c r="H95" s="684"/>
      <c r="I95" s="684"/>
      <c r="J95" s="684"/>
      <c r="K95" s="684"/>
      <c r="L95" s="684"/>
      <c r="M95" s="394">
        <v>2016</v>
      </c>
      <c r="N95" s="679">
        <f t="shared" ref="N95:N100" si="10">SUM(G95:L95)</f>
        <v>0</v>
      </c>
    </row>
    <row r="96" spans="1:14" ht="28.5" customHeight="1" x14ac:dyDescent="0.25">
      <c r="B96" s="1068" t="str">
        <f>"per 31/12/"&amp;$H$13</f>
        <v>per 31/12/2016</v>
      </c>
      <c r="C96" s="1069"/>
      <c r="D96" s="1069"/>
      <c r="E96" s="1070"/>
      <c r="F96" s="162"/>
      <c r="G96" s="684">
        <f>+G95+G32</f>
        <v>0</v>
      </c>
      <c r="H96" s="684">
        <f>+$H$15+H32</f>
        <v>0</v>
      </c>
      <c r="I96" s="684"/>
      <c r="J96" s="684"/>
      <c r="K96" s="684"/>
      <c r="L96" s="684"/>
      <c r="M96" s="394">
        <v>2017</v>
      </c>
      <c r="N96" s="679">
        <f t="shared" si="10"/>
        <v>0</v>
      </c>
    </row>
    <row r="97" spans="2:14" ht="28.5" customHeight="1" x14ac:dyDescent="0.25">
      <c r="B97" s="1068" t="str">
        <f>"per 31/12/"&amp;$I$13</f>
        <v>per 31/12/2017</v>
      </c>
      <c r="C97" s="1069"/>
      <c r="D97" s="1069"/>
      <c r="E97" s="1070"/>
      <c r="F97" s="162"/>
      <c r="G97" s="684">
        <f>+G96+G33</f>
        <v>0</v>
      </c>
      <c r="H97" s="684">
        <f>+H96+H33</f>
        <v>0</v>
      </c>
      <c r="I97" s="684">
        <f>+$I$15+I33</f>
        <v>0</v>
      </c>
      <c r="J97" s="684"/>
      <c r="K97" s="684"/>
      <c r="L97" s="684"/>
      <c r="M97" s="394">
        <v>2018</v>
      </c>
      <c r="N97" s="679">
        <f t="shared" si="10"/>
        <v>0</v>
      </c>
    </row>
    <row r="98" spans="2:14" ht="28.5" customHeight="1" x14ac:dyDescent="0.25">
      <c r="B98" s="1068" t="str">
        <f>"per 31/12/"&amp;$J$13</f>
        <v>per 31/12/2018</v>
      </c>
      <c r="C98" s="1069"/>
      <c r="D98" s="1069"/>
      <c r="E98" s="1070"/>
      <c r="F98" s="162"/>
      <c r="G98" s="684">
        <f>+G97+G34</f>
        <v>0</v>
      </c>
      <c r="H98" s="684">
        <f>+H97+H34</f>
        <v>0</v>
      </c>
      <c r="I98" s="684">
        <f>+I97+I34</f>
        <v>0</v>
      </c>
      <c r="J98" s="684">
        <f>+$J$15+J34</f>
        <v>0</v>
      </c>
      <c r="K98" s="684"/>
      <c r="L98" s="684"/>
      <c r="M98" s="394">
        <v>2019</v>
      </c>
      <c r="N98" s="679">
        <f t="shared" si="10"/>
        <v>0</v>
      </c>
    </row>
    <row r="99" spans="2:14" ht="28.5" customHeight="1" x14ac:dyDescent="0.25">
      <c r="B99" s="1068" t="str">
        <f>"per 31/12/"&amp;$K$13</f>
        <v>per 31/12/2019</v>
      </c>
      <c r="C99" s="1069"/>
      <c r="D99" s="1069"/>
      <c r="E99" s="1070"/>
      <c r="F99" s="162"/>
      <c r="G99" s="684">
        <f>+G98+G35</f>
        <v>0</v>
      </c>
      <c r="H99" s="684">
        <f>+H98+H35</f>
        <v>0</v>
      </c>
      <c r="I99" s="684">
        <f>+I98+I35</f>
        <v>0</v>
      </c>
      <c r="J99" s="684">
        <f>+J98+J35</f>
        <v>0</v>
      </c>
      <c r="K99" s="684">
        <f>+$K$15+K35</f>
        <v>0</v>
      </c>
      <c r="L99" s="684"/>
      <c r="M99" s="394">
        <v>2020</v>
      </c>
      <c r="N99" s="679">
        <f t="shared" si="10"/>
        <v>0</v>
      </c>
    </row>
    <row r="100" spans="2:14" ht="28.5" customHeight="1" x14ac:dyDescent="0.25">
      <c r="B100" s="1068" t="str">
        <f>"per 31/12/"&amp;$L$13</f>
        <v>per 31/12/2020</v>
      </c>
      <c r="C100" s="1069"/>
      <c r="D100" s="1069"/>
      <c r="E100" s="1070"/>
      <c r="F100" s="162"/>
      <c r="G100" s="684">
        <f>+G99+G36</f>
        <v>0</v>
      </c>
      <c r="H100" s="684">
        <f>+H99+H36</f>
        <v>0</v>
      </c>
      <c r="I100" s="684">
        <f>+I99+I36</f>
        <v>0</v>
      </c>
      <c r="J100" s="684">
        <f>+J99+J36</f>
        <v>0</v>
      </c>
      <c r="K100" s="684">
        <f>+K99+K36</f>
        <v>0</v>
      </c>
      <c r="L100" s="684">
        <f>+$L$15+L36</f>
        <v>0</v>
      </c>
      <c r="M100" s="394">
        <v>2021</v>
      </c>
      <c r="N100" s="679">
        <f t="shared" si="10"/>
        <v>0</v>
      </c>
    </row>
    <row r="101" spans="2:14" ht="27.75" customHeight="1" x14ac:dyDescent="0.25">
      <c r="B101" s="1077" t="s">
        <v>132</v>
      </c>
      <c r="C101" s="1078"/>
      <c r="D101" s="1078"/>
      <c r="E101" s="1079"/>
      <c r="F101" s="162"/>
      <c r="G101" s="686"/>
      <c r="H101" s="686"/>
      <c r="I101" s="686"/>
      <c r="J101" s="686"/>
      <c r="K101" s="686"/>
      <c r="L101" s="686"/>
      <c r="N101" s="686"/>
    </row>
    <row r="102" spans="2:14" ht="28.5" customHeight="1" x14ac:dyDescent="0.25">
      <c r="B102" s="1068" t="str">
        <f>"per 31/12/"&amp;$G$13</f>
        <v>per 31/12/2015</v>
      </c>
      <c r="C102" s="1069"/>
      <c r="D102" s="1069"/>
      <c r="E102" s="1070"/>
      <c r="F102" s="162"/>
      <c r="G102" s="684">
        <f>+$G$16+G38</f>
        <v>0</v>
      </c>
      <c r="H102" s="684"/>
      <c r="I102" s="684"/>
      <c r="J102" s="684"/>
      <c r="K102" s="684"/>
      <c r="L102" s="684"/>
      <c r="M102" s="394">
        <v>2016</v>
      </c>
      <c r="N102" s="679">
        <f t="shared" ref="N102:N107" si="11">SUM(G102:L102)</f>
        <v>0</v>
      </c>
    </row>
    <row r="103" spans="2:14" ht="28.5" customHeight="1" x14ac:dyDescent="0.25">
      <c r="B103" s="1068" t="str">
        <f>"per 31/12/"&amp;$H$13</f>
        <v>per 31/12/2016</v>
      </c>
      <c r="C103" s="1069"/>
      <c r="D103" s="1069"/>
      <c r="E103" s="1070"/>
      <c r="F103" s="162"/>
      <c r="G103" s="684">
        <f>+G102+G39</f>
        <v>0</v>
      </c>
      <c r="H103" s="684">
        <f>+$H$16+H39</f>
        <v>0</v>
      </c>
      <c r="I103" s="684"/>
      <c r="J103" s="684"/>
      <c r="K103" s="684"/>
      <c r="L103" s="684"/>
      <c r="M103" s="394">
        <v>2017</v>
      </c>
      <c r="N103" s="679">
        <f t="shared" si="11"/>
        <v>0</v>
      </c>
    </row>
    <row r="104" spans="2:14" ht="28.5" customHeight="1" x14ac:dyDescent="0.25">
      <c r="B104" s="1068" t="str">
        <f>"per 31/12/"&amp;$I$13</f>
        <v>per 31/12/2017</v>
      </c>
      <c r="C104" s="1069"/>
      <c r="D104" s="1069"/>
      <c r="E104" s="1070"/>
      <c r="F104" s="162"/>
      <c r="G104" s="684">
        <f>+G103+G40</f>
        <v>0</v>
      </c>
      <c r="H104" s="684">
        <f>+H103+H40</f>
        <v>0</v>
      </c>
      <c r="I104" s="684">
        <f>+$I$16+I40</f>
        <v>0</v>
      </c>
      <c r="J104" s="684"/>
      <c r="K104" s="684"/>
      <c r="L104" s="684"/>
      <c r="M104" s="394">
        <v>2018</v>
      </c>
      <c r="N104" s="679">
        <f t="shared" si="11"/>
        <v>0</v>
      </c>
    </row>
    <row r="105" spans="2:14" ht="28.5" customHeight="1" x14ac:dyDescent="0.25">
      <c r="B105" s="1068" t="str">
        <f>"per 31/12/"&amp;$J$13</f>
        <v>per 31/12/2018</v>
      </c>
      <c r="C105" s="1069"/>
      <c r="D105" s="1069"/>
      <c r="E105" s="1070"/>
      <c r="F105" s="162"/>
      <c r="G105" s="684">
        <f>+G104+G41</f>
        <v>0</v>
      </c>
      <c r="H105" s="684">
        <f>+H104+H41</f>
        <v>0</v>
      </c>
      <c r="I105" s="684">
        <f>+I104+I41</f>
        <v>0</v>
      </c>
      <c r="J105" s="684">
        <f>+$J$16+J41</f>
        <v>0</v>
      </c>
      <c r="K105" s="684"/>
      <c r="L105" s="684"/>
      <c r="M105" s="394">
        <v>2019</v>
      </c>
      <c r="N105" s="679">
        <f t="shared" si="11"/>
        <v>0</v>
      </c>
    </row>
    <row r="106" spans="2:14" ht="28.5" customHeight="1" x14ac:dyDescent="0.25">
      <c r="B106" s="1068" t="str">
        <f>"per 31/12/"&amp;$K$13</f>
        <v>per 31/12/2019</v>
      </c>
      <c r="C106" s="1069"/>
      <c r="D106" s="1069"/>
      <c r="E106" s="1070"/>
      <c r="F106" s="162"/>
      <c r="G106" s="684">
        <f>+G105+G42</f>
        <v>0</v>
      </c>
      <c r="H106" s="684">
        <f>+H105+H42</f>
        <v>0</v>
      </c>
      <c r="I106" s="684">
        <f>+I105+I42</f>
        <v>0</v>
      </c>
      <c r="J106" s="684">
        <f>+J105+J42</f>
        <v>0</v>
      </c>
      <c r="K106" s="684">
        <f>+$K$16+K42</f>
        <v>0</v>
      </c>
      <c r="L106" s="684"/>
      <c r="M106" s="394">
        <v>2020</v>
      </c>
      <c r="N106" s="679">
        <f t="shared" si="11"/>
        <v>0</v>
      </c>
    </row>
    <row r="107" spans="2:14" ht="28.5" customHeight="1" x14ac:dyDescent="0.25">
      <c r="B107" s="1068" t="str">
        <f>"per 31/12/"&amp;$L$13</f>
        <v>per 31/12/2020</v>
      </c>
      <c r="C107" s="1069"/>
      <c r="D107" s="1069"/>
      <c r="E107" s="1070"/>
      <c r="F107" s="162"/>
      <c r="G107" s="684">
        <f>+G106+G43</f>
        <v>0</v>
      </c>
      <c r="H107" s="684">
        <f>+H106+H43</f>
        <v>0</v>
      </c>
      <c r="I107" s="684">
        <f>+I106+I43</f>
        <v>0</v>
      </c>
      <c r="J107" s="684">
        <f>+J106+J43</f>
        <v>0</v>
      </c>
      <c r="K107" s="684">
        <f>+K106+K43</f>
        <v>0</v>
      </c>
      <c r="L107" s="684">
        <f>+$L$16+L43</f>
        <v>0</v>
      </c>
      <c r="M107" s="394">
        <v>2021</v>
      </c>
      <c r="N107" s="679">
        <f t="shared" si="11"/>
        <v>0</v>
      </c>
    </row>
    <row r="108" spans="2:14" ht="30" customHeight="1" x14ac:dyDescent="0.25">
      <c r="B108" s="1077" t="s">
        <v>133</v>
      </c>
      <c r="C108" s="1078"/>
      <c r="D108" s="1078"/>
      <c r="E108" s="1079"/>
      <c r="F108" s="162"/>
      <c r="G108" s="686"/>
      <c r="H108" s="686"/>
      <c r="I108" s="686"/>
      <c r="J108" s="686"/>
      <c r="K108" s="686"/>
      <c r="L108" s="686"/>
      <c r="N108" s="686"/>
    </row>
    <row r="109" spans="2:14" ht="28.5" customHeight="1" x14ac:dyDescent="0.25">
      <c r="B109" s="1068" t="str">
        <f>"per 31/12/"&amp;$G$13</f>
        <v>per 31/12/2015</v>
      </c>
      <c r="C109" s="1069"/>
      <c r="D109" s="1069"/>
      <c r="E109" s="1070"/>
      <c r="F109" s="162"/>
      <c r="G109" s="684">
        <f>+$G$17+G45</f>
        <v>0</v>
      </c>
      <c r="H109" s="684"/>
      <c r="I109" s="684"/>
      <c r="J109" s="684"/>
      <c r="K109" s="684"/>
      <c r="L109" s="684"/>
      <c r="M109" s="394">
        <v>2016</v>
      </c>
      <c r="N109" s="679">
        <f t="shared" ref="N109:N114" si="12">SUM(G109:L109)</f>
        <v>0</v>
      </c>
    </row>
    <row r="110" spans="2:14" ht="28.5" customHeight="1" x14ac:dyDescent="0.25">
      <c r="B110" s="1068" t="str">
        <f>"per 31/12/"&amp;$H$13</f>
        <v>per 31/12/2016</v>
      </c>
      <c r="C110" s="1069"/>
      <c r="D110" s="1069"/>
      <c r="E110" s="1070"/>
      <c r="F110" s="162"/>
      <c r="G110" s="684">
        <f>+G109+G46</f>
        <v>0</v>
      </c>
      <c r="H110" s="684">
        <f>+$H$17+H46</f>
        <v>0</v>
      </c>
      <c r="I110" s="684"/>
      <c r="J110" s="684"/>
      <c r="K110" s="684"/>
      <c r="L110" s="684"/>
      <c r="M110" s="394">
        <v>2017</v>
      </c>
      <c r="N110" s="679">
        <f t="shared" si="12"/>
        <v>0</v>
      </c>
    </row>
    <row r="111" spans="2:14" ht="28.5" customHeight="1" x14ac:dyDescent="0.25">
      <c r="B111" s="1068" t="str">
        <f>"per 31/12/"&amp;$I$13</f>
        <v>per 31/12/2017</v>
      </c>
      <c r="C111" s="1069"/>
      <c r="D111" s="1069"/>
      <c r="E111" s="1070"/>
      <c r="F111" s="162"/>
      <c r="G111" s="684">
        <f>+G110+G47</f>
        <v>0</v>
      </c>
      <c r="H111" s="684">
        <f>+H110+H47</f>
        <v>0</v>
      </c>
      <c r="I111" s="684">
        <f>+$I$17+I47</f>
        <v>0</v>
      </c>
      <c r="J111" s="684"/>
      <c r="K111" s="684"/>
      <c r="L111" s="684"/>
      <c r="M111" s="394">
        <v>2018</v>
      </c>
      <c r="N111" s="679">
        <f t="shared" si="12"/>
        <v>0</v>
      </c>
    </row>
    <row r="112" spans="2:14" ht="28.5" customHeight="1" x14ac:dyDescent="0.25">
      <c r="B112" s="1068" t="str">
        <f>"per 31/12/"&amp;$J$13</f>
        <v>per 31/12/2018</v>
      </c>
      <c r="C112" s="1069"/>
      <c r="D112" s="1069"/>
      <c r="E112" s="1070"/>
      <c r="F112" s="162"/>
      <c r="G112" s="684">
        <f>+G111+G48</f>
        <v>0</v>
      </c>
      <c r="H112" s="684">
        <f>+H111+H48</f>
        <v>0</v>
      </c>
      <c r="I112" s="684">
        <f>+I111+I48</f>
        <v>0</v>
      </c>
      <c r="J112" s="684">
        <f>+$J$17+J48</f>
        <v>0</v>
      </c>
      <c r="K112" s="684"/>
      <c r="L112" s="684"/>
      <c r="M112" s="394">
        <v>2019</v>
      </c>
      <c r="N112" s="679">
        <f t="shared" si="12"/>
        <v>0</v>
      </c>
    </row>
    <row r="113" spans="2:14" ht="28.5" customHeight="1" x14ac:dyDescent="0.25">
      <c r="B113" s="1068" t="str">
        <f>"per 31/12/"&amp;$K$13</f>
        <v>per 31/12/2019</v>
      </c>
      <c r="C113" s="1069"/>
      <c r="D113" s="1069"/>
      <c r="E113" s="1070"/>
      <c r="F113" s="162"/>
      <c r="G113" s="684">
        <f>+G112+G49</f>
        <v>0</v>
      </c>
      <c r="H113" s="684">
        <f>+H112+H49</f>
        <v>0</v>
      </c>
      <c r="I113" s="684">
        <f>+I112+I49</f>
        <v>0</v>
      </c>
      <c r="J113" s="684">
        <f>+J112+J49</f>
        <v>0</v>
      </c>
      <c r="K113" s="684">
        <f>+$K$17+K49</f>
        <v>0</v>
      </c>
      <c r="L113" s="684"/>
      <c r="M113" s="394">
        <v>2020</v>
      </c>
      <c r="N113" s="679">
        <f t="shared" si="12"/>
        <v>0</v>
      </c>
    </row>
    <row r="114" spans="2:14" ht="28.5" customHeight="1" x14ac:dyDescent="0.25">
      <c r="B114" s="1068" t="str">
        <f>"per 31/12/"&amp;$L$13</f>
        <v>per 31/12/2020</v>
      </c>
      <c r="C114" s="1069"/>
      <c r="D114" s="1069"/>
      <c r="E114" s="1070"/>
      <c r="F114" s="162"/>
      <c r="G114" s="684">
        <f>+G113+G50</f>
        <v>0</v>
      </c>
      <c r="H114" s="684">
        <f>+H113+H50</f>
        <v>0</v>
      </c>
      <c r="I114" s="684">
        <f>+I113+I50</f>
        <v>0</v>
      </c>
      <c r="J114" s="684">
        <f>+J113+J50</f>
        <v>0</v>
      </c>
      <c r="K114" s="684">
        <f>+K113+K50</f>
        <v>0</v>
      </c>
      <c r="L114" s="684">
        <f>+$L$17+L50</f>
        <v>0</v>
      </c>
      <c r="M114" s="394">
        <v>2021</v>
      </c>
      <c r="N114" s="679">
        <f t="shared" si="12"/>
        <v>0</v>
      </c>
    </row>
    <row r="115" spans="2:14" ht="27" customHeight="1" x14ac:dyDescent="0.25">
      <c r="B115" s="1080" t="s">
        <v>239</v>
      </c>
      <c r="C115" s="1080"/>
      <c r="D115" s="1080"/>
      <c r="E115" s="1080"/>
      <c r="F115" s="162"/>
      <c r="G115" s="686"/>
      <c r="H115" s="686"/>
      <c r="I115" s="686"/>
      <c r="J115" s="686"/>
      <c r="K115" s="686"/>
      <c r="L115" s="686"/>
      <c r="N115" s="686"/>
    </row>
    <row r="116" spans="2:14" ht="28.5" customHeight="1" x14ac:dyDescent="0.25">
      <c r="B116" s="1068" t="str">
        <f>"per 31/12/"&amp;$G$13</f>
        <v>per 31/12/2015</v>
      </c>
      <c r="C116" s="1069"/>
      <c r="D116" s="1069"/>
      <c r="E116" s="1070"/>
      <c r="F116" s="162"/>
      <c r="G116" s="684">
        <f>+$G$18+G52</f>
        <v>0</v>
      </c>
      <c r="H116" s="684"/>
      <c r="I116" s="684"/>
      <c r="J116" s="684"/>
      <c r="K116" s="684"/>
      <c r="L116" s="684"/>
      <c r="M116" s="394">
        <v>2016</v>
      </c>
      <c r="N116" s="679">
        <f t="shared" ref="N116:N121" si="13">SUM(G116:L116)</f>
        <v>0</v>
      </c>
    </row>
    <row r="117" spans="2:14" ht="28.5" customHeight="1" x14ac:dyDescent="0.25">
      <c r="B117" s="1068" t="str">
        <f>"per 31/12/"&amp;$H$13</f>
        <v>per 31/12/2016</v>
      </c>
      <c r="C117" s="1069"/>
      <c r="D117" s="1069"/>
      <c r="E117" s="1070"/>
      <c r="F117" s="162"/>
      <c r="G117" s="684">
        <f>+G116+G53</f>
        <v>0</v>
      </c>
      <c r="H117" s="684">
        <f>+$H$18+H53</f>
        <v>0</v>
      </c>
      <c r="I117" s="684"/>
      <c r="J117" s="684"/>
      <c r="K117" s="684"/>
      <c r="L117" s="684"/>
      <c r="M117" s="394">
        <v>2017</v>
      </c>
      <c r="N117" s="679">
        <f t="shared" si="13"/>
        <v>0</v>
      </c>
    </row>
    <row r="118" spans="2:14" ht="28.5" customHeight="1" x14ac:dyDescent="0.25">
      <c r="B118" s="1068" t="str">
        <f>"per 31/12/"&amp;$I$13</f>
        <v>per 31/12/2017</v>
      </c>
      <c r="C118" s="1069"/>
      <c r="D118" s="1069"/>
      <c r="E118" s="1070"/>
      <c r="F118" s="162"/>
      <c r="G118" s="684">
        <f>+G117+G54</f>
        <v>0</v>
      </c>
      <c r="H118" s="684">
        <f>+H117+H54</f>
        <v>0</v>
      </c>
      <c r="I118" s="684">
        <f>+$I$18+I54</f>
        <v>0</v>
      </c>
      <c r="J118" s="684"/>
      <c r="K118" s="684"/>
      <c r="L118" s="684"/>
      <c r="M118" s="394">
        <v>2018</v>
      </c>
      <c r="N118" s="679">
        <f t="shared" si="13"/>
        <v>0</v>
      </c>
    </row>
    <row r="119" spans="2:14" ht="28.5" customHeight="1" x14ac:dyDescent="0.25">
      <c r="B119" s="1068" t="str">
        <f>"per 31/12/"&amp;$J$13</f>
        <v>per 31/12/2018</v>
      </c>
      <c r="C119" s="1069"/>
      <c r="D119" s="1069"/>
      <c r="E119" s="1070"/>
      <c r="F119" s="162"/>
      <c r="G119" s="684">
        <f>+G118+G55</f>
        <v>0</v>
      </c>
      <c r="H119" s="684">
        <f>+H118+H55</f>
        <v>0</v>
      </c>
      <c r="I119" s="684">
        <f>+I118+I55</f>
        <v>0</v>
      </c>
      <c r="J119" s="684">
        <f>+$J$18+J55</f>
        <v>0</v>
      </c>
      <c r="K119" s="684"/>
      <c r="L119" s="684"/>
      <c r="M119" s="394">
        <v>2019</v>
      </c>
      <c r="N119" s="679">
        <f t="shared" si="13"/>
        <v>0</v>
      </c>
    </row>
    <row r="120" spans="2:14" ht="28.5" customHeight="1" x14ac:dyDescent="0.25">
      <c r="B120" s="1068" t="str">
        <f>"per 31/12/"&amp;$K$13</f>
        <v>per 31/12/2019</v>
      </c>
      <c r="C120" s="1069"/>
      <c r="D120" s="1069"/>
      <c r="E120" s="1070"/>
      <c r="F120" s="162"/>
      <c r="G120" s="684">
        <f>+G119+G56</f>
        <v>0</v>
      </c>
      <c r="H120" s="684">
        <f>+H119+H56</f>
        <v>0</v>
      </c>
      <c r="I120" s="684">
        <f>+I119+I56</f>
        <v>0</v>
      </c>
      <c r="J120" s="684">
        <f>+J119+J56</f>
        <v>0</v>
      </c>
      <c r="K120" s="684">
        <f>+$K$18+K56</f>
        <v>0</v>
      </c>
      <c r="L120" s="684"/>
      <c r="M120" s="394">
        <v>2020</v>
      </c>
      <c r="N120" s="679">
        <f t="shared" si="13"/>
        <v>0</v>
      </c>
    </row>
    <row r="121" spans="2:14" ht="28.5" customHeight="1" x14ac:dyDescent="0.25">
      <c r="B121" s="1068" t="str">
        <f>"per 31/12/"&amp;$L$13</f>
        <v>per 31/12/2020</v>
      </c>
      <c r="C121" s="1069"/>
      <c r="D121" s="1069"/>
      <c r="E121" s="1070"/>
      <c r="F121" s="162"/>
      <c r="G121" s="684">
        <f>+G120+G57</f>
        <v>0</v>
      </c>
      <c r="H121" s="684">
        <f>+H120+H57</f>
        <v>0</v>
      </c>
      <c r="I121" s="684">
        <f>+I120+I57</f>
        <v>0</v>
      </c>
      <c r="J121" s="684">
        <f>+J120+J57</f>
        <v>0</v>
      </c>
      <c r="K121" s="684">
        <f>+K120+K57</f>
        <v>0</v>
      </c>
      <c r="L121" s="684">
        <f>+$L$18+L57</f>
        <v>0</v>
      </c>
      <c r="M121" s="394">
        <v>2021</v>
      </c>
      <c r="N121" s="679">
        <f t="shared" si="13"/>
        <v>0</v>
      </c>
    </row>
    <row r="122" spans="2:14" ht="26.25" customHeight="1" x14ac:dyDescent="0.25">
      <c r="B122" s="1077" t="s">
        <v>237</v>
      </c>
      <c r="C122" s="1078"/>
      <c r="D122" s="1078"/>
      <c r="E122" s="1079"/>
      <c r="F122" s="162"/>
      <c r="G122" s="686"/>
      <c r="H122" s="686"/>
      <c r="I122" s="686"/>
      <c r="J122" s="686"/>
      <c r="K122" s="686"/>
      <c r="L122" s="686"/>
      <c r="N122" s="686"/>
    </row>
    <row r="123" spans="2:14" ht="28.5" customHeight="1" x14ac:dyDescent="0.25">
      <c r="B123" s="1068" t="str">
        <f>"per 31/12/"&amp;$G$13</f>
        <v>per 31/12/2015</v>
      </c>
      <c r="C123" s="1069"/>
      <c r="D123" s="1069"/>
      <c r="E123" s="1070"/>
      <c r="F123" s="162"/>
      <c r="G123" s="684">
        <f>+$G$19+G59</f>
        <v>0</v>
      </c>
      <c r="H123" s="684"/>
      <c r="I123" s="684"/>
      <c r="J123" s="684"/>
      <c r="K123" s="684"/>
      <c r="L123" s="684"/>
      <c r="M123" s="394">
        <v>2016</v>
      </c>
      <c r="N123" s="679">
        <f t="shared" ref="N123:N128" si="14">SUM(G123:L123)</f>
        <v>0</v>
      </c>
    </row>
    <row r="124" spans="2:14" ht="28.5" customHeight="1" x14ac:dyDescent="0.25">
      <c r="B124" s="1068" t="str">
        <f>"per 31/12/"&amp;$H$13</f>
        <v>per 31/12/2016</v>
      </c>
      <c r="C124" s="1069"/>
      <c r="D124" s="1069"/>
      <c r="E124" s="1070"/>
      <c r="F124" s="162"/>
      <c r="G124" s="684">
        <f>+G123+G60</f>
        <v>0</v>
      </c>
      <c r="H124" s="684">
        <f>+$H$19+H60</f>
        <v>0</v>
      </c>
      <c r="I124" s="684"/>
      <c r="J124" s="684"/>
      <c r="K124" s="684"/>
      <c r="L124" s="684"/>
      <c r="M124" s="394">
        <v>2017</v>
      </c>
      <c r="N124" s="679">
        <f t="shared" si="14"/>
        <v>0</v>
      </c>
    </row>
    <row r="125" spans="2:14" ht="28.5" customHeight="1" x14ac:dyDescent="0.25">
      <c r="B125" s="1068" t="str">
        <f>"per 31/12/"&amp;$I$13</f>
        <v>per 31/12/2017</v>
      </c>
      <c r="C125" s="1069"/>
      <c r="D125" s="1069"/>
      <c r="E125" s="1070"/>
      <c r="F125" s="162"/>
      <c r="G125" s="684">
        <f>+G124+G61</f>
        <v>0</v>
      </c>
      <c r="H125" s="684">
        <f>+H124+H61</f>
        <v>0</v>
      </c>
      <c r="I125" s="684">
        <f>+$I$19+I61</f>
        <v>0</v>
      </c>
      <c r="J125" s="684"/>
      <c r="K125" s="684"/>
      <c r="L125" s="684"/>
      <c r="M125" s="394">
        <v>2018</v>
      </c>
      <c r="N125" s="679">
        <f t="shared" si="14"/>
        <v>0</v>
      </c>
    </row>
    <row r="126" spans="2:14" ht="28.5" customHeight="1" x14ac:dyDescent="0.25">
      <c r="B126" s="1068" t="str">
        <f>"per 31/12/"&amp;$J$13</f>
        <v>per 31/12/2018</v>
      </c>
      <c r="C126" s="1069"/>
      <c r="D126" s="1069"/>
      <c r="E126" s="1070"/>
      <c r="F126" s="162"/>
      <c r="G126" s="684">
        <f>+G125+G62</f>
        <v>0</v>
      </c>
      <c r="H126" s="684">
        <f>+H125+H62</f>
        <v>0</v>
      </c>
      <c r="I126" s="684">
        <f>+I125+I62</f>
        <v>0</v>
      </c>
      <c r="J126" s="684">
        <f>+$J$19+J62</f>
        <v>0</v>
      </c>
      <c r="K126" s="684"/>
      <c r="L126" s="684"/>
      <c r="M126" s="394">
        <v>2019</v>
      </c>
      <c r="N126" s="679">
        <f t="shared" si="14"/>
        <v>0</v>
      </c>
    </row>
    <row r="127" spans="2:14" ht="28.5" customHeight="1" x14ac:dyDescent="0.25">
      <c r="B127" s="1068" t="str">
        <f>"per 31/12/"&amp;$K$13</f>
        <v>per 31/12/2019</v>
      </c>
      <c r="C127" s="1069"/>
      <c r="D127" s="1069"/>
      <c r="E127" s="1070"/>
      <c r="F127" s="162"/>
      <c r="G127" s="684">
        <f>+G126+G63</f>
        <v>0</v>
      </c>
      <c r="H127" s="684">
        <f>+H126+H63</f>
        <v>0</v>
      </c>
      <c r="I127" s="684">
        <f>+I126+I63</f>
        <v>0</v>
      </c>
      <c r="J127" s="684">
        <f>+J126+J63</f>
        <v>0</v>
      </c>
      <c r="K127" s="684">
        <f>+$K$19+K63</f>
        <v>0</v>
      </c>
      <c r="L127" s="684"/>
      <c r="M127" s="394">
        <v>2020</v>
      </c>
      <c r="N127" s="679">
        <f t="shared" si="14"/>
        <v>0</v>
      </c>
    </row>
    <row r="128" spans="2:14" ht="28.5" customHeight="1" x14ac:dyDescent="0.25">
      <c r="B128" s="1068" t="str">
        <f>"per 31/12/"&amp;$L$13</f>
        <v>per 31/12/2020</v>
      </c>
      <c r="C128" s="1069"/>
      <c r="D128" s="1069"/>
      <c r="E128" s="1070"/>
      <c r="F128" s="162"/>
      <c r="G128" s="684">
        <f>+G127+G64</f>
        <v>0</v>
      </c>
      <c r="H128" s="684">
        <f>+H127+H64</f>
        <v>0</v>
      </c>
      <c r="I128" s="684">
        <f>+I127+I64</f>
        <v>0</v>
      </c>
      <c r="J128" s="684">
        <f>+J127+J64</f>
        <v>0</v>
      </c>
      <c r="K128" s="684">
        <f>+K127+K64</f>
        <v>0</v>
      </c>
      <c r="L128" s="684">
        <f>+$L$19+L64</f>
        <v>0</v>
      </c>
      <c r="M128" s="394">
        <v>2021</v>
      </c>
      <c r="N128" s="679">
        <f t="shared" si="14"/>
        <v>0</v>
      </c>
    </row>
    <row r="129" spans="2:14" ht="32.25" customHeight="1" x14ac:dyDescent="0.25">
      <c r="B129" s="1077" t="s">
        <v>287</v>
      </c>
      <c r="C129" s="1078"/>
      <c r="D129" s="1078"/>
      <c r="E129" s="1079"/>
      <c r="F129" s="162"/>
      <c r="G129" s="686"/>
      <c r="H129" s="686"/>
      <c r="I129" s="686"/>
      <c r="J129" s="686"/>
      <c r="K129" s="686"/>
      <c r="L129" s="686"/>
      <c r="N129" s="686"/>
    </row>
    <row r="130" spans="2:14" ht="28.5" customHeight="1" x14ac:dyDescent="0.25">
      <c r="B130" s="1068" t="str">
        <f>"per 31/12/"&amp;$G$13</f>
        <v>per 31/12/2015</v>
      </c>
      <c r="C130" s="1069"/>
      <c r="D130" s="1069"/>
      <c r="E130" s="1070"/>
      <c r="F130" s="162"/>
      <c r="G130" s="684">
        <f>+$G$20+G66</f>
        <v>0</v>
      </c>
      <c r="H130" s="684"/>
      <c r="I130" s="684"/>
      <c r="J130" s="684"/>
      <c r="K130" s="684"/>
      <c r="L130" s="684"/>
      <c r="M130" s="394">
        <v>2016</v>
      </c>
      <c r="N130" s="679">
        <f t="shared" ref="N130:N135" si="15">SUM(G130:L130)</f>
        <v>0</v>
      </c>
    </row>
    <row r="131" spans="2:14" ht="28.5" customHeight="1" x14ac:dyDescent="0.25">
      <c r="B131" s="1068" t="str">
        <f>"per 31/12/"&amp;$H$13</f>
        <v>per 31/12/2016</v>
      </c>
      <c r="C131" s="1069"/>
      <c r="D131" s="1069"/>
      <c r="E131" s="1070"/>
      <c r="F131" s="162"/>
      <c r="G131" s="684">
        <f>+G130+G67</f>
        <v>0</v>
      </c>
      <c r="H131" s="684">
        <f>+$H$20+H67</f>
        <v>0</v>
      </c>
      <c r="I131" s="684"/>
      <c r="J131" s="684"/>
      <c r="K131" s="684"/>
      <c r="L131" s="684"/>
      <c r="M131" s="394">
        <v>2017</v>
      </c>
      <c r="N131" s="679">
        <f t="shared" si="15"/>
        <v>0</v>
      </c>
    </row>
    <row r="132" spans="2:14" ht="28.5" customHeight="1" x14ac:dyDescent="0.25">
      <c r="B132" s="1068" t="str">
        <f>"per 31/12/"&amp;$I$13</f>
        <v>per 31/12/2017</v>
      </c>
      <c r="C132" s="1069"/>
      <c r="D132" s="1069"/>
      <c r="E132" s="1070"/>
      <c r="F132" s="162"/>
      <c r="G132" s="684">
        <f>+G131+G68</f>
        <v>0</v>
      </c>
      <c r="H132" s="684">
        <f>+H131+H68</f>
        <v>0</v>
      </c>
      <c r="I132" s="684">
        <f>+$I$20+I68</f>
        <v>0</v>
      </c>
      <c r="J132" s="684"/>
      <c r="K132" s="684"/>
      <c r="L132" s="684"/>
      <c r="M132" s="394">
        <v>2018</v>
      </c>
      <c r="N132" s="679">
        <f t="shared" si="15"/>
        <v>0</v>
      </c>
    </row>
    <row r="133" spans="2:14" ht="28.5" customHeight="1" x14ac:dyDescent="0.25">
      <c r="B133" s="1068" t="str">
        <f>"per 31/12/"&amp;$J$13</f>
        <v>per 31/12/2018</v>
      </c>
      <c r="C133" s="1069"/>
      <c r="D133" s="1069"/>
      <c r="E133" s="1070"/>
      <c r="F133" s="162"/>
      <c r="G133" s="684">
        <f>+G132+G69</f>
        <v>0</v>
      </c>
      <c r="H133" s="684">
        <f>+H132+H69</f>
        <v>0</v>
      </c>
      <c r="I133" s="684">
        <f>+I132+I69</f>
        <v>0</v>
      </c>
      <c r="J133" s="684">
        <f>+$J$20+J69</f>
        <v>0</v>
      </c>
      <c r="K133" s="684"/>
      <c r="L133" s="684"/>
      <c r="M133" s="394">
        <v>2019</v>
      </c>
      <c r="N133" s="679">
        <f t="shared" si="15"/>
        <v>0</v>
      </c>
    </row>
    <row r="134" spans="2:14" ht="28.5" customHeight="1" x14ac:dyDescent="0.25">
      <c r="B134" s="1068" t="str">
        <f>"per 31/12/"&amp;$K$13</f>
        <v>per 31/12/2019</v>
      </c>
      <c r="C134" s="1069"/>
      <c r="D134" s="1069"/>
      <c r="E134" s="1070"/>
      <c r="F134" s="162"/>
      <c r="G134" s="684">
        <f>+G133+G70</f>
        <v>0</v>
      </c>
      <c r="H134" s="684">
        <f>+H133+H70</f>
        <v>0</v>
      </c>
      <c r="I134" s="684">
        <f>+I133+I70</f>
        <v>0</v>
      </c>
      <c r="J134" s="684">
        <f>+J133+J70</f>
        <v>0</v>
      </c>
      <c r="K134" s="684">
        <f>+$K$20+K70</f>
        <v>0</v>
      </c>
      <c r="L134" s="684"/>
      <c r="M134" s="394">
        <v>2020</v>
      </c>
      <c r="N134" s="679">
        <f t="shared" si="15"/>
        <v>0</v>
      </c>
    </row>
    <row r="135" spans="2:14" ht="28.5" customHeight="1" x14ac:dyDescent="0.25">
      <c r="B135" s="1068" t="str">
        <f>"per 31/12/"&amp;$L$13</f>
        <v>per 31/12/2020</v>
      </c>
      <c r="C135" s="1069"/>
      <c r="D135" s="1069"/>
      <c r="E135" s="1070"/>
      <c r="F135" s="162"/>
      <c r="G135" s="684">
        <f>+G134+G71</f>
        <v>0</v>
      </c>
      <c r="H135" s="684">
        <f>+H134+H71</f>
        <v>0</v>
      </c>
      <c r="I135" s="684">
        <f>+I134+I71</f>
        <v>0</v>
      </c>
      <c r="J135" s="684">
        <f>+J134+J71</f>
        <v>0</v>
      </c>
      <c r="K135" s="684">
        <f>+K134+K71</f>
        <v>0</v>
      </c>
      <c r="L135" s="684">
        <f>+$L$20+L71</f>
        <v>0</v>
      </c>
      <c r="M135" s="394">
        <v>2021</v>
      </c>
      <c r="N135" s="679">
        <f t="shared" si="15"/>
        <v>0</v>
      </c>
    </row>
    <row r="136" spans="2:14" ht="33" customHeight="1" x14ac:dyDescent="0.25">
      <c r="B136" s="1074" t="s">
        <v>134</v>
      </c>
      <c r="C136" s="1075"/>
      <c r="D136" s="1075"/>
      <c r="E136" s="1076"/>
      <c r="F136" s="162"/>
      <c r="G136" s="686"/>
      <c r="H136" s="686"/>
      <c r="I136" s="686"/>
      <c r="J136" s="686"/>
      <c r="K136" s="686"/>
      <c r="L136" s="686"/>
      <c r="N136" s="686"/>
    </row>
    <row r="137" spans="2:14" ht="28.5" customHeight="1" x14ac:dyDescent="0.25">
      <c r="B137" s="1068" t="str">
        <f>"per 31/12/"&amp;$G$13</f>
        <v>per 31/12/2015</v>
      </c>
      <c r="C137" s="1069"/>
      <c r="D137" s="1069"/>
      <c r="E137" s="1070"/>
      <c r="F137" s="162"/>
      <c r="G137" s="687">
        <f>+$G$21+G73</f>
        <v>0</v>
      </c>
      <c r="H137" s="684"/>
      <c r="I137" s="684"/>
      <c r="J137" s="684"/>
      <c r="K137" s="684"/>
      <c r="L137" s="684"/>
      <c r="M137" s="394">
        <v>2016</v>
      </c>
      <c r="N137" s="679">
        <f t="shared" ref="N137:N142" si="16">SUM(G137:L137)</f>
        <v>0</v>
      </c>
    </row>
    <row r="138" spans="2:14" ht="28.5" customHeight="1" x14ac:dyDescent="0.25">
      <c r="B138" s="1068" t="str">
        <f>"per 31/12/"&amp;$H$13</f>
        <v>per 31/12/2016</v>
      </c>
      <c r="C138" s="1069"/>
      <c r="D138" s="1069"/>
      <c r="E138" s="1070"/>
      <c r="F138" s="162"/>
      <c r="G138" s="684">
        <f>+G137+G74</f>
        <v>0</v>
      </c>
      <c r="H138" s="684">
        <f>+$H$21+H74</f>
        <v>0</v>
      </c>
      <c r="I138" s="684"/>
      <c r="J138" s="684"/>
      <c r="K138" s="684"/>
      <c r="L138" s="684"/>
      <c r="M138" s="394">
        <v>2017</v>
      </c>
      <c r="N138" s="679">
        <f t="shared" si="16"/>
        <v>0</v>
      </c>
    </row>
    <row r="139" spans="2:14" ht="28.5" customHeight="1" x14ac:dyDescent="0.25">
      <c r="B139" s="1068" t="str">
        <f>"per 31/12/"&amp;$I$13</f>
        <v>per 31/12/2017</v>
      </c>
      <c r="C139" s="1069"/>
      <c r="D139" s="1069"/>
      <c r="E139" s="1070"/>
      <c r="F139" s="162"/>
      <c r="G139" s="684">
        <f>+G138+G75</f>
        <v>0</v>
      </c>
      <c r="H139" s="684">
        <f>+H138+H75</f>
        <v>0</v>
      </c>
      <c r="I139" s="684">
        <f>+$I$21+I75</f>
        <v>0</v>
      </c>
      <c r="J139" s="684"/>
      <c r="K139" s="684"/>
      <c r="L139" s="684"/>
      <c r="M139" s="394">
        <v>2018</v>
      </c>
      <c r="N139" s="679">
        <f t="shared" si="16"/>
        <v>0</v>
      </c>
    </row>
    <row r="140" spans="2:14" ht="28.5" customHeight="1" x14ac:dyDescent="0.25">
      <c r="B140" s="1068" t="str">
        <f>"per 31/12/"&amp;$J$13</f>
        <v>per 31/12/2018</v>
      </c>
      <c r="C140" s="1069"/>
      <c r="D140" s="1069"/>
      <c r="E140" s="1070"/>
      <c r="F140" s="162"/>
      <c r="G140" s="684">
        <f>+G139+G76</f>
        <v>0</v>
      </c>
      <c r="H140" s="684">
        <f>+H139+H76</f>
        <v>0</v>
      </c>
      <c r="I140" s="684">
        <f>+I139+I76</f>
        <v>0</v>
      </c>
      <c r="J140" s="684">
        <f>+$J$21+J76</f>
        <v>0</v>
      </c>
      <c r="K140" s="684"/>
      <c r="L140" s="684"/>
      <c r="M140" s="394">
        <v>2019</v>
      </c>
      <c r="N140" s="679">
        <f t="shared" si="16"/>
        <v>0</v>
      </c>
    </row>
    <row r="141" spans="2:14" ht="28.5" customHeight="1" x14ac:dyDescent="0.25">
      <c r="B141" s="1068" t="str">
        <f>"per 31/12/"&amp;$K$13</f>
        <v>per 31/12/2019</v>
      </c>
      <c r="C141" s="1069"/>
      <c r="D141" s="1069"/>
      <c r="E141" s="1070"/>
      <c r="F141" s="162"/>
      <c r="G141" s="684">
        <f>+G140+G77</f>
        <v>0</v>
      </c>
      <c r="H141" s="684">
        <f>+H140+H77</f>
        <v>0</v>
      </c>
      <c r="I141" s="684">
        <f>+I140+I77</f>
        <v>0</v>
      </c>
      <c r="J141" s="684">
        <f>+J140+J77</f>
        <v>0</v>
      </c>
      <c r="K141" s="684">
        <f>+$K$21+K77</f>
        <v>0</v>
      </c>
      <c r="L141" s="684"/>
      <c r="M141" s="394">
        <v>2020</v>
      </c>
      <c r="N141" s="679">
        <f t="shared" si="16"/>
        <v>0</v>
      </c>
    </row>
    <row r="142" spans="2:14" ht="28.5" customHeight="1" x14ac:dyDescent="0.25">
      <c r="B142" s="1068" t="str">
        <f>"per 31/12/"&amp;$L$13</f>
        <v>per 31/12/2020</v>
      </c>
      <c r="C142" s="1069"/>
      <c r="D142" s="1069"/>
      <c r="E142" s="1070"/>
      <c r="F142" s="162"/>
      <c r="G142" s="684">
        <f>+G141+G78</f>
        <v>0</v>
      </c>
      <c r="H142" s="684">
        <f>+H141+H78</f>
        <v>0</v>
      </c>
      <c r="I142" s="684">
        <f>+I141+I78</f>
        <v>0</v>
      </c>
      <c r="J142" s="684">
        <f>+J141+J78</f>
        <v>0</v>
      </c>
      <c r="K142" s="684">
        <f>+K141+K78</f>
        <v>0</v>
      </c>
      <c r="L142" s="684">
        <f>+$L$21+L78</f>
        <v>0</v>
      </c>
      <c r="M142" s="394">
        <v>2021</v>
      </c>
      <c r="N142" s="679">
        <f t="shared" si="16"/>
        <v>0</v>
      </c>
    </row>
    <row r="143" spans="2:14" ht="13" x14ac:dyDescent="0.3">
      <c r="G143" s="680"/>
      <c r="H143" s="680"/>
      <c r="I143" s="680"/>
      <c r="J143" s="680"/>
      <c r="K143" s="680"/>
      <c r="L143" s="680"/>
      <c r="N143" s="845"/>
    </row>
    <row r="144" spans="2:14" ht="13" x14ac:dyDescent="0.25">
      <c r="G144" s="675">
        <v>2015</v>
      </c>
      <c r="H144" s="675">
        <f>+G144+1</f>
        <v>2016</v>
      </c>
      <c r="I144" s="675">
        <f>+H144+1</f>
        <v>2017</v>
      </c>
      <c r="J144" s="675">
        <f>+I144+1</f>
        <v>2018</v>
      </c>
      <c r="K144" s="675">
        <f>+J144+1</f>
        <v>2019</v>
      </c>
      <c r="L144" s="675">
        <f>+K144+1</f>
        <v>2020</v>
      </c>
      <c r="M144" s="483"/>
      <c r="N144" s="675" t="s">
        <v>31</v>
      </c>
    </row>
    <row r="145" spans="1:14" s="685" customFormat="1" ht="20.25" customHeight="1" x14ac:dyDescent="0.25">
      <c r="B145" s="1071" t="s">
        <v>336</v>
      </c>
      <c r="C145" s="1072"/>
      <c r="D145" s="1072"/>
      <c r="E145" s="1073"/>
      <c r="F145" s="700"/>
      <c r="G145" s="859"/>
      <c r="H145" s="859"/>
      <c r="I145" s="859"/>
      <c r="J145" s="859"/>
      <c r="K145" s="859"/>
      <c r="L145" s="859"/>
      <c r="M145" s="861"/>
      <c r="N145" s="859"/>
    </row>
    <row r="146" spans="1:14" ht="28.5" customHeight="1" x14ac:dyDescent="0.25">
      <c r="A146" s="394">
        <v>2015</v>
      </c>
      <c r="B146" s="1063" t="str">
        <f>"per 31/12/"&amp;$G$13</f>
        <v>per 31/12/2015</v>
      </c>
      <c r="C146" s="1064"/>
      <c r="D146" s="1064"/>
      <c r="E146" s="1065"/>
      <c r="F146" s="697"/>
      <c r="G146" s="698">
        <f t="shared" ref="G146:L151" si="17">SUM(G95,G102,G109,G116,G123,G130,G137)</f>
        <v>0</v>
      </c>
      <c r="H146" s="698"/>
      <c r="I146" s="698"/>
      <c r="J146" s="698"/>
      <c r="K146" s="698"/>
      <c r="L146" s="698"/>
      <c r="M146" s="394">
        <v>2016</v>
      </c>
      <c r="N146" s="844">
        <f t="shared" ref="N146:N151" si="18">SUM(G146:L146)</f>
        <v>0</v>
      </c>
    </row>
    <row r="147" spans="1:14" ht="28.5" customHeight="1" x14ac:dyDescent="0.25">
      <c r="A147" s="394">
        <v>2016</v>
      </c>
      <c r="B147" s="1063" t="str">
        <f>"per 31/12/"&amp;$H$13</f>
        <v>per 31/12/2016</v>
      </c>
      <c r="C147" s="1064"/>
      <c r="D147" s="1064"/>
      <c r="E147" s="1065"/>
      <c r="F147" s="697"/>
      <c r="G147" s="698">
        <f t="shared" si="17"/>
        <v>0</v>
      </c>
      <c r="H147" s="698">
        <f t="shared" si="17"/>
        <v>0</v>
      </c>
      <c r="I147" s="698"/>
      <c r="J147" s="698"/>
      <c r="K147" s="698"/>
      <c r="L147" s="698"/>
      <c r="M147" s="394">
        <v>2017</v>
      </c>
      <c r="N147" s="844">
        <f t="shared" si="18"/>
        <v>0</v>
      </c>
    </row>
    <row r="148" spans="1:14" ht="28.5" customHeight="1" x14ac:dyDescent="0.25">
      <c r="A148" s="394">
        <v>2017</v>
      </c>
      <c r="B148" s="1063" t="str">
        <f>"per 31/12/"&amp;$I$13</f>
        <v>per 31/12/2017</v>
      </c>
      <c r="C148" s="1064"/>
      <c r="D148" s="1064"/>
      <c r="E148" s="1065"/>
      <c r="F148" s="697"/>
      <c r="G148" s="698">
        <f t="shared" si="17"/>
        <v>0</v>
      </c>
      <c r="H148" s="698">
        <f t="shared" si="17"/>
        <v>0</v>
      </c>
      <c r="I148" s="698">
        <f t="shared" si="17"/>
        <v>0</v>
      </c>
      <c r="J148" s="698"/>
      <c r="K148" s="698"/>
      <c r="L148" s="698"/>
      <c r="M148" s="394">
        <v>2018</v>
      </c>
      <c r="N148" s="844">
        <f t="shared" si="18"/>
        <v>0</v>
      </c>
    </row>
    <row r="149" spans="1:14" ht="28.5" customHeight="1" x14ac:dyDescent="0.25">
      <c r="A149" s="394">
        <v>2018</v>
      </c>
      <c r="B149" s="1063" t="str">
        <f>"per 31/12/"&amp;$J$13</f>
        <v>per 31/12/2018</v>
      </c>
      <c r="C149" s="1064"/>
      <c r="D149" s="1064"/>
      <c r="E149" s="1065"/>
      <c r="F149" s="697"/>
      <c r="G149" s="698">
        <f t="shared" si="17"/>
        <v>0</v>
      </c>
      <c r="H149" s="698">
        <f t="shared" si="17"/>
        <v>0</v>
      </c>
      <c r="I149" s="698">
        <f t="shared" si="17"/>
        <v>0</v>
      </c>
      <c r="J149" s="698">
        <f t="shared" si="17"/>
        <v>0</v>
      </c>
      <c r="K149" s="698"/>
      <c r="L149" s="698"/>
      <c r="M149" s="394">
        <v>2019</v>
      </c>
      <c r="N149" s="844">
        <f t="shared" si="18"/>
        <v>0</v>
      </c>
    </row>
    <row r="150" spans="1:14" ht="28.5" customHeight="1" x14ac:dyDescent="0.25">
      <c r="A150" s="394">
        <v>2019</v>
      </c>
      <c r="B150" s="1063" t="str">
        <f>"per 31/12/"&amp;$K$13</f>
        <v>per 31/12/2019</v>
      </c>
      <c r="C150" s="1064"/>
      <c r="D150" s="1064"/>
      <c r="E150" s="1065"/>
      <c r="F150" s="697"/>
      <c r="G150" s="698">
        <f t="shared" si="17"/>
        <v>0</v>
      </c>
      <c r="H150" s="698">
        <f t="shared" si="17"/>
        <v>0</v>
      </c>
      <c r="I150" s="698">
        <f t="shared" si="17"/>
        <v>0</v>
      </c>
      <c r="J150" s="698">
        <f t="shared" si="17"/>
        <v>0</v>
      </c>
      <c r="K150" s="698">
        <f t="shared" si="17"/>
        <v>0</v>
      </c>
      <c r="L150" s="698"/>
      <c r="M150" s="394">
        <v>2020</v>
      </c>
      <c r="N150" s="844">
        <f t="shared" si="18"/>
        <v>0</v>
      </c>
    </row>
    <row r="151" spans="1:14" ht="28.5" customHeight="1" x14ac:dyDescent="0.25">
      <c r="A151" s="394">
        <v>2020</v>
      </c>
      <c r="B151" s="1063" t="str">
        <f>"per 31/12/"&amp;$L$13</f>
        <v>per 31/12/2020</v>
      </c>
      <c r="C151" s="1064"/>
      <c r="D151" s="1064"/>
      <c r="E151" s="1065"/>
      <c r="F151" s="697"/>
      <c r="G151" s="698">
        <f t="shared" si="17"/>
        <v>0</v>
      </c>
      <c r="H151" s="698">
        <f t="shared" si="17"/>
        <v>0</v>
      </c>
      <c r="I151" s="698">
        <f t="shared" si="17"/>
        <v>0</v>
      </c>
      <c r="J151" s="698">
        <f t="shared" si="17"/>
        <v>0</v>
      </c>
      <c r="K151" s="698">
        <f t="shared" si="17"/>
        <v>0</v>
      </c>
      <c r="L151" s="698">
        <f t="shared" si="17"/>
        <v>0</v>
      </c>
      <c r="M151" s="394">
        <v>2021</v>
      </c>
      <c r="N151" s="844">
        <f t="shared" si="18"/>
        <v>0</v>
      </c>
    </row>
    <row r="152" spans="1:14" s="381" customFormat="1" ht="13" x14ac:dyDescent="0.3">
      <c r="B152" s="1066" t="s">
        <v>247</v>
      </c>
      <c r="C152" s="1066"/>
      <c r="D152" s="1066"/>
      <c r="E152" s="1066"/>
      <c r="G152" s="694">
        <f>(VLOOKUP($D$2,A146:G151,7,FALSE))-T5A!C58</f>
        <v>0</v>
      </c>
      <c r="H152" s="694">
        <f>(VLOOKUP(D2,A146:H151,8,FALSE))-T5A!D58</f>
        <v>0</v>
      </c>
      <c r="I152" s="694">
        <f>(VLOOKUP(D2,A146:I151,9,FALSE))-T5A!E58</f>
        <v>0</v>
      </c>
      <c r="J152" s="694">
        <f>(VLOOKUP(D2,A146:J151,10,FALSE))-T5A!F58</f>
        <v>0</v>
      </c>
      <c r="K152" s="694">
        <f>(VLOOKUP(D2,A146:K151,11,FALSE))-T5A!G58</f>
        <v>0</v>
      </c>
      <c r="L152" s="694">
        <f>(VLOOKUP($D$2,A146:L151,12,FALSE))-T5A!H58</f>
        <v>0</v>
      </c>
      <c r="M152" s="848"/>
      <c r="N152" s="694">
        <f>(VLOOKUP(D2,A146:N151,14,FALSE))-T5A!J58</f>
        <v>0</v>
      </c>
    </row>
    <row r="153" spans="1:14" ht="13" x14ac:dyDescent="0.3">
      <c r="B153" s="390"/>
      <c r="C153" s="390"/>
      <c r="D153" s="390"/>
      <c r="E153" s="390"/>
      <c r="F153" s="391"/>
      <c r="G153" s="392"/>
      <c r="H153" s="392"/>
      <c r="I153" s="392"/>
      <c r="J153" s="392"/>
      <c r="K153" s="392"/>
      <c r="L153" s="392"/>
      <c r="N153" s="392"/>
    </row>
    <row r="154" spans="1:14" ht="13" x14ac:dyDescent="0.3">
      <c r="B154" s="390"/>
      <c r="C154" s="390"/>
      <c r="D154" s="390"/>
      <c r="E154" s="390"/>
      <c r="F154" s="391"/>
      <c r="G154" s="392"/>
      <c r="H154" s="392"/>
      <c r="I154" s="392"/>
      <c r="J154" s="392"/>
      <c r="K154" s="392"/>
      <c r="L154" s="392"/>
      <c r="N154" s="392"/>
    </row>
    <row r="155" spans="1:14" ht="13" x14ac:dyDescent="0.3">
      <c r="B155" s="390"/>
      <c r="C155" s="390"/>
      <c r="D155" s="390"/>
      <c r="E155" s="390"/>
      <c r="F155" s="391"/>
      <c r="G155" s="435" t="s">
        <v>56</v>
      </c>
      <c r="H155" s="392"/>
      <c r="I155" s="392"/>
      <c r="J155" s="392"/>
      <c r="K155" s="392"/>
      <c r="L155" s="392"/>
      <c r="N155" s="392"/>
    </row>
    <row r="156" spans="1:14" ht="13" x14ac:dyDescent="0.3">
      <c r="G156" s="435" t="s">
        <v>57</v>
      </c>
      <c r="H156" s="392"/>
      <c r="I156" s="392"/>
      <c r="J156" s="392"/>
    </row>
    <row r="157" spans="1:14" ht="98.25" customHeight="1" x14ac:dyDescent="0.3">
      <c r="B157" s="1089" t="s">
        <v>130</v>
      </c>
      <c r="C157" s="1090"/>
      <c r="D157" s="1090"/>
      <c r="E157" s="1091"/>
      <c r="F157" s="162"/>
      <c r="G157" s="676" t="str">
        <f>"Afbouw van het regulatoir saldo inzake volumeverschillen m.b.t. endogene kosten (uitgezonderd EAN's) op te nemen in het toegelaten inkomen voor boekjaar "&amp;D2&amp;", en dit conform de bepalingen in de tariefmethodologie omtrent de afbouw van het betreffende regulatoir saldo"</f>
        <v>Afbouw van het regulatoir saldo inzake volumeverschillen m.b.t. endogene kosten (uitgezonderd EAN's) op te nemen in het toegelaten inkomen voor boekjaar 2019, en dit conform de bepalingen in de tariefmethodologie omtrent de afbouw van het betreffende regulatoir saldo</v>
      </c>
      <c r="H157" s="392"/>
      <c r="I157" s="392"/>
      <c r="J157" s="392"/>
    </row>
    <row r="158" spans="1:14" ht="13" x14ac:dyDescent="0.3">
      <c r="B158" s="384"/>
      <c r="C158" s="384"/>
      <c r="D158" s="384"/>
      <c r="E158" s="384"/>
      <c r="F158" s="385"/>
      <c r="G158" s="386"/>
      <c r="H158" s="392"/>
      <c r="I158" s="392"/>
      <c r="J158" s="392"/>
    </row>
    <row r="159" spans="1:14" s="685" customFormat="1" ht="28.5" customHeight="1" x14ac:dyDescent="0.3">
      <c r="B159" s="1081" t="s">
        <v>131</v>
      </c>
      <c r="C159" s="1081"/>
      <c r="D159" s="1081"/>
      <c r="E159" s="1081"/>
      <c r="F159" s="688"/>
      <c r="G159" s="684">
        <f>VLOOKUP($D$2,B204:C207,2,FALSE)</f>
        <v>0</v>
      </c>
      <c r="H159" s="392"/>
      <c r="I159" s="392"/>
      <c r="J159" s="392"/>
      <c r="M159" s="847"/>
    </row>
    <row r="160" spans="1:14" s="685" customFormat="1" ht="18.75" customHeight="1" x14ac:dyDescent="0.3">
      <c r="B160" s="1081" t="s">
        <v>132</v>
      </c>
      <c r="C160" s="1081"/>
      <c r="D160" s="1081"/>
      <c r="E160" s="1081"/>
      <c r="F160" s="688"/>
      <c r="G160" s="684">
        <f>VLOOKUP($D$2,B244:C247,2,FALSE)</f>
        <v>0</v>
      </c>
      <c r="H160" s="392"/>
      <c r="I160" s="392"/>
      <c r="J160" s="392"/>
      <c r="M160" s="847"/>
    </row>
    <row r="161" spans="2:14" s="685" customFormat="1" ht="17.25" customHeight="1" x14ac:dyDescent="0.3">
      <c r="B161" s="1081" t="s">
        <v>133</v>
      </c>
      <c r="C161" s="1081"/>
      <c r="D161" s="1081"/>
      <c r="E161" s="1081"/>
      <c r="F161" s="688"/>
      <c r="G161" s="684">
        <f>VLOOKUP($D$2,B284:C287,2,FALSE)</f>
        <v>0</v>
      </c>
      <c r="H161" s="392"/>
      <c r="I161" s="392"/>
      <c r="J161" s="392"/>
      <c r="M161" s="847"/>
    </row>
    <row r="162" spans="2:14" s="685" customFormat="1" ht="29.25" customHeight="1" x14ac:dyDescent="0.3">
      <c r="B162" s="1081" t="s">
        <v>239</v>
      </c>
      <c r="C162" s="1081"/>
      <c r="D162" s="1081"/>
      <c r="E162" s="1081"/>
      <c r="F162" s="688"/>
      <c r="G162" s="684">
        <f>VLOOKUP($D$2,B324:C327,2,FALSE)</f>
        <v>0</v>
      </c>
      <c r="H162" s="392"/>
      <c r="I162" s="392"/>
      <c r="J162" s="392"/>
      <c r="M162" s="847"/>
    </row>
    <row r="163" spans="2:14" s="685" customFormat="1" ht="19.5" customHeight="1" x14ac:dyDescent="0.3">
      <c r="B163" s="1081" t="s">
        <v>237</v>
      </c>
      <c r="C163" s="1081"/>
      <c r="D163" s="1081"/>
      <c r="E163" s="1081"/>
      <c r="F163" s="688"/>
      <c r="G163" s="684">
        <f>VLOOKUP($D$2,B364:C367,2,FALSE)</f>
        <v>0</v>
      </c>
      <c r="H163" s="392"/>
      <c r="I163" s="392"/>
      <c r="J163" s="392"/>
      <c r="M163" s="847"/>
    </row>
    <row r="164" spans="2:14" s="685" customFormat="1" ht="33.75" customHeight="1" x14ac:dyDescent="0.3">
      <c r="B164" s="1081" t="s">
        <v>287</v>
      </c>
      <c r="C164" s="1081"/>
      <c r="D164" s="1081"/>
      <c r="E164" s="1081"/>
      <c r="F164" s="688"/>
      <c r="G164" s="684">
        <f>VLOOKUP($D$2,B404:C407,2,FALSE)</f>
        <v>0</v>
      </c>
      <c r="H164" s="392"/>
      <c r="I164" s="392"/>
      <c r="J164" s="392"/>
      <c r="M164" s="847"/>
    </row>
    <row r="165" spans="2:14" s="685" customFormat="1" ht="27" customHeight="1" x14ac:dyDescent="0.3">
      <c r="B165" s="1081" t="s">
        <v>134</v>
      </c>
      <c r="C165" s="1081"/>
      <c r="D165" s="1081"/>
      <c r="E165" s="1081"/>
      <c r="F165" s="688"/>
      <c r="G165" s="684">
        <f>VLOOKUP($D$2,B444:C447,2,FALSE)</f>
        <v>0</v>
      </c>
      <c r="H165" s="392"/>
      <c r="I165" s="392"/>
      <c r="J165" s="392"/>
      <c r="M165" s="847"/>
    </row>
    <row r="166" spans="2:14" ht="13" x14ac:dyDescent="0.3">
      <c r="H166" s="392"/>
      <c r="I166" s="392"/>
      <c r="J166" s="392"/>
    </row>
    <row r="167" spans="2:14" ht="13" x14ac:dyDescent="0.3">
      <c r="B167" s="1086" t="s">
        <v>33</v>
      </c>
      <c r="C167" s="1087"/>
      <c r="D167" s="1087"/>
      <c r="E167" s="1088"/>
      <c r="F167" s="389"/>
      <c r="G167" s="690">
        <f>SUM(G159:G165)</f>
        <v>0</v>
      </c>
      <c r="H167" s="392"/>
      <c r="I167" s="392"/>
      <c r="J167" s="392"/>
    </row>
    <row r="168" spans="2:14" ht="13" x14ac:dyDescent="0.3">
      <c r="H168" s="392"/>
      <c r="I168" s="392"/>
      <c r="J168" s="392"/>
      <c r="M168" s="610"/>
    </row>
    <row r="169" spans="2:14" x14ac:dyDescent="0.25">
      <c r="M169" s="610"/>
    </row>
    <row r="170" spans="2:14" ht="13" x14ac:dyDescent="0.3">
      <c r="B170" s="902" t="s">
        <v>131</v>
      </c>
      <c r="C170" s="903"/>
      <c r="D170" s="903"/>
      <c r="E170" s="903"/>
      <c r="F170" s="904"/>
      <c r="G170" s="904"/>
      <c r="H170" s="904"/>
      <c r="I170" s="904"/>
      <c r="J170" s="904"/>
      <c r="K170" s="904"/>
      <c r="L170" s="904"/>
      <c r="M170" s="905"/>
      <c r="N170" s="904"/>
    </row>
    <row r="171" spans="2:14" x14ac:dyDescent="0.25">
      <c r="M171" s="610"/>
    </row>
    <row r="172" spans="2:14" ht="13" x14ac:dyDescent="0.3">
      <c r="B172" s="18" t="s">
        <v>362</v>
      </c>
      <c r="F172" s="895">
        <v>2017</v>
      </c>
      <c r="M172" s="610"/>
    </row>
    <row r="173" spans="2:14" x14ac:dyDescent="0.25">
      <c r="L173" s="610"/>
      <c r="M173" s="20"/>
    </row>
    <row r="174" spans="2:14" ht="82.5" customHeight="1" x14ac:dyDescent="0.25">
      <c r="B174" s="1060" t="s">
        <v>363</v>
      </c>
      <c r="C174" s="1061"/>
      <c r="D174" s="1061"/>
      <c r="E174" s="1062"/>
      <c r="F174" s="599"/>
      <c r="G174" s="675" t="str">
        <f>"Nog af te bouwen regulatoir saldo einde "&amp;F172-1</f>
        <v>Nog af te bouwen regulatoir saldo einde 2016</v>
      </c>
      <c r="H174" s="675" t="str">
        <f>"Afbouw oudste openstaande regulatoir saldo vanaf boekjaar "&amp;F172-3&amp;" en vroeger, door aanwending van compensatie met regulatoir saldo ontstaan over boekjaar "&amp;F172-2</f>
        <v>Afbouw oudste openstaande regulatoir saldo vanaf boekjaar 2014 en vroeger, door aanwending van compensatie met regulatoir saldo ontstaan over boekjaar 2015</v>
      </c>
      <c r="I174" s="675" t="str">
        <f>"Nog af te bouwen regulatoir saldo na compensatie einde "&amp;F172-1</f>
        <v>Nog af te bouwen regulatoir saldo na compensatie einde 2016</v>
      </c>
      <c r="J174" s="675" t="str">
        <f>"Aanwending van "&amp;IF($B$7="elektriciteit","75%",IF($B$7="gas","40%","FALSE"))&amp;" van het geaccumuleerd regulatoir saldo door te rekenen volgens de tariefmethodologie in het boekjaar "&amp;F172</f>
        <v>Aanwending van 75% van het geaccumuleerd regulatoir saldo door te rekenen volgens de tariefmethodologie in het boekjaar 2017</v>
      </c>
      <c r="K174" s="675" t="str">
        <f>"Nog af te bouwen regulatoir saldo einde "&amp;F172</f>
        <v>Nog af te bouwen regulatoir saldo einde 2017</v>
      </c>
      <c r="L174" s="610"/>
      <c r="M174" s="20"/>
    </row>
    <row r="175" spans="2:14" ht="13" x14ac:dyDescent="0.25">
      <c r="B175" s="1057">
        <v>2015</v>
      </c>
      <c r="C175" s="1058"/>
      <c r="D175" s="1058"/>
      <c r="E175" s="1059"/>
      <c r="F175" s="896"/>
      <c r="G175" s="839">
        <f>G96</f>
        <v>0</v>
      </c>
      <c r="H175" s="897">
        <v>0</v>
      </c>
      <c r="I175" s="839">
        <f>+G175+H175</f>
        <v>0</v>
      </c>
      <c r="J175" s="839">
        <f>-I175*IF($B$7="elektriciteit",0.75,IF($B$7="gas",0.4,"FALSE"))</f>
        <v>0</v>
      </c>
      <c r="K175" s="908">
        <f>+J175+G175</f>
        <v>0</v>
      </c>
      <c r="L175" s="610"/>
      <c r="M175" s="20"/>
    </row>
    <row r="176" spans="2:14" x14ac:dyDescent="0.25">
      <c r="L176" s="610"/>
      <c r="M176" s="20"/>
    </row>
    <row r="177" spans="2:15" ht="13" x14ac:dyDescent="0.3">
      <c r="B177" s="18" t="s">
        <v>362</v>
      </c>
      <c r="F177" s="895">
        <v>2018</v>
      </c>
      <c r="M177" s="610"/>
    </row>
    <row r="178" spans="2:15" x14ac:dyDescent="0.25">
      <c r="M178" s="610"/>
    </row>
    <row r="179" spans="2:15" ht="69.75" customHeight="1" x14ac:dyDescent="0.25">
      <c r="B179" s="1060" t="s">
        <v>363</v>
      </c>
      <c r="C179" s="1061"/>
      <c r="D179" s="1061"/>
      <c r="E179" s="1062"/>
      <c r="F179" s="599"/>
      <c r="G179" s="675" t="str">
        <f>"Nog af te bouwen regulatoir saldo einde "&amp;F177-1</f>
        <v>Nog af te bouwen regulatoir saldo einde 2017</v>
      </c>
      <c r="H179" s="675" t="str">
        <f>"Afbouw oudste openstaande regulatoir saldo vanaf boekjaar "&amp;F177-3&amp;" en vroeger, door aanwending van compensatie met regulatoir saldo ontstaan over boekjaar "&amp;F177-2</f>
        <v>Afbouw oudste openstaande regulatoir saldo vanaf boekjaar 2015 en vroeger, door aanwending van compensatie met regulatoir saldo ontstaan over boekjaar 2016</v>
      </c>
      <c r="I179" s="675" t="str">
        <f>"Nog af te bouwen regulatoir saldo na compensatie einde "&amp;F177-1</f>
        <v>Nog af te bouwen regulatoir saldo na compensatie einde 2017</v>
      </c>
      <c r="J179" s="675" t="str">
        <f>"Aanwending van "&amp;IF($B$7="elektriciteit","75%",IF($B$7="gas","40%","FALSE"))&amp;" van het geaccumuleerd regulatoir saldo door te rekenen volgens de tariefmethodologie in het boekjaar "&amp;F177</f>
        <v>Aanwending van 75% van het geaccumuleerd regulatoir saldo door te rekenen volgens de tariefmethodologie in het boekjaar 2018</v>
      </c>
      <c r="K179" s="675" t="str">
        <f>"Aanwending van "&amp;IF($B$7="elektriciteit","75%",IF($B$7="gas","40%","FALSE"))&amp;" van het geaccumuleerd regulatoir saldo door te rekenen volgens de tariefmethodologie in het boekjaar "&amp;F177</f>
        <v>Aanwending van 75% van het geaccumuleerd regulatoir saldo door te rekenen volgens de tariefmethodologie in het boekjaar 2018</v>
      </c>
      <c r="L179" s="675" t="str">
        <f>"Totale afbouw over "&amp;F177</f>
        <v>Totale afbouw over 2018</v>
      </c>
      <c r="M179" s="20"/>
      <c r="N179" s="675" t="str">
        <f>"Nog af te bouwen regulatoir saldo einde "&amp;F177</f>
        <v>Nog af te bouwen regulatoir saldo einde 2018</v>
      </c>
      <c r="O179" s="610"/>
    </row>
    <row r="180" spans="2:15" ht="13" x14ac:dyDescent="0.25">
      <c r="B180" s="1057">
        <v>2015</v>
      </c>
      <c r="C180" s="1058"/>
      <c r="D180" s="1058"/>
      <c r="E180" s="1059"/>
      <c r="F180" s="896"/>
      <c r="G180" s="839">
        <f>K175</f>
        <v>0</v>
      </c>
      <c r="H180" s="897">
        <f>IF(SIGN(G181*K175)&lt;0,IF(G180&lt;&gt;0,-SIGN(G180)*MIN(ABS(G181),ABS(G180)),0),0)</f>
        <v>0</v>
      </c>
      <c r="I180" s="839">
        <f>+G180+H180</f>
        <v>0</v>
      </c>
      <c r="J180" s="698"/>
      <c r="K180" s="897">
        <f>-MIN(ABS(I180),ABS(J182))*SIGN(I180)</f>
        <v>0</v>
      </c>
      <c r="L180" s="898">
        <f>+K180+H180</f>
        <v>0</v>
      </c>
      <c r="M180" s="20"/>
      <c r="N180" s="839">
        <f>+I180+K180</f>
        <v>0</v>
      </c>
      <c r="O180" s="610"/>
    </row>
    <row r="181" spans="2:15" ht="13" x14ac:dyDescent="0.25">
      <c r="B181" s="1057">
        <v>2016</v>
      </c>
      <c r="C181" s="1058"/>
      <c r="D181" s="1058"/>
      <c r="E181" s="1059"/>
      <c r="F181" s="896"/>
      <c r="G181" s="839">
        <f>H97</f>
        <v>0</v>
      </c>
      <c r="H181" s="898">
        <f>IF(SIGN(G181*K175)&lt;0,-H180,0)</f>
        <v>0</v>
      </c>
      <c r="I181" s="839">
        <f>+G181+H181</f>
        <v>0</v>
      </c>
      <c r="J181" s="698"/>
      <c r="K181" s="897">
        <f>-MIN(ABS(I181),ABS(J182-K180))*SIGN(I181)</f>
        <v>0</v>
      </c>
      <c r="L181" s="898">
        <f>+K181+H181</f>
        <v>0</v>
      </c>
      <c r="M181" s="20"/>
      <c r="N181" s="839">
        <f>+I181+K181</f>
        <v>0</v>
      </c>
      <c r="O181" s="610"/>
    </row>
    <row r="182" spans="2:15" s="18" customFormat="1" ht="13" x14ac:dyDescent="0.3">
      <c r="G182" s="899">
        <f>SUM(G180:G181)</f>
        <v>0</v>
      </c>
      <c r="H182" s="899">
        <f>SUM(H180:H181)</f>
        <v>0</v>
      </c>
      <c r="I182" s="899">
        <f>SUM(I180:I181)</f>
        <v>0</v>
      </c>
      <c r="J182" s="899">
        <f>-I182*IF($B$7="elektriciteit",0.75,IF($B$7="gas",0.4,"FALSE"))</f>
        <v>0</v>
      </c>
      <c r="K182" s="900">
        <f>SUM(K180:K181)</f>
        <v>0</v>
      </c>
      <c r="L182" s="901"/>
      <c r="N182" s="899">
        <f>SUM(N180:N181)</f>
        <v>0</v>
      </c>
    </row>
    <row r="183" spans="2:15" x14ac:dyDescent="0.25">
      <c r="M183" s="610"/>
    </row>
    <row r="184" spans="2:15" ht="13" x14ac:dyDescent="0.3">
      <c r="B184" s="18" t="s">
        <v>362</v>
      </c>
      <c r="F184" s="895">
        <v>2019</v>
      </c>
      <c r="M184" s="20"/>
    </row>
    <row r="185" spans="2:15" x14ac:dyDescent="0.25">
      <c r="M185" s="20"/>
    </row>
    <row r="186" spans="2:15" ht="75.75" customHeight="1" x14ac:dyDescent="0.25">
      <c r="B186" s="1060" t="s">
        <v>363</v>
      </c>
      <c r="C186" s="1061"/>
      <c r="D186" s="1061"/>
      <c r="E186" s="1062"/>
      <c r="F186" s="599"/>
      <c r="G186" s="675" t="str">
        <f>"Nog af te bouwen regulatoir saldo einde "&amp;F184-1</f>
        <v>Nog af te bouwen regulatoir saldo einde 2018</v>
      </c>
      <c r="H186" s="675" t="str">
        <f>"Afbouw oudste openstaande regulatoir saldo vanaf boekjaar "&amp;F184-3&amp;" en vroeger, door aanwending van compensatie met regulatoir saldo ontstaan over boekjaar "&amp;F184-2</f>
        <v>Afbouw oudste openstaande regulatoir saldo vanaf boekjaar 2016 en vroeger, door aanwending van compensatie met regulatoir saldo ontstaan over boekjaar 2017</v>
      </c>
      <c r="I186" s="675" t="str">
        <f>"Nog af te bouwen regulatoir saldo na compensatie einde "&amp;F184-1</f>
        <v>Nog af te bouwen regulatoir saldo na compensatie einde 2018</v>
      </c>
      <c r="J186" s="675" t="str">
        <f>"Aanwending van "&amp;IF($B$7="elektriciteit","75%",IF($B$7="gas","40%","FALSE"))&amp;" van het geaccumuleerd regulatoir saldo door te rekenen volgens de tariefmethodologie in het boekjaar "&amp;F184</f>
        <v>Aanwending van 75% van het geaccumuleerd regulatoir saldo door te rekenen volgens de tariefmethodologie in het boekjaar 2019</v>
      </c>
      <c r="K186" s="675" t="str">
        <f>"Aanwending van "&amp;IF($B$7="elektriciteit","75%",IF($B$7="gas","40%","FALSE"))&amp;" van het geaccumuleerd regulatoir saldo door te rekenen volgens de tariefmethodologie in het boekjaar "&amp;F184</f>
        <v>Aanwending van 75% van het geaccumuleerd regulatoir saldo door te rekenen volgens de tariefmethodologie in het boekjaar 2019</v>
      </c>
      <c r="L186" s="675" t="str">
        <f>"Totale afbouw over "&amp;F184</f>
        <v>Totale afbouw over 2019</v>
      </c>
      <c r="M186" s="20"/>
      <c r="N186" s="675" t="str">
        <f>"Nog af te bouwen regulatoir saldo einde "&amp;F184</f>
        <v>Nog af te bouwen regulatoir saldo einde 2019</v>
      </c>
      <c r="O186" s="610"/>
    </row>
    <row r="187" spans="2:15" ht="13" x14ac:dyDescent="0.25">
      <c r="B187" s="1057">
        <v>2015</v>
      </c>
      <c r="C187" s="1058"/>
      <c r="D187" s="1058"/>
      <c r="E187" s="1059"/>
      <c r="F187" s="896"/>
      <c r="G187" s="839">
        <f>+N180</f>
        <v>0</v>
      </c>
      <c r="H187" s="898">
        <f>IF(SIGN(G189*N182)&lt;0,IF(G187&lt;&gt;0,-SIGN(G187)*MIN(ABS(G189),ABS(G187)),0),0)</f>
        <v>0</v>
      </c>
      <c r="I187" s="839">
        <f>+G187+H187</f>
        <v>0</v>
      </c>
      <c r="J187" s="698"/>
      <c r="K187" s="897">
        <f>-MIN(ABS(I187),ABS(J190))*SIGN(I187)</f>
        <v>0</v>
      </c>
      <c r="L187" s="898">
        <f>+K187+H187</f>
        <v>0</v>
      </c>
      <c r="M187" s="20"/>
      <c r="N187" s="839">
        <f>+I187+K187</f>
        <v>0</v>
      </c>
      <c r="O187" s="610"/>
    </row>
    <row r="188" spans="2:15" ht="13" x14ac:dyDescent="0.25">
      <c r="B188" s="1057">
        <v>2016</v>
      </c>
      <c r="C188" s="1058"/>
      <c r="D188" s="1058">
        <v>2016</v>
      </c>
      <c r="E188" s="1059"/>
      <c r="F188" s="896"/>
      <c r="G188" s="839">
        <f>+N181</f>
        <v>0</v>
      </c>
      <c r="H188" s="898">
        <f>IF(SIGN(G189*N182)&lt;0,IF(G188&lt;&gt;0,-SIGN(G188)*MIN(ABS(G189-H187),ABS(G188)),0),0)</f>
        <v>0</v>
      </c>
      <c r="I188" s="839">
        <f>+G188+H188</f>
        <v>0</v>
      </c>
      <c r="J188" s="698"/>
      <c r="K188" s="897">
        <f>-MIN(ABS(I188),ABS(J190-K187))*SIGN(I188)</f>
        <v>0</v>
      </c>
      <c r="L188" s="898">
        <f>+K188+H188</f>
        <v>0</v>
      </c>
      <c r="M188" s="20"/>
      <c r="N188" s="839">
        <f>+I188+K188</f>
        <v>0</v>
      </c>
      <c r="O188" s="610"/>
    </row>
    <row r="189" spans="2:15" ht="13" x14ac:dyDescent="0.25">
      <c r="B189" s="1057">
        <v>2017</v>
      </c>
      <c r="C189" s="1058"/>
      <c r="D189" s="1058"/>
      <c r="E189" s="1059"/>
      <c r="F189" s="896"/>
      <c r="G189" s="839">
        <f>I98</f>
        <v>0</v>
      </c>
      <c r="H189" s="898">
        <f>IF(SIGN(G189*N182)&lt;0,-SUM(H187:H188),0)</f>
        <v>0</v>
      </c>
      <c r="I189" s="839">
        <f>+G189+H189</f>
        <v>0</v>
      </c>
      <c r="J189" s="698"/>
      <c r="K189" s="897">
        <f>-MIN(ABS(I189),ABS(J190-K187-K188))*SIGN(I189)</f>
        <v>0</v>
      </c>
      <c r="L189" s="898">
        <f>+K189+H189</f>
        <v>0</v>
      </c>
      <c r="M189" s="20"/>
      <c r="N189" s="839">
        <f>+I189+K189</f>
        <v>0</v>
      </c>
      <c r="O189" s="610"/>
    </row>
    <row r="190" spans="2:15" s="18" customFormat="1" ht="13" x14ac:dyDescent="0.3">
      <c r="G190" s="899">
        <f>SUM(G187:G189)</f>
        <v>0</v>
      </c>
      <c r="H190" s="899">
        <f>SUM(H187:H189)</f>
        <v>0</v>
      </c>
      <c r="I190" s="899">
        <f>SUM(I187:I189)</f>
        <v>0</v>
      </c>
      <c r="J190" s="899">
        <f>-I190*IF($B$7="elektriciteit",0.75,IF($B$7="gas",0.4,"FALSE"))</f>
        <v>0</v>
      </c>
      <c r="K190" s="900">
        <f>SUM(K187:K189)</f>
        <v>0</v>
      </c>
      <c r="L190" s="901"/>
      <c r="N190" s="899">
        <f>SUM(N187:N189)</f>
        <v>0</v>
      </c>
    </row>
    <row r="191" spans="2:15" x14ac:dyDescent="0.25">
      <c r="M191" s="610"/>
    </row>
    <row r="192" spans="2:15" ht="13" x14ac:dyDescent="0.3">
      <c r="B192" s="18" t="s">
        <v>362</v>
      </c>
      <c r="F192" s="895">
        <v>2020</v>
      </c>
      <c r="M192" s="20"/>
    </row>
    <row r="193" spans="2:15" x14ac:dyDescent="0.25">
      <c r="M193" s="20"/>
    </row>
    <row r="194" spans="2:15" ht="78" customHeight="1" x14ac:dyDescent="0.25">
      <c r="B194" s="1060" t="s">
        <v>363</v>
      </c>
      <c r="C194" s="1061"/>
      <c r="D194" s="1061"/>
      <c r="E194" s="1062"/>
      <c r="F194" s="599"/>
      <c r="G194" s="675" t="str">
        <f>"Nog af te bouwen regulatoir saldo einde "&amp;F192-1</f>
        <v>Nog af te bouwen regulatoir saldo einde 2019</v>
      </c>
      <c r="H194" s="675" t="str">
        <f>"Afbouw oudste openstaande regulatoir saldo vanaf boekjaar "&amp;F192-3&amp;" en vroeger, door aanwending van compensatie met regulatoir saldo ontstaan over boekjaar "&amp;F192-2</f>
        <v>Afbouw oudste openstaande regulatoir saldo vanaf boekjaar 2017 en vroeger, door aanwending van compensatie met regulatoir saldo ontstaan over boekjaar 2018</v>
      </c>
      <c r="I194" s="675" t="str">
        <f>"Nog af te bouwen regulatoir saldo na compensatie einde "&amp;F192-1</f>
        <v>Nog af te bouwen regulatoir saldo na compensatie einde 2019</v>
      </c>
      <c r="J194" s="675" t="str">
        <f>"Aanwending van "&amp;IF($B$7="elektriciteit","75%",IF($B$7="gas","40%","FALSE"))&amp;" van het geaccumuleerd regulatoir saldo door te rekenen volgens de tariefmethodologie in het boekjaar "&amp;F192</f>
        <v>Aanwending van 75% van het geaccumuleerd regulatoir saldo door te rekenen volgens de tariefmethodologie in het boekjaar 2020</v>
      </c>
      <c r="K194" s="675" t="str">
        <f>"Aanwending van "&amp;IF($B$7="elektriciteit","75%",IF($B$7="gas","40%","FALSE"))&amp;" van het geaccumuleerd regulatoir saldo door te rekenen volgens de tariefmethodologie in het boekjaar "&amp;F192</f>
        <v>Aanwending van 75% van het geaccumuleerd regulatoir saldo door te rekenen volgens de tariefmethodologie in het boekjaar 2020</v>
      </c>
      <c r="L194" s="675" t="str">
        <f>"Totale afbouw over "&amp;F192</f>
        <v>Totale afbouw over 2020</v>
      </c>
      <c r="M194" s="20"/>
      <c r="N194" s="675" t="str">
        <f>"Nog af te bouwen regulatoir saldo einde "&amp;F192</f>
        <v>Nog af te bouwen regulatoir saldo einde 2020</v>
      </c>
      <c r="O194" s="610"/>
    </row>
    <row r="195" spans="2:15" ht="13" x14ac:dyDescent="0.25">
      <c r="B195" s="1057">
        <v>2015</v>
      </c>
      <c r="C195" s="1058"/>
      <c r="D195" s="1058"/>
      <c r="E195" s="1059"/>
      <c r="F195" s="896"/>
      <c r="G195" s="839">
        <f>+N187</f>
        <v>0</v>
      </c>
      <c r="H195" s="898">
        <f>IF(SIGN(G198*N190)&lt;0,IF(G195&lt;&gt;0,-SIGN(G195)*MIN(ABS(G198),ABS(G195)),0),0)</f>
        <v>0</v>
      </c>
      <c r="I195" s="839">
        <f>+G195+H195</f>
        <v>0</v>
      </c>
      <c r="J195" s="698"/>
      <c r="K195" s="897">
        <f>-MIN(ABS(I195),ABS(J199))*SIGN(I195)</f>
        <v>0</v>
      </c>
      <c r="L195" s="898">
        <f>+K195+H195</f>
        <v>0</v>
      </c>
      <c r="M195" s="20"/>
      <c r="N195" s="839">
        <f>+I195+K195</f>
        <v>0</v>
      </c>
      <c r="O195" s="610"/>
    </row>
    <row r="196" spans="2:15" ht="13" x14ac:dyDescent="0.25">
      <c r="B196" s="1057">
        <v>2016</v>
      </c>
      <c r="C196" s="1058"/>
      <c r="D196" s="1058"/>
      <c r="E196" s="1059"/>
      <c r="F196" s="896"/>
      <c r="G196" s="839">
        <f>+N188</f>
        <v>0</v>
      </c>
      <c r="H196" s="898">
        <f>IF(SIGN(G198*N190)&lt;0,IF(G196&lt;&gt;0,-SIGN(G196)*MIN(ABS(G198-H195),ABS(G196)),0),0)</f>
        <v>0</v>
      </c>
      <c r="I196" s="839">
        <f>+G196+H196</f>
        <v>0</v>
      </c>
      <c r="J196" s="698"/>
      <c r="K196" s="897">
        <f>-MIN(ABS(I196),ABS(J199-K195))*SIGN(I196)</f>
        <v>0</v>
      </c>
      <c r="L196" s="898">
        <f>+K196+H196</f>
        <v>0</v>
      </c>
      <c r="M196" s="20"/>
      <c r="N196" s="839">
        <f>+I196+K196</f>
        <v>0</v>
      </c>
      <c r="O196" s="610"/>
    </row>
    <row r="197" spans="2:15" ht="13" x14ac:dyDescent="0.25">
      <c r="B197" s="1057">
        <v>2017</v>
      </c>
      <c r="C197" s="1058"/>
      <c r="D197" s="1058">
        <v>2016</v>
      </c>
      <c r="E197" s="1059"/>
      <c r="F197" s="896"/>
      <c r="G197" s="839">
        <f>+N189</f>
        <v>0</v>
      </c>
      <c r="H197" s="898">
        <f>IF(SIGN(G198*N190)&lt;0,IF(G197&lt;&gt;0,-SIGN(G197)*MIN(ABS(G198-H195-H196),ABS(G197)),0),0)</f>
        <v>0</v>
      </c>
      <c r="I197" s="839">
        <f>+G197+H197</f>
        <v>0</v>
      </c>
      <c r="J197" s="698"/>
      <c r="K197" s="897">
        <f>-MIN(ABS(I197),ABS(J199-K195-K196))*SIGN(I197)</f>
        <v>0</v>
      </c>
      <c r="L197" s="898">
        <f>+K197+H197</f>
        <v>0</v>
      </c>
      <c r="M197" s="20"/>
      <c r="N197" s="839">
        <f>+I197+K197</f>
        <v>0</v>
      </c>
      <c r="O197" s="610"/>
    </row>
    <row r="198" spans="2:15" ht="13" x14ac:dyDescent="0.25">
      <c r="B198" s="1057">
        <v>2018</v>
      </c>
      <c r="C198" s="1058"/>
      <c r="D198" s="1058"/>
      <c r="E198" s="1059"/>
      <c r="F198" s="896"/>
      <c r="G198" s="839">
        <f>J99</f>
        <v>0</v>
      </c>
      <c r="H198" s="898">
        <f>IF(SIGN(G198*N190)&lt;0,-SUM(H195:H197),0)</f>
        <v>0</v>
      </c>
      <c r="I198" s="839">
        <f>+G198+H198</f>
        <v>0</v>
      </c>
      <c r="J198" s="698"/>
      <c r="K198" s="897">
        <f>-MIN(ABS(I198),ABS(J199-K195-K196-K197))*SIGN(I198)</f>
        <v>0</v>
      </c>
      <c r="L198" s="898">
        <f>+K198+H198</f>
        <v>0</v>
      </c>
      <c r="M198" s="20"/>
      <c r="N198" s="839">
        <f>+I198+K198</f>
        <v>0</v>
      </c>
      <c r="O198" s="610"/>
    </row>
    <row r="199" spans="2:15" s="18" customFormat="1" ht="13" x14ac:dyDescent="0.3">
      <c r="G199" s="899">
        <f>SUM(G195:G198)</f>
        <v>0</v>
      </c>
      <c r="H199" s="899">
        <f>SUM(H195:H198)</f>
        <v>0</v>
      </c>
      <c r="I199" s="899">
        <f>SUM(I195:I198)</f>
        <v>0</v>
      </c>
      <c r="J199" s="899">
        <f>-I199*IF($B$7="elektriciteit",0.75,IF($B$7="gas",0.4,"FALSE"))</f>
        <v>0</v>
      </c>
      <c r="K199" s="900">
        <f>SUM(K195:K198)</f>
        <v>0</v>
      </c>
      <c r="L199" s="900"/>
      <c r="N199" s="899">
        <f>SUM(N195:N198)</f>
        <v>0</v>
      </c>
    </row>
    <row r="202" spans="2:15" ht="13" x14ac:dyDescent="0.3">
      <c r="B202" s="18" t="s">
        <v>364</v>
      </c>
      <c r="C202" s="381"/>
      <c r="D202" s="381"/>
      <c r="E202" s="381"/>
    </row>
    <row r="203" spans="2:15" ht="13" x14ac:dyDescent="0.3">
      <c r="B203" s="18"/>
      <c r="C203" s="381"/>
      <c r="D203" s="381"/>
      <c r="E203" s="381"/>
    </row>
    <row r="204" spans="2:15" ht="13" x14ac:dyDescent="0.3">
      <c r="B204" s="864">
        <f>F172</f>
        <v>2017</v>
      </c>
      <c r="C204" s="906">
        <f>J175</f>
        <v>0</v>
      </c>
      <c r="D204" s="381"/>
      <c r="E204" s="381"/>
    </row>
    <row r="205" spans="2:15" ht="13" x14ac:dyDescent="0.3">
      <c r="B205" s="864">
        <f>F177</f>
        <v>2018</v>
      </c>
      <c r="C205" s="906">
        <f>K182</f>
        <v>0</v>
      </c>
      <c r="D205" s="381"/>
      <c r="E205" s="381"/>
    </row>
    <row r="206" spans="2:15" ht="13" x14ac:dyDescent="0.3">
      <c r="B206" s="864">
        <f>F184</f>
        <v>2019</v>
      </c>
      <c r="C206" s="906">
        <f>K190</f>
        <v>0</v>
      </c>
      <c r="D206" s="381"/>
      <c r="E206" s="381"/>
    </row>
    <row r="207" spans="2:15" ht="13" x14ac:dyDescent="0.3">
      <c r="B207" s="864">
        <f>F192</f>
        <v>2020</v>
      </c>
      <c r="C207" s="906">
        <f>K199</f>
        <v>0</v>
      </c>
      <c r="D207" s="381"/>
      <c r="E207" s="381"/>
    </row>
    <row r="208" spans="2:15" x14ac:dyDescent="0.25">
      <c r="M208" s="610"/>
    </row>
    <row r="209" spans="2:15" x14ac:dyDescent="0.25">
      <c r="M209" s="610"/>
    </row>
    <row r="210" spans="2:15" ht="13" x14ac:dyDescent="0.3">
      <c r="B210" s="902" t="s">
        <v>132</v>
      </c>
      <c r="C210" s="903"/>
      <c r="D210" s="903"/>
      <c r="E210" s="903"/>
      <c r="F210" s="904"/>
      <c r="G210" s="904"/>
      <c r="H210" s="904"/>
      <c r="I210" s="904"/>
      <c r="J210" s="904"/>
      <c r="K210" s="904"/>
      <c r="L210" s="904"/>
      <c r="M210" s="905"/>
      <c r="N210" s="904"/>
    </row>
    <row r="211" spans="2:15" x14ac:dyDescent="0.25">
      <c r="M211" s="610"/>
    </row>
    <row r="212" spans="2:15" ht="13" x14ac:dyDescent="0.3">
      <c r="B212" s="18" t="s">
        <v>362</v>
      </c>
      <c r="F212" s="895">
        <v>2017</v>
      </c>
      <c r="M212" s="610"/>
    </row>
    <row r="213" spans="2:15" x14ac:dyDescent="0.25">
      <c r="L213" s="610"/>
      <c r="M213" s="20"/>
    </row>
    <row r="214" spans="2:15" ht="82.5" customHeight="1" x14ac:dyDescent="0.25">
      <c r="B214" s="1060" t="s">
        <v>363</v>
      </c>
      <c r="C214" s="1061"/>
      <c r="D214" s="1061"/>
      <c r="E214" s="1062"/>
      <c r="F214" s="599"/>
      <c r="G214" s="675" t="str">
        <f>"Nog af te bouwen regulatoir saldo einde "&amp;F212-1</f>
        <v>Nog af te bouwen regulatoir saldo einde 2016</v>
      </c>
      <c r="H214" s="675" t="str">
        <f>"Afbouw oudste openstaande regulatoir saldo vanaf boekjaar "&amp;F212-3&amp;" en vroeger, door aanwending van compensatie met regulatoir saldo ontstaan over boekjaar "&amp;F212-2</f>
        <v>Afbouw oudste openstaande regulatoir saldo vanaf boekjaar 2014 en vroeger, door aanwending van compensatie met regulatoir saldo ontstaan over boekjaar 2015</v>
      </c>
      <c r="I214" s="675" t="str">
        <f>"Nog af te bouwen regulatoir saldo na compensatie einde "&amp;F212-1</f>
        <v>Nog af te bouwen regulatoir saldo na compensatie einde 2016</v>
      </c>
      <c r="J214" s="675" t="str">
        <f>"Aanwending van "&amp;IF($B$7="elektriciteit","75%",IF($B$7="gas","40%","FALSE"))&amp;" van het geaccumuleerd regulatoir saldo door te rekenen volgens de tariefmethodologie in het boekjaar "&amp;F212</f>
        <v>Aanwending van 75% van het geaccumuleerd regulatoir saldo door te rekenen volgens de tariefmethodologie in het boekjaar 2017</v>
      </c>
      <c r="K214" s="675" t="str">
        <f>"Nog af te bouwen regulatoir saldo einde "&amp;F212</f>
        <v>Nog af te bouwen regulatoir saldo einde 2017</v>
      </c>
      <c r="L214" s="610"/>
      <c r="M214" s="20"/>
    </row>
    <row r="215" spans="2:15" ht="13" x14ac:dyDescent="0.25">
      <c r="B215" s="1057">
        <v>2015</v>
      </c>
      <c r="C215" s="1058"/>
      <c r="D215" s="1058"/>
      <c r="E215" s="1059"/>
      <c r="F215" s="896"/>
      <c r="G215" s="839">
        <f>G103</f>
        <v>0</v>
      </c>
      <c r="H215" s="897">
        <v>0</v>
      </c>
      <c r="I215" s="839">
        <f>+G215+H215</f>
        <v>0</v>
      </c>
      <c r="J215" s="839">
        <f>-I215*IF($B$7="elektriciteit",0.75,IF($B$7="gas",0.4,"FALSE"))</f>
        <v>0</v>
      </c>
      <c r="K215" s="908">
        <f>+J215+G215</f>
        <v>0</v>
      </c>
      <c r="L215" s="610"/>
      <c r="M215" s="20"/>
    </row>
    <row r="216" spans="2:15" x14ac:dyDescent="0.25">
      <c r="L216" s="610"/>
      <c r="M216" s="20"/>
    </row>
    <row r="217" spans="2:15" ht="13" x14ac:dyDescent="0.3">
      <c r="B217" s="18" t="s">
        <v>362</v>
      </c>
      <c r="F217" s="895">
        <v>2018</v>
      </c>
      <c r="M217" s="610"/>
    </row>
    <row r="218" spans="2:15" x14ac:dyDescent="0.25">
      <c r="M218" s="610"/>
    </row>
    <row r="219" spans="2:15" ht="69.75" customHeight="1" x14ac:dyDescent="0.25">
      <c r="B219" s="1060" t="s">
        <v>363</v>
      </c>
      <c r="C219" s="1061"/>
      <c r="D219" s="1061"/>
      <c r="E219" s="1062"/>
      <c r="F219" s="599"/>
      <c r="G219" s="675" t="str">
        <f>"Nog af te bouwen regulatoir saldo einde "&amp;F217-1</f>
        <v>Nog af te bouwen regulatoir saldo einde 2017</v>
      </c>
      <c r="H219" s="675" t="str">
        <f>"Afbouw oudste openstaande regulatoir saldo vanaf boekjaar "&amp;F217-3&amp;" en vroeger, door aanwending van compensatie met regulatoir saldo ontstaan over boekjaar "&amp;F217-2</f>
        <v>Afbouw oudste openstaande regulatoir saldo vanaf boekjaar 2015 en vroeger, door aanwending van compensatie met regulatoir saldo ontstaan over boekjaar 2016</v>
      </c>
      <c r="I219" s="675" t="str">
        <f>"Nog af te bouwen regulatoir saldo na compensatie einde "&amp;F217-1</f>
        <v>Nog af te bouwen regulatoir saldo na compensatie einde 2017</v>
      </c>
      <c r="J219" s="675" t="str">
        <f>"Aanwending van "&amp;IF($B$7="elektriciteit","75%",IF($B$7="gas","40%","FALSE"))&amp;" van het geaccumuleerd regulatoir saldo door te rekenen volgens de tariefmethodologie in het boekjaar "&amp;F217</f>
        <v>Aanwending van 75% van het geaccumuleerd regulatoir saldo door te rekenen volgens de tariefmethodologie in het boekjaar 2018</v>
      </c>
      <c r="K219" s="675" t="str">
        <f>"Aanwending van "&amp;IF($B$7="elektriciteit","75%",IF($B$7="gas","40%","FALSE"))&amp;" van het geaccumuleerd regulatoir saldo door te rekenen volgens de tariefmethodologie in het boekjaar "&amp;F217</f>
        <v>Aanwending van 75% van het geaccumuleerd regulatoir saldo door te rekenen volgens de tariefmethodologie in het boekjaar 2018</v>
      </c>
      <c r="L219" s="675" t="str">
        <f>"Totale afbouw over "&amp;F217</f>
        <v>Totale afbouw over 2018</v>
      </c>
      <c r="M219" s="20"/>
      <c r="N219" s="675" t="str">
        <f>"Nog af te bouwen regulatoir saldo einde "&amp;F217</f>
        <v>Nog af te bouwen regulatoir saldo einde 2018</v>
      </c>
      <c r="O219" s="610"/>
    </row>
    <row r="220" spans="2:15" ht="13" x14ac:dyDescent="0.25">
      <c r="B220" s="1057">
        <v>2015</v>
      </c>
      <c r="C220" s="1058"/>
      <c r="D220" s="1058"/>
      <c r="E220" s="1059"/>
      <c r="F220" s="896"/>
      <c r="G220" s="839">
        <f>K215</f>
        <v>0</v>
      </c>
      <c r="H220" s="897">
        <f>IF(SIGN(G221*K215)&lt;0,IF(G220&lt;&gt;0,-SIGN(G220)*MIN(ABS(G221),ABS(G220)),0),0)</f>
        <v>0</v>
      </c>
      <c r="I220" s="839">
        <f>+G220+H220</f>
        <v>0</v>
      </c>
      <c r="J220" s="698"/>
      <c r="K220" s="897">
        <f>-MIN(ABS(I220),ABS(J222))*SIGN(I220)</f>
        <v>0</v>
      </c>
      <c r="L220" s="898">
        <f>+K220+H220</f>
        <v>0</v>
      </c>
      <c r="M220" s="20"/>
      <c r="N220" s="839">
        <f>+I220+K220</f>
        <v>0</v>
      </c>
      <c r="O220" s="610"/>
    </row>
    <row r="221" spans="2:15" ht="13" x14ac:dyDescent="0.25">
      <c r="B221" s="1057">
        <v>2016</v>
      </c>
      <c r="C221" s="1058"/>
      <c r="D221" s="1058"/>
      <c r="E221" s="1059"/>
      <c r="F221" s="896"/>
      <c r="G221" s="839">
        <f>H104</f>
        <v>0</v>
      </c>
      <c r="H221" s="898">
        <f>IF(SIGN(G221*K215)&lt;0,-H220,0)</f>
        <v>0</v>
      </c>
      <c r="I221" s="839">
        <f>+G221+H221</f>
        <v>0</v>
      </c>
      <c r="J221" s="698"/>
      <c r="K221" s="897">
        <f>-MIN(ABS(I221),ABS(J222-K220))*SIGN(I221)</f>
        <v>0</v>
      </c>
      <c r="L221" s="898">
        <f>+K221+H221</f>
        <v>0</v>
      </c>
      <c r="M221" s="20"/>
      <c r="N221" s="839">
        <f>+I221+K221</f>
        <v>0</v>
      </c>
      <c r="O221" s="610"/>
    </row>
    <row r="222" spans="2:15" s="18" customFormat="1" ht="13" x14ac:dyDescent="0.3">
      <c r="G222" s="899">
        <f>SUM(G220:G221)</f>
        <v>0</v>
      </c>
      <c r="H222" s="899">
        <f>SUM(H220:H221)</f>
        <v>0</v>
      </c>
      <c r="I222" s="899">
        <f>SUM(I220:I221)</f>
        <v>0</v>
      </c>
      <c r="J222" s="899">
        <f>-I222*IF($B$7="elektriciteit",0.75,IF($B$7="gas",0.4,"FALSE"))</f>
        <v>0</v>
      </c>
      <c r="K222" s="900">
        <f>SUM(K220:K221)</f>
        <v>0</v>
      </c>
      <c r="L222" s="901"/>
      <c r="N222" s="899">
        <f>SUM(N220:N221)</f>
        <v>0</v>
      </c>
    </row>
    <row r="223" spans="2:15" x14ac:dyDescent="0.25">
      <c r="M223" s="610"/>
    </row>
    <row r="224" spans="2:15" ht="13" x14ac:dyDescent="0.3">
      <c r="B224" s="18" t="s">
        <v>362</v>
      </c>
      <c r="F224" s="895">
        <v>2019</v>
      </c>
      <c r="M224" s="20"/>
    </row>
    <row r="225" spans="2:15" x14ac:dyDescent="0.25">
      <c r="M225" s="20"/>
    </row>
    <row r="226" spans="2:15" ht="75.75" customHeight="1" x14ac:dyDescent="0.25">
      <c r="B226" s="1060" t="s">
        <v>363</v>
      </c>
      <c r="C226" s="1061"/>
      <c r="D226" s="1061"/>
      <c r="E226" s="1062"/>
      <c r="F226" s="599"/>
      <c r="G226" s="675" t="str">
        <f>"Nog af te bouwen regulatoir saldo einde "&amp;F224-1</f>
        <v>Nog af te bouwen regulatoir saldo einde 2018</v>
      </c>
      <c r="H226" s="675" t="str">
        <f>"Afbouw oudste openstaande regulatoir saldo vanaf boekjaar "&amp;F224-3&amp;" en vroeger, door aanwending van compensatie met regulatoir saldo ontstaan over boekjaar "&amp;F224-2</f>
        <v>Afbouw oudste openstaande regulatoir saldo vanaf boekjaar 2016 en vroeger, door aanwending van compensatie met regulatoir saldo ontstaan over boekjaar 2017</v>
      </c>
      <c r="I226" s="675" t="str">
        <f>"Nog af te bouwen regulatoir saldo na compensatie einde "&amp;F224-1</f>
        <v>Nog af te bouwen regulatoir saldo na compensatie einde 2018</v>
      </c>
      <c r="J226" s="675" t="str">
        <f>"Aanwending van "&amp;IF($B$7="elektriciteit","75%",IF($B$7="gas","40%","FALSE"))&amp;" van het geaccumuleerd regulatoir saldo door te rekenen volgens de tariefmethodologie in het boekjaar "&amp;F224</f>
        <v>Aanwending van 75% van het geaccumuleerd regulatoir saldo door te rekenen volgens de tariefmethodologie in het boekjaar 2019</v>
      </c>
      <c r="K226" s="675" t="str">
        <f>"Aanwending van "&amp;IF($B$7="elektriciteit","75%",IF($B$7="gas","40%","FALSE"))&amp;" van het geaccumuleerd regulatoir saldo door te rekenen volgens de tariefmethodologie in het boekjaar "&amp;F224</f>
        <v>Aanwending van 75% van het geaccumuleerd regulatoir saldo door te rekenen volgens de tariefmethodologie in het boekjaar 2019</v>
      </c>
      <c r="L226" s="675" t="str">
        <f>"Totale afbouw over "&amp;F224</f>
        <v>Totale afbouw over 2019</v>
      </c>
      <c r="M226" s="20"/>
      <c r="N226" s="675" t="str">
        <f>"Nog af te bouwen regulatoir saldo einde "&amp;F224</f>
        <v>Nog af te bouwen regulatoir saldo einde 2019</v>
      </c>
      <c r="O226" s="610"/>
    </row>
    <row r="227" spans="2:15" ht="13" x14ac:dyDescent="0.25">
      <c r="B227" s="1057">
        <v>2015</v>
      </c>
      <c r="C227" s="1058"/>
      <c r="D227" s="1058"/>
      <c r="E227" s="1059"/>
      <c r="F227" s="896"/>
      <c r="G227" s="839">
        <f>+N220</f>
        <v>0</v>
      </c>
      <c r="H227" s="898">
        <f>IF(SIGN(G229*N222)&lt;0,IF(G227&lt;&gt;0,-SIGN(G227)*MIN(ABS(G229),ABS(G227)),0),0)</f>
        <v>0</v>
      </c>
      <c r="I227" s="839">
        <f>+G227+H227</f>
        <v>0</v>
      </c>
      <c r="J227" s="698"/>
      <c r="K227" s="897">
        <f>-MIN(ABS(I227),ABS(J230))*SIGN(I227)</f>
        <v>0</v>
      </c>
      <c r="L227" s="898">
        <f>+K227+H227</f>
        <v>0</v>
      </c>
      <c r="M227" s="20"/>
      <c r="N227" s="839">
        <f>+I227+K227</f>
        <v>0</v>
      </c>
      <c r="O227" s="610"/>
    </row>
    <row r="228" spans="2:15" ht="13" x14ac:dyDescent="0.25">
      <c r="B228" s="1057">
        <v>2016</v>
      </c>
      <c r="C228" s="1058"/>
      <c r="D228" s="1058">
        <v>2016</v>
      </c>
      <c r="E228" s="1059"/>
      <c r="F228" s="896"/>
      <c r="G228" s="839">
        <f>+N221</f>
        <v>0</v>
      </c>
      <c r="H228" s="898">
        <f>IF(SIGN(G229*N222)&lt;0,IF(G228&lt;&gt;0,-SIGN(G228)*MIN(ABS(G229-H227),ABS(G228)),0),0)</f>
        <v>0</v>
      </c>
      <c r="I228" s="839">
        <f>+G228+H228</f>
        <v>0</v>
      </c>
      <c r="J228" s="698"/>
      <c r="K228" s="897">
        <f>-MIN(ABS(I228),ABS(J230-K227))*SIGN(I228)</f>
        <v>0</v>
      </c>
      <c r="L228" s="898">
        <f>+K228+H228</f>
        <v>0</v>
      </c>
      <c r="M228" s="20"/>
      <c r="N228" s="839">
        <f>+I228+K228</f>
        <v>0</v>
      </c>
      <c r="O228" s="610"/>
    </row>
    <row r="229" spans="2:15" ht="13" x14ac:dyDescent="0.25">
      <c r="B229" s="1057">
        <v>2017</v>
      </c>
      <c r="C229" s="1058"/>
      <c r="D229" s="1058"/>
      <c r="E229" s="1059"/>
      <c r="F229" s="896"/>
      <c r="G229" s="839">
        <f>I105</f>
        <v>0</v>
      </c>
      <c r="H229" s="898">
        <f>IF(SIGN(G229*N222)&lt;0,-SUM(H227:H228),0)</f>
        <v>0</v>
      </c>
      <c r="I229" s="839">
        <f>+G229+H229</f>
        <v>0</v>
      </c>
      <c r="J229" s="698"/>
      <c r="K229" s="897">
        <f>-MIN(ABS(I229),ABS(J230-K227-K228))*SIGN(I229)</f>
        <v>0</v>
      </c>
      <c r="L229" s="898">
        <f>+K229+H229</f>
        <v>0</v>
      </c>
      <c r="M229" s="20"/>
      <c r="N229" s="839">
        <f>+I229+K229</f>
        <v>0</v>
      </c>
      <c r="O229" s="610"/>
    </row>
    <row r="230" spans="2:15" s="18" customFormat="1" ht="13" x14ac:dyDescent="0.3">
      <c r="G230" s="899">
        <f>SUM(G227:G229)</f>
        <v>0</v>
      </c>
      <c r="H230" s="899">
        <f>SUM(H227:H229)</f>
        <v>0</v>
      </c>
      <c r="I230" s="899">
        <f>SUM(I227:I229)</f>
        <v>0</v>
      </c>
      <c r="J230" s="899">
        <f>-I230*IF($B$7="elektriciteit",0.75,IF($B$7="gas",0.4,"FALSE"))</f>
        <v>0</v>
      </c>
      <c r="K230" s="900">
        <f>SUM(K227:K229)</f>
        <v>0</v>
      </c>
      <c r="L230" s="901"/>
      <c r="N230" s="899">
        <f>SUM(N227:N229)</f>
        <v>0</v>
      </c>
    </row>
    <row r="231" spans="2:15" x14ac:dyDescent="0.25">
      <c r="M231" s="610"/>
    </row>
    <row r="232" spans="2:15" ht="13" x14ac:dyDescent="0.3">
      <c r="B232" s="18" t="s">
        <v>362</v>
      </c>
      <c r="F232" s="895">
        <v>2020</v>
      </c>
      <c r="M232" s="20"/>
    </row>
    <row r="233" spans="2:15" x14ac:dyDescent="0.25">
      <c r="M233" s="20"/>
    </row>
    <row r="234" spans="2:15" ht="78" customHeight="1" x14ac:dyDescent="0.25">
      <c r="B234" s="1060" t="s">
        <v>363</v>
      </c>
      <c r="C234" s="1061"/>
      <c r="D234" s="1061"/>
      <c r="E234" s="1062"/>
      <c r="F234" s="599"/>
      <c r="G234" s="675" t="str">
        <f>"Nog af te bouwen regulatoir saldo einde "&amp;F232-1</f>
        <v>Nog af te bouwen regulatoir saldo einde 2019</v>
      </c>
      <c r="H234" s="675" t="str">
        <f>"Afbouw oudste openstaande regulatoir saldo vanaf boekjaar "&amp;F232-3&amp;" en vroeger, door aanwending van compensatie met regulatoir saldo ontstaan over boekjaar "&amp;F232-2</f>
        <v>Afbouw oudste openstaande regulatoir saldo vanaf boekjaar 2017 en vroeger, door aanwending van compensatie met regulatoir saldo ontstaan over boekjaar 2018</v>
      </c>
      <c r="I234" s="675" t="str">
        <f>"Nog af te bouwen regulatoir saldo na compensatie einde "&amp;F232-1</f>
        <v>Nog af te bouwen regulatoir saldo na compensatie einde 2019</v>
      </c>
      <c r="J234" s="675" t="str">
        <f>"Aanwending van "&amp;IF($B$7="elektriciteit","75%",IF($B$7="gas","40%","FALSE"))&amp;" van het geaccumuleerd regulatoir saldo door te rekenen volgens de tariefmethodologie in het boekjaar "&amp;F232</f>
        <v>Aanwending van 75% van het geaccumuleerd regulatoir saldo door te rekenen volgens de tariefmethodologie in het boekjaar 2020</v>
      </c>
      <c r="K234" s="675" t="str">
        <f>"Aanwending van "&amp;IF($B$7="elektriciteit","75%",IF($B$7="gas","40%","FALSE"))&amp;" van het geaccumuleerd regulatoir saldo door te rekenen volgens de tariefmethodologie in het boekjaar "&amp;F232</f>
        <v>Aanwending van 75% van het geaccumuleerd regulatoir saldo door te rekenen volgens de tariefmethodologie in het boekjaar 2020</v>
      </c>
      <c r="L234" s="675" t="str">
        <f>"Totale afbouw over "&amp;F232</f>
        <v>Totale afbouw over 2020</v>
      </c>
      <c r="M234" s="20"/>
      <c r="N234" s="675" t="str">
        <f>"Nog af te bouwen regulatoir saldo einde "&amp;F232</f>
        <v>Nog af te bouwen regulatoir saldo einde 2020</v>
      </c>
      <c r="O234" s="610"/>
    </row>
    <row r="235" spans="2:15" ht="13" x14ac:dyDescent="0.25">
      <c r="B235" s="1057">
        <v>2015</v>
      </c>
      <c r="C235" s="1058"/>
      <c r="D235" s="1058"/>
      <c r="E235" s="1059"/>
      <c r="F235" s="896"/>
      <c r="G235" s="839">
        <f>+N227</f>
        <v>0</v>
      </c>
      <c r="H235" s="898">
        <f>IF(SIGN(G238*N230)&lt;0,IF(G235&lt;&gt;0,-SIGN(G235)*MIN(ABS(G238),ABS(G235)),0),0)</f>
        <v>0</v>
      </c>
      <c r="I235" s="839">
        <f>+G235+H235</f>
        <v>0</v>
      </c>
      <c r="J235" s="698"/>
      <c r="K235" s="897">
        <f>-MIN(ABS(I235),ABS(J239))*SIGN(I235)</f>
        <v>0</v>
      </c>
      <c r="L235" s="898">
        <f>+K235+H235</f>
        <v>0</v>
      </c>
      <c r="M235" s="20"/>
      <c r="N235" s="839">
        <f>+I235+K235</f>
        <v>0</v>
      </c>
      <c r="O235" s="610"/>
    </row>
    <row r="236" spans="2:15" ht="13" x14ac:dyDescent="0.25">
      <c r="B236" s="1057">
        <v>2016</v>
      </c>
      <c r="C236" s="1058"/>
      <c r="D236" s="1058"/>
      <c r="E236" s="1059"/>
      <c r="F236" s="896"/>
      <c r="G236" s="839">
        <f>+N228</f>
        <v>0</v>
      </c>
      <c r="H236" s="898">
        <f>IF(SIGN(G238*N230)&lt;0,IF(G236&lt;&gt;0,-SIGN(G236)*MIN(ABS(G238-H235),ABS(G236)),0),0)</f>
        <v>0</v>
      </c>
      <c r="I236" s="839">
        <f>+G236+H236</f>
        <v>0</v>
      </c>
      <c r="J236" s="698"/>
      <c r="K236" s="897">
        <f>-MIN(ABS(I236),ABS(J239-K235))*SIGN(I236)</f>
        <v>0</v>
      </c>
      <c r="L236" s="898">
        <f>+K236+H236</f>
        <v>0</v>
      </c>
      <c r="M236" s="20"/>
      <c r="N236" s="839">
        <f>+I236+K236</f>
        <v>0</v>
      </c>
      <c r="O236" s="610"/>
    </row>
    <row r="237" spans="2:15" ht="13" x14ac:dyDescent="0.25">
      <c r="B237" s="1057">
        <v>2017</v>
      </c>
      <c r="C237" s="1058"/>
      <c r="D237" s="1058">
        <v>2016</v>
      </c>
      <c r="E237" s="1059"/>
      <c r="F237" s="896"/>
      <c r="G237" s="839">
        <f>+N229</f>
        <v>0</v>
      </c>
      <c r="H237" s="898">
        <f>IF(SIGN(G238*N230)&lt;0,IF(G237&lt;&gt;0,-SIGN(G237)*MIN(ABS(G238-H235-H236),ABS(G237)),0),0)</f>
        <v>0</v>
      </c>
      <c r="I237" s="839">
        <f>+G237+H237</f>
        <v>0</v>
      </c>
      <c r="J237" s="698"/>
      <c r="K237" s="897">
        <f>-MIN(ABS(I237),ABS(J239-K235-K236))*SIGN(I237)</f>
        <v>0</v>
      </c>
      <c r="L237" s="898">
        <f>+K237+H237</f>
        <v>0</v>
      </c>
      <c r="M237" s="20"/>
      <c r="N237" s="839">
        <f>+I237+K237</f>
        <v>0</v>
      </c>
      <c r="O237" s="610"/>
    </row>
    <row r="238" spans="2:15" ht="13" x14ac:dyDescent="0.25">
      <c r="B238" s="1057">
        <v>2018</v>
      </c>
      <c r="C238" s="1058"/>
      <c r="D238" s="1058"/>
      <c r="E238" s="1059"/>
      <c r="F238" s="896"/>
      <c r="G238" s="839">
        <f>J106</f>
        <v>0</v>
      </c>
      <c r="H238" s="898">
        <f>IF(SIGN(G238*N230)&lt;0,-SUM(H235:H237),0)</f>
        <v>0</v>
      </c>
      <c r="I238" s="839">
        <f>+G238+H238</f>
        <v>0</v>
      </c>
      <c r="J238" s="698"/>
      <c r="K238" s="897">
        <f>-MIN(ABS(I238),ABS(J239-K235-K236-K237))*SIGN(I238)</f>
        <v>0</v>
      </c>
      <c r="L238" s="898">
        <f>+K238+H238</f>
        <v>0</v>
      </c>
      <c r="M238" s="20"/>
      <c r="N238" s="839">
        <f>+I238+K238</f>
        <v>0</v>
      </c>
      <c r="O238" s="610"/>
    </row>
    <row r="239" spans="2:15" s="18" customFormat="1" ht="13" x14ac:dyDescent="0.3">
      <c r="G239" s="899">
        <f>SUM(G235:G238)</f>
        <v>0</v>
      </c>
      <c r="H239" s="899">
        <f>SUM(H235:H238)</f>
        <v>0</v>
      </c>
      <c r="I239" s="899">
        <f>SUM(I235:I238)</f>
        <v>0</v>
      </c>
      <c r="J239" s="899">
        <f>-I239*IF($B$7="elektriciteit",0.75,IF($B$7="gas",0.4,"FALSE"))</f>
        <v>0</v>
      </c>
      <c r="K239" s="900">
        <f>SUM(K235:K238)</f>
        <v>0</v>
      </c>
      <c r="L239" s="900"/>
      <c r="N239" s="899">
        <f>SUM(N235:N238)</f>
        <v>0</v>
      </c>
    </row>
    <row r="242" spans="2:14" ht="13" x14ac:dyDescent="0.3">
      <c r="B242" s="18" t="s">
        <v>364</v>
      </c>
      <c r="C242" s="381"/>
      <c r="D242" s="381"/>
      <c r="E242" s="381"/>
    </row>
    <row r="243" spans="2:14" ht="13" x14ac:dyDescent="0.3">
      <c r="B243" s="18"/>
      <c r="C243" s="381"/>
      <c r="D243" s="381"/>
      <c r="E243" s="381"/>
    </row>
    <row r="244" spans="2:14" ht="13" x14ac:dyDescent="0.3">
      <c r="B244" s="864">
        <f>F212</f>
        <v>2017</v>
      </c>
      <c r="C244" s="906">
        <f>J215</f>
        <v>0</v>
      </c>
      <c r="D244" s="381"/>
      <c r="E244" s="381"/>
    </row>
    <row r="245" spans="2:14" ht="13" x14ac:dyDescent="0.3">
      <c r="B245" s="864">
        <f>F217</f>
        <v>2018</v>
      </c>
      <c r="C245" s="906">
        <f>K222</f>
        <v>0</v>
      </c>
      <c r="D245" s="381"/>
      <c r="E245" s="381"/>
    </row>
    <row r="246" spans="2:14" ht="13" x14ac:dyDescent="0.3">
      <c r="B246" s="864">
        <f>F224</f>
        <v>2019</v>
      </c>
      <c r="C246" s="906">
        <f>K230</f>
        <v>0</v>
      </c>
      <c r="D246" s="381"/>
      <c r="E246" s="381"/>
    </row>
    <row r="247" spans="2:14" ht="13" x14ac:dyDescent="0.3">
      <c r="B247" s="864">
        <f>F232</f>
        <v>2020</v>
      </c>
      <c r="C247" s="906">
        <f>K239</f>
        <v>0</v>
      </c>
      <c r="D247" s="381"/>
      <c r="E247" s="381"/>
    </row>
    <row r="248" spans="2:14" x14ac:dyDescent="0.25">
      <c r="M248" s="610"/>
    </row>
    <row r="249" spans="2:14" x14ac:dyDescent="0.25">
      <c r="M249" s="610"/>
    </row>
    <row r="250" spans="2:14" ht="13" x14ac:dyDescent="0.3">
      <c r="B250" s="902" t="s">
        <v>133</v>
      </c>
      <c r="C250" s="903"/>
      <c r="D250" s="903"/>
      <c r="E250" s="903"/>
      <c r="F250" s="904"/>
      <c r="G250" s="904"/>
      <c r="H250" s="904"/>
      <c r="I250" s="904"/>
      <c r="J250" s="904"/>
      <c r="K250" s="904"/>
      <c r="L250" s="904"/>
      <c r="M250" s="905"/>
      <c r="N250" s="904"/>
    </row>
    <row r="251" spans="2:14" x14ac:dyDescent="0.25">
      <c r="M251" s="610"/>
    </row>
    <row r="252" spans="2:14" ht="13" x14ac:dyDescent="0.3">
      <c r="B252" s="18" t="s">
        <v>362</v>
      </c>
      <c r="F252" s="895">
        <v>2017</v>
      </c>
      <c r="M252" s="610"/>
    </row>
    <row r="253" spans="2:14" x14ac:dyDescent="0.25">
      <c r="L253" s="610"/>
      <c r="M253" s="20"/>
    </row>
    <row r="254" spans="2:14" ht="82.5" customHeight="1" x14ac:dyDescent="0.25">
      <c r="B254" s="1060" t="s">
        <v>363</v>
      </c>
      <c r="C254" s="1061"/>
      <c r="D254" s="1061"/>
      <c r="E254" s="1062"/>
      <c r="F254" s="599"/>
      <c r="G254" s="675" t="str">
        <f>"Nog af te bouwen regulatoir saldo einde "&amp;F252-1</f>
        <v>Nog af te bouwen regulatoir saldo einde 2016</v>
      </c>
      <c r="H254" s="675" t="str">
        <f>"Afbouw oudste openstaande regulatoir saldo vanaf boekjaar "&amp;F252-3&amp;" en vroeger, door aanwending van compensatie met regulatoir saldo ontstaan over boekjaar "&amp;F252-2</f>
        <v>Afbouw oudste openstaande regulatoir saldo vanaf boekjaar 2014 en vroeger, door aanwending van compensatie met regulatoir saldo ontstaan over boekjaar 2015</v>
      </c>
      <c r="I254" s="675" t="str">
        <f>"Nog af te bouwen regulatoir saldo na compensatie einde "&amp;F252-1</f>
        <v>Nog af te bouwen regulatoir saldo na compensatie einde 2016</v>
      </c>
      <c r="J254" s="675" t="str">
        <f>"Aanwending van "&amp;IF($B$7="elektriciteit","75%",IF($B$7="gas","40%","FALSE"))&amp;" van het geaccumuleerd regulatoir saldo door te rekenen volgens de tariefmethodologie in het boekjaar "&amp;F252</f>
        <v>Aanwending van 75% van het geaccumuleerd regulatoir saldo door te rekenen volgens de tariefmethodologie in het boekjaar 2017</v>
      </c>
      <c r="K254" s="675" t="str">
        <f>"Nog af te bouwen regulatoir saldo einde "&amp;F252</f>
        <v>Nog af te bouwen regulatoir saldo einde 2017</v>
      </c>
      <c r="L254" s="610"/>
      <c r="M254" s="20"/>
    </row>
    <row r="255" spans="2:14" ht="13" x14ac:dyDescent="0.25">
      <c r="B255" s="1057">
        <v>2015</v>
      </c>
      <c r="C255" s="1058"/>
      <c r="D255" s="1058"/>
      <c r="E255" s="1059"/>
      <c r="F255" s="896"/>
      <c r="G255" s="839">
        <f>G110</f>
        <v>0</v>
      </c>
      <c r="H255" s="897">
        <v>0</v>
      </c>
      <c r="I255" s="839">
        <f>+G255+H255</f>
        <v>0</v>
      </c>
      <c r="J255" s="839">
        <f>-I255*IF($B$7="elektriciteit",0.75,IF($B$7="gas",0.4,"FALSE"))</f>
        <v>0</v>
      </c>
      <c r="K255" s="908">
        <f>+J255+G255</f>
        <v>0</v>
      </c>
      <c r="L255" s="610"/>
      <c r="M255" s="20"/>
    </row>
    <row r="256" spans="2:14" x14ac:dyDescent="0.25">
      <c r="L256" s="610"/>
      <c r="M256" s="20"/>
    </row>
    <row r="257" spans="2:15" ht="13" x14ac:dyDescent="0.3">
      <c r="B257" s="18" t="s">
        <v>362</v>
      </c>
      <c r="F257" s="895">
        <v>2018</v>
      </c>
      <c r="M257" s="610"/>
    </row>
    <row r="258" spans="2:15" x14ac:dyDescent="0.25">
      <c r="M258" s="610"/>
    </row>
    <row r="259" spans="2:15" ht="69.75" customHeight="1" x14ac:dyDescent="0.25">
      <c r="B259" s="1060" t="s">
        <v>363</v>
      </c>
      <c r="C259" s="1061"/>
      <c r="D259" s="1061"/>
      <c r="E259" s="1062"/>
      <c r="F259" s="599"/>
      <c r="G259" s="675" t="str">
        <f>"Nog af te bouwen regulatoir saldo einde "&amp;F257-1</f>
        <v>Nog af te bouwen regulatoir saldo einde 2017</v>
      </c>
      <c r="H259" s="675" t="str">
        <f>"Afbouw oudste openstaande regulatoir saldo vanaf boekjaar "&amp;F257-3&amp;" en vroeger, door aanwending van compensatie met regulatoir saldo ontstaan over boekjaar "&amp;F257-2</f>
        <v>Afbouw oudste openstaande regulatoir saldo vanaf boekjaar 2015 en vroeger, door aanwending van compensatie met regulatoir saldo ontstaan over boekjaar 2016</v>
      </c>
      <c r="I259" s="675" t="str">
        <f>"Nog af te bouwen regulatoir saldo na compensatie einde "&amp;F257-1</f>
        <v>Nog af te bouwen regulatoir saldo na compensatie einde 2017</v>
      </c>
      <c r="J259" s="675" t="str">
        <f>"Aanwending van "&amp;IF($B$7="elektriciteit","75%",IF($B$7="gas","40%","FALSE"))&amp;" van het geaccumuleerd regulatoir saldo door te rekenen volgens de tariefmethodologie in het boekjaar "&amp;F257</f>
        <v>Aanwending van 75% van het geaccumuleerd regulatoir saldo door te rekenen volgens de tariefmethodologie in het boekjaar 2018</v>
      </c>
      <c r="K259" s="675" t="str">
        <f>"Aanwending van "&amp;IF($B$7="elektriciteit","75%",IF($B$7="gas","40%","FALSE"))&amp;" van het geaccumuleerd regulatoir saldo door te rekenen volgens de tariefmethodologie in het boekjaar "&amp;F257</f>
        <v>Aanwending van 75% van het geaccumuleerd regulatoir saldo door te rekenen volgens de tariefmethodologie in het boekjaar 2018</v>
      </c>
      <c r="L259" s="675" t="str">
        <f>"Totale afbouw over "&amp;F257</f>
        <v>Totale afbouw over 2018</v>
      </c>
      <c r="M259" s="20"/>
      <c r="N259" s="675" t="str">
        <f>"Nog af te bouwen regulatoir saldo einde "&amp;F257</f>
        <v>Nog af te bouwen regulatoir saldo einde 2018</v>
      </c>
      <c r="O259" s="610"/>
    </row>
    <row r="260" spans="2:15" ht="13" x14ac:dyDescent="0.25">
      <c r="B260" s="1057">
        <v>2015</v>
      </c>
      <c r="C260" s="1058"/>
      <c r="D260" s="1058"/>
      <c r="E260" s="1059"/>
      <c r="F260" s="896"/>
      <c r="G260" s="839">
        <f>K255</f>
        <v>0</v>
      </c>
      <c r="H260" s="897">
        <f>IF(SIGN(G261*K255)&lt;0,IF(G260&lt;&gt;0,-SIGN(G260)*MIN(ABS(G261),ABS(G260)),0),0)</f>
        <v>0</v>
      </c>
      <c r="I260" s="839">
        <f>+G260+H260</f>
        <v>0</v>
      </c>
      <c r="J260" s="698"/>
      <c r="K260" s="897">
        <f>-MIN(ABS(I260),ABS(J262))*SIGN(I260)</f>
        <v>0</v>
      </c>
      <c r="L260" s="898">
        <f>+K260+H260</f>
        <v>0</v>
      </c>
      <c r="M260" s="20"/>
      <c r="N260" s="839">
        <f>+I260+K260</f>
        <v>0</v>
      </c>
      <c r="O260" s="610"/>
    </row>
    <row r="261" spans="2:15" ht="13" x14ac:dyDescent="0.25">
      <c r="B261" s="1057">
        <v>2016</v>
      </c>
      <c r="C261" s="1058"/>
      <c r="D261" s="1058"/>
      <c r="E261" s="1059"/>
      <c r="F261" s="896"/>
      <c r="G261" s="839">
        <f>H111</f>
        <v>0</v>
      </c>
      <c r="H261" s="898">
        <f>IF(SIGN(G261*K255)&lt;0,-H260,0)</f>
        <v>0</v>
      </c>
      <c r="I261" s="839">
        <f>+G261+H261</f>
        <v>0</v>
      </c>
      <c r="J261" s="698"/>
      <c r="K261" s="897">
        <f>-MIN(ABS(I261),ABS(J262-K260))*SIGN(I261)</f>
        <v>0</v>
      </c>
      <c r="L261" s="898">
        <f>+K261+H261</f>
        <v>0</v>
      </c>
      <c r="M261" s="20"/>
      <c r="N261" s="839">
        <f>+I261+K261</f>
        <v>0</v>
      </c>
      <c r="O261" s="610"/>
    </row>
    <row r="262" spans="2:15" s="18" customFormat="1" ht="13" x14ac:dyDescent="0.3">
      <c r="G262" s="899">
        <f>SUM(G260:G261)</f>
        <v>0</v>
      </c>
      <c r="H262" s="899">
        <f>SUM(H260:H261)</f>
        <v>0</v>
      </c>
      <c r="I262" s="899">
        <f>SUM(I260:I261)</f>
        <v>0</v>
      </c>
      <c r="J262" s="899">
        <f>-I262*IF($B$7="elektriciteit",0.75,IF($B$7="gas",0.4,"FALSE"))</f>
        <v>0</v>
      </c>
      <c r="K262" s="900">
        <f>SUM(K260:K261)</f>
        <v>0</v>
      </c>
      <c r="L262" s="901"/>
      <c r="N262" s="899">
        <f>SUM(N260:N261)</f>
        <v>0</v>
      </c>
    </row>
    <row r="263" spans="2:15" x14ac:dyDescent="0.25">
      <c r="M263" s="610"/>
    </row>
    <row r="264" spans="2:15" ht="13" x14ac:dyDescent="0.3">
      <c r="B264" s="18" t="s">
        <v>362</v>
      </c>
      <c r="F264" s="895">
        <v>2019</v>
      </c>
      <c r="M264" s="20"/>
    </row>
    <row r="265" spans="2:15" x14ac:dyDescent="0.25">
      <c r="M265" s="20"/>
    </row>
    <row r="266" spans="2:15" ht="75.75" customHeight="1" x14ac:dyDescent="0.25">
      <c r="B266" s="1060" t="s">
        <v>363</v>
      </c>
      <c r="C266" s="1061"/>
      <c r="D266" s="1061"/>
      <c r="E266" s="1062"/>
      <c r="F266" s="599"/>
      <c r="G266" s="675" t="str">
        <f>"Nog af te bouwen regulatoir saldo einde "&amp;F264-1</f>
        <v>Nog af te bouwen regulatoir saldo einde 2018</v>
      </c>
      <c r="H266" s="675" t="str">
        <f>"Afbouw oudste openstaande regulatoir saldo vanaf boekjaar "&amp;F264-3&amp;" en vroeger, door aanwending van compensatie met regulatoir saldo ontstaan over boekjaar "&amp;F264-2</f>
        <v>Afbouw oudste openstaande regulatoir saldo vanaf boekjaar 2016 en vroeger, door aanwending van compensatie met regulatoir saldo ontstaan over boekjaar 2017</v>
      </c>
      <c r="I266" s="675" t="str">
        <f>"Nog af te bouwen regulatoir saldo na compensatie einde "&amp;F264-1</f>
        <v>Nog af te bouwen regulatoir saldo na compensatie einde 2018</v>
      </c>
      <c r="J266" s="675" t="str">
        <f>"Aanwending van "&amp;IF($B$7="elektriciteit","75%",IF($B$7="gas","40%","FALSE"))&amp;" van het geaccumuleerd regulatoir saldo door te rekenen volgens de tariefmethodologie in het boekjaar "&amp;F264</f>
        <v>Aanwending van 75% van het geaccumuleerd regulatoir saldo door te rekenen volgens de tariefmethodologie in het boekjaar 2019</v>
      </c>
      <c r="K266" s="675" t="str">
        <f>"Aanwending van "&amp;IF($B$7="elektriciteit","75%",IF($B$7="gas","40%","FALSE"))&amp;" van het geaccumuleerd regulatoir saldo door te rekenen volgens de tariefmethodologie in het boekjaar "&amp;F264</f>
        <v>Aanwending van 75% van het geaccumuleerd regulatoir saldo door te rekenen volgens de tariefmethodologie in het boekjaar 2019</v>
      </c>
      <c r="L266" s="675" t="str">
        <f>"Totale afbouw over "&amp;F264</f>
        <v>Totale afbouw over 2019</v>
      </c>
      <c r="M266" s="20"/>
      <c r="N266" s="675" t="str">
        <f>"Nog af te bouwen regulatoir saldo einde "&amp;F264</f>
        <v>Nog af te bouwen regulatoir saldo einde 2019</v>
      </c>
      <c r="O266" s="610"/>
    </row>
    <row r="267" spans="2:15" ht="13" x14ac:dyDescent="0.25">
      <c r="B267" s="1057">
        <v>2015</v>
      </c>
      <c r="C267" s="1058"/>
      <c r="D267" s="1058"/>
      <c r="E267" s="1059"/>
      <c r="F267" s="896"/>
      <c r="G267" s="839">
        <f>+N260</f>
        <v>0</v>
      </c>
      <c r="H267" s="898">
        <f>IF(SIGN(G269*N262)&lt;0,IF(G267&lt;&gt;0,-SIGN(G267)*MIN(ABS(G269),ABS(G267)),0),0)</f>
        <v>0</v>
      </c>
      <c r="I267" s="839">
        <f>+G267+H267</f>
        <v>0</v>
      </c>
      <c r="J267" s="698"/>
      <c r="K267" s="897">
        <f>-MIN(ABS(I267),ABS(J270))*SIGN(I267)</f>
        <v>0</v>
      </c>
      <c r="L267" s="898">
        <f>+K267+H267</f>
        <v>0</v>
      </c>
      <c r="M267" s="20"/>
      <c r="N267" s="839">
        <f>+I267+K267</f>
        <v>0</v>
      </c>
      <c r="O267" s="610"/>
    </row>
    <row r="268" spans="2:15" ht="13" x14ac:dyDescent="0.25">
      <c r="B268" s="1057">
        <v>2016</v>
      </c>
      <c r="C268" s="1058"/>
      <c r="D268" s="1058">
        <v>2016</v>
      </c>
      <c r="E268" s="1059"/>
      <c r="F268" s="896"/>
      <c r="G268" s="839">
        <f>+N261</f>
        <v>0</v>
      </c>
      <c r="H268" s="898">
        <f>IF(SIGN(G269*N262)&lt;0,IF(G268&lt;&gt;0,-SIGN(G268)*MIN(ABS(G269-H267),ABS(G268)),0),0)</f>
        <v>0</v>
      </c>
      <c r="I268" s="839">
        <f>+G268+H268</f>
        <v>0</v>
      </c>
      <c r="J268" s="698"/>
      <c r="K268" s="897">
        <f>-MIN(ABS(I268),ABS(J270-K267))*SIGN(I268)</f>
        <v>0</v>
      </c>
      <c r="L268" s="898">
        <f>+K268+H268</f>
        <v>0</v>
      </c>
      <c r="M268" s="20"/>
      <c r="N268" s="839">
        <f>+I268+K268</f>
        <v>0</v>
      </c>
      <c r="O268" s="610"/>
    </row>
    <row r="269" spans="2:15" ht="13" x14ac:dyDescent="0.25">
      <c r="B269" s="1057">
        <v>2017</v>
      </c>
      <c r="C269" s="1058"/>
      <c r="D269" s="1058"/>
      <c r="E269" s="1059"/>
      <c r="F269" s="896"/>
      <c r="G269" s="839">
        <f>I112</f>
        <v>0</v>
      </c>
      <c r="H269" s="898">
        <f>IF(SIGN(G269*N262)&lt;0,-SUM(H267:H268),0)</f>
        <v>0</v>
      </c>
      <c r="I269" s="839">
        <f>+G269+H269</f>
        <v>0</v>
      </c>
      <c r="J269" s="698"/>
      <c r="K269" s="897">
        <f>-MIN(ABS(I269),ABS(J270-K267-K268))*SIGN(I269)</f>
        <v>0</v>
      </c>
      <c r="L269" s="898">
        <f>+K269+H269</f>
        <v>0</v>
      </c>
      <c r="M269" s="20"/>
      <c r="N269" s="839">
        <f>+I269+K269</f>
        <v>0</v>
      </c>
      <c r="O269" s="610"/>
    </row>
    <row r="270" spans="2:15" s="18" customFormat="1" ht="13" x14ac:dyDescent="0.3">
      <c r="G270" s="899">
        <f>SUM(G267:G269)</f>
        <v>0</v>
      </c>
      <c r="H270" s="899">
        <f>SUM(H267:H269)</f>
        <v>0</v>
      </c>
      <c r="I270" s="899">
        <f>SUM(I267:I269)</f>
        <v>0</v>
      </c>
      <c r="J270" s="899">
        <f>-I270*IF($B$7="elektriciteit",0.75,IF($B$7="gas",0.4,"FALSE"))</f>
        <v>0</v>
      </c>
      <c r="K270" s="900">
        <f>SUM(K267:K269)</f>
        <v>0</v>
      </c>
      <c r="L270" s="901"/>
      <c r="N270" s="899">
        <f>SUM(N267:N269)</f>
        <v>0</v>
      </c>
    </row>
    <row r="271" spans="2:15" x14ac:dyDescent="0.25">
      <c r="M271" s="610"/>
    </row>
    <row r="272" spans="2:15" ht="13" x14ac:dyDescent="0.3">
      <c r="B272" s="18" t="s">
        <v>362</v>
      </c>
      <c r="F272" s="895">
        <v>2020</v>
      </c>
      <c r="M272" s="20"/>
    </row>
    <row r="273" spans="2:15" x14ac:dyDescent="0.25">
      <c r="M273" s="20"/>
    </row>
    <row r="274" spans="2:15" ht="78" customHeight="1" x14ac:dyDescent="0.25">
      <c r="B274" s="1060" t="s">
        <v>363</v>
      </c>
      <c r="C274" s="1061"/>
      <c r="D274" s="1061"/>
      <c r="E274" s="1062"/>
      <c r="F274" s="599"/>
      <c r="G274" s="675" t="str">
        <f>"Nog af te bouwen regulatoir saldo einde "&amp;F272-1</f>
        <v>Nog af te bouwen regulatoir saldo einde 2019</v>
      </c>
      <c r="H274" s="675" t="str">
        <f>"Afbouw oudste openstaande regulatoir saldo vanaf boekjaar "&amp;F272-3&amp;" en vroeger, door aanwending van compensatie met regulatoir saldo ontstaan over boekjaar "&amp;F272-2</f>
        <v>Afbouw oudste openstaande regulatoir saldo vanaf boekjaar 2017 en vroeger, door aanwending van compensatie met regulatoir saldo ontstaan over boekjaar 2018</v>
      </c>
      <c r="I274" s="675" t="str">
        <f>"Nog af te bouwen regulatoir saldo na compensatie einde "&amp;F272-1</f>
        <v>Nog af te bouwen regulatoir saldo na compensatie einde 2019</v>
      </c>
      <c r="J274" s="675" t="str">
        <f>"Aanwending van "&amp;IF($B$7="elektriciteit","75%",IF($B$7="gas","40%","FALSE"))&amp;" van het geaccumuleerd regulatoir saldo door te rekenen volgens de tariefmethodologie in het boekjaar "&amp;F272</f>
        <v>Aanwending van 75% van het geaccumuleerd regulatoir saldo door te rekenen volgens de tariefmethodologie in het boekjaar 2020</v>
      </c>
      <c r="K274" s="675" t="str">
        <f>"Aanwending van "&amp;IF($B$7="elektriciteit","75%",IF($B$7="gas","40%","FALSE"))&amp;" van het geaccumuleerd regulatoir saldo door te rekenen volgens de tariefmethodologie in het boekjaar "&amp;F272</f>
        <v>Aanwending van 75% van het geaccumuleerd regulatoir saldo door te rekenen volgens de tariefmethodologie in het boekjaar 2020</v>
      </c>
      <c r="L274" s="675" t="str">
        <f>"Totale afbouw over "&amp;F272</f>
        <v>Totale afbouw over 2020</v>
      </c>
      <c r="M274" s="20"/>
      <c r="N274" s="675" t="str">
        <f>"Nog af te bouwen regulatoir saldo einde "&amp;F272</f>
        <v>Nog af te bouwen regulatoir saldo einde 2020</v>
      </c>
      <c r="O274" s="610"/>
    </row>
    <row r="275" spans="2:15" ht="13" x14ac:dyDescent="0.25">
      <c r="B275" s="1057">
        <v>2015</v>
      </c>
      <c r="C275" s="1058"/>
      <c r="D275" s="1058"/>
      <c r="E275" s="1059"/>
      <c r="F275" s="896"/>
      <c r="G275" s="839">
        <f>+N267</f>
        <v>0</v>
      </c>
      <c r="H275" s="898">
        <f>IF(SIGN(G278*N270)&lt;0,IF(G275&lt;&gt;0,-SIGN(G275)*MIN(ABS(G278),ABS(G275)),0),0)</f>
        <v>0</v>
      </c>
      <c r="I275" s="839">
        <f>+G275+H275</f>
        <v>0</v>
      </c>
      <c r="J275" s="698"/>
      <c r="K275" s="897">
        <f>-MIN(ABS(I275),ABS(J279))*SIGN(I275)</f>
        <v>0</v>
      </c>
      <c r="L275" s="898">
        <f>+K275+H275</f>
        <v>0</v>
      </c>
      <c r="M275" s="20"/>
      <c r="N275" s="839">
        <f>+I275+K275</f>
        <v>0</v>
      </c>
      <c r="O275" s="610"/>
    </row>
    <row r="276" spans="2:15" ht="13" x14ac:dyDescent="0.25">
      <c r="B276" s="1057">
        <v>2016</v>
      </c>
      <c r="C276" s="1058"/>
      <c r="D276" s="1058"/>
      <c r="E276" s="1059"/>
      <c r="F276" s="896"/>
      <c r="G276" s="839">
        <f>+N268</f>
        <v>0</v>
      </c>
      <c r="H276" s="898">
        <f>IF(SIGN(G278*N270)&lt;0,IF(G276&lt;&gt;0,-SIGN(G276)*MIN(ABS(G278-H275),ABS(G276)),0),0)</f>
        <v>0</v>
      </c>
      <c r="I276" s="839">
        <f>+G276+H276</f>
        <v>0</v>
      </c>
      <c r="J276" s="698"/>
      <c r="K276" s="897">
        <f>-MIN(ABS(I276),ABS(J279-K275))*SIGN(I276)</f>
        <v>0</v>
      </c>
      <c r="L276" s="898">
        <f>+K276+H276</f>
        <v>0</v>
      </c>
      <c r="M276" s="20"/>
      <c r="N276" s="839">
        <f>+I276+K276</f>
        <v>0</v>
      </c>
      <c r="O276" s="610"/>
    </row>
    <row r="277" spans="2:15" ht="13" x14ac:dyDescent="0.25">
      <c r="B277" s="1057">
        <v>2017</v>
      </c>
      <c r="C277" s="1058"/>
      <c r="D277" s="1058">
        <v>2016</v>
      </c>
      <c r="E277" s="1059"/>
      <c r="F277" s="896"/>
      <c r="G277" s="839">
        <f>+N269</f>
        <v>0</v>
      </c>
      <c r="H277" s="898">
        <f>IF(SIGN(G278*N270)&lt;0,IF(G277&lt;&gt;0,-SIGN(G277)*MIN(ABS(G278-H275-H276),ABS(G277)),0),0)</f>
        <v>0</v>
      </c>
      <c r="I277" s="839">
        <f>+G277+H277</f>
        <v>0</v>
      </c>
      <c r="J277" s="698"/>
      <c r="K277" s="897">
        <f>-MIN(ABS(I277),ABS(J279-K275-K276))*SIGN(I277)</f>
        <v>0</v>
      </c>
      <c r="L277" s="898">
        <f>+K277+H277</f>
        <v>0</v>
      </c>
      <c r="M277" s="20"/>
      <c r="N277" s="839">
        <f>+I277+K277</f>
        <v>0</v>
      </c>
      <c r="O277" s="610"/>
    </row>
    <row r="278" spans="2:15" ht="13" x14ac:dyDescent="0.25">
      <c r="B278" s="1057">
        <v>2018</v>
      </c>
      <c r="C278" s="1058"/>
      <c r="D278" s="1058"/>
      <c r="E278" s="1059"/>
      <c r="F278" s="896"/>
      <c r="G278" s="839">
        <f>J113</f>
        <v>0</v>
      </c>
      <c r="H278" s="898">
        <f>IF(SIGN(G278*N270)&lt;0,-SUM(H275:H277),0)</f>
        <v>0</v>
      </c>
      <c r="I278" s="839">
        <f>+G278+H278</f>
        <v>0</v>
      </c>
      <c r="J278" s="698"/>
      <c r="K278" s="897">
        <f>-MIN(ABS(I278),ABS(J279-K275-K276-K277))*SIGN(I278)</f>
        <v>0</v>
      </c>
      <c r="L278" s="898">
        <f>+K278+H278</f>
        <v>0</v>
      </c>
      <c r="M278" s="20"/>
      <c r="N278" s="839">
        <f>+I278+K278</f>
        <v>0</v>
      </c>
      <c r="O278" s="610"/>
    </row>
    <row r="279" spans="2:15" s="18" customFormat="1" ht="13" x14ac:dyDescent="0.3">
      <c r="G279" s="899">
        <f>SUM(G275:G278)</f>
        <v>0</v>
      </c>
      <c r="H279" s="899">
        <f>SUM(H275:H278)</f>
        <v>0</v>
      </c>
      <c r="I279" s="899">
        <f>SUM(I275:I278)</f>
        <v>0</v>
      </c>
      <c r="J279" s="899">
        <f>-I279*IF($B$7="elektriciteit",0.75,IF($B$7="gas",0.4,"FALSE"))</f>
        <v>0</v>
      </c>
      <c r="K279" s="900">
        <f>SUM(K275:K278)</f>
        <v>0</v>
      </c>
      <c r="L279" s="900"/>
      <c r="N279" s="899">
        <f>SUM(N275:N278)</f>
        <v>0</v>
      </c>
    </row>
    <row r="282" spans="2:15" ht="13" x14ac:dyDescent="0.3">
      <c r="B282" s="18" t="s">
        <v>364</v>
      </c>
      <c r="C282" s="381"/>
      <c r="D282" s="381"/>
      <c r="E282" s="381"/>
    </row>
    <row r="283" spans="2:15" ht="13" x14ac:dyDescent="0.3">
      <c r="B283" s="18"/>
      <c r="C283" s="381"/>
      <c r="D283" s="381"/>
      <c r="E283" s="381"/>
    </row>
    <row r="284" spans="2:15" ht="13" x14ac:dyDescent="0.3">
      <c r="B284" s="864">
        <f>F252</f>
        <v>2017</v>
      </c>
      <c r="C284" s="906">
        <f>J255</f>
        <v>0</v>
      </c>
      <c r="D284" s="381"/>
      <c r="E284" s="381"/>
    </row>
    <row r="285" spans="2:15" ht="13" x14ac:dyDescent="0.3">
      <c r="B285" s="864">
        <f>F257</f>
        <v>2018</v>
      </c>
      <c r="C285" s="906">
        <f>K262</f>
        <v>0</v>
      </c>
      <c r="D285" s="381"/>
      <c r="E285" s="381"/>
    </row>
    <row r="286" spans="2:15" ht="13" x14ac:dyDescent="0.3">
      <c r="B286" s="864">
        <f>F264</f>
        <v>2019</v>
      </c>
      <c r="C286" s="906">
        <f>K270</f>
        <v>0</v>
      </c>
      <c r="D286" s="381"/>
      <c r="E286" s="381"/>
    </row>
    <row r="287" spans="2:15" ht="13" x14ac:dyDescent="0.3">
      <c r="B287" s="864">
        <f>F272</f>
        <v>2020</v>
      </c>
      <c r="C287" s="906">
        <f>K279</f>
        <v>0</v>
      </c>
      <c r="D287" s="381"/>
      <c r="E287" s="381"/>
    </row>
    <row r="288" spans="2:15" x14ac:dyDescent="0.25">
      <c r="M288" s="610"/>
    </row>
    <row r="289" spans="2:15" x14ac:dyDescent="0.25">
      <c r="M289" s="610"/>
    </row>
    <row r="290" spans="2:15" ht="13" x14ac:dyDescent="0.3">
      <c r="B290" s="902" t="s">
        <v>239</v>
      </c>
      <c r="C290" s="903"/>
      <c r="D290" s="903"/>
      <c r="E290" s="903"/>
      <c r="F290" s="904"/>
      <c r="G290" s="904"/>
      <c r="H290" s="904"/>
      <c r="I290" s="904"/>
      <c r="J290" s="904"/>
      <c r="K290" s="904"/>
      <c r="L290" s="904"/>
      <c r="M290" s="905"/>
      <c r="N290" s="904"/>
    </row>
    <row r="291" spans="2:15" x14ac:dyDescent="0.25">
      <c r="M291" s="610"/>
    </row>
    <row r="292" spans="2:15" ht="13" x14ac:dyDescent="0.3">
      <c r="B292" s="18" t="s">
        <v>362</v>
      </c>
      <c r="F292" s="895">
        <v>2017</v>
      </c>
      <c r="M292" s="610"/>
    </row>
    <row r="293" spans="2:15" x14ac:dyDescent="0.25">
      <c r="L293" s="610"/>
      <c r="M293" s="20"/>
    </row>
    <row r="294" spans="2:15" ht="82.5" customHeight="1" x14ac:dyDescent="0.25">
      <c r="B294" s="1060" t="s">
        <v>363</v>
      </c>
      <c r="C294" s="1061"/>
      <c r="D294" s="1061"/>
      <c r="E294" s="1062"/>
      <c r="F294" s="599"/>
      <c r="G294" s="675" t="str">
        <f>"Nog af te bouwen regulatoir saldo einde "&amp;F292-1</f>
        <v>Nog af te bouwen regulatoir saldo einde 2016</v>
      </c>
      <c r="H294" s="675" t="str">
        <f>"Afbouw oudste openstaande regulatoir saldo vanaf boekjaar "&amp;F292-3&amp;" en vroeger, door aanwending van compensatie met regulatoir saldo ontstaan over boekjaar "&amp;F292-2</f>
        <v>Afbouw oudste openstaande regulatoir saldo vanaf boekjaar 2014 en vroeger, door aanwending van compensatie met regulatoir saldo ontstaan over boekjaar 2015</v>
      </c>
      <c r="I294" s="675" t="str">
        <f>"Nog af te bouwen regulatoir saldo na compensatie einde "&amp;F292-1</f>
        <v>Nog af te bouwen regulatoir saldo na compensatie einde 2016</v>
      </c>
      <c r="J294" s="675" t="str">
        <f>"Aanwending van "&amp;IF($B$7="elektriciteit","75%",IF($B$7="gas","40%","FALSE"))&amp;" van het geaccumuleerd regulatoir saldo door te rekenen volgens de tariefmethodologie in het boekjaar "&amp;F292</f>
        <v>Aanwending van 75% van het geaccumuleerd regulatoir saldo door te rekenen volgens de tariefmethodologie in het boekjaar 2017</v>
      </c>
      <c r="K294" s="675" t="str">
        <f>"Nog af te bouwen regulatoir saldo einde "&amp;F292</f>
        <v>Nog af te bouwen regulatoir saldo einde 2017</v>
      </c>
      <c r="L294" s="610"/>
      <c r="M294" s="20"/>
    </row>
    <row r="295" spans="2:15" ht="13" x14ac:dyDescent="0.25">
      <c r="B295" s="1057">
        <v>2015</v>
      </c>
      <c r="C295" s="1058"/>
      <c r="D295" s="1058"/>
      <c r="E295" s="1059"/>
      <c r="F295" s="896"/>
      <c r="G295" s="839">
        <f>G117</f>
        <v>0</v>
      </c>
      <c r="H295" s="897">
        <v>0</v>
      </c>
      <c r="I295" s="839">
        <f>+G295+H295</f>
        <v>0</v>
      </c>
      <c r="J295" s="839">
        <f>-I295*IF($B$7="elektriciteit",0.75,IF($B$7="gas",0.4,"FALSE"))</f>
        <v>0</v>
      </c>
      <c r="K295" s="908">
        <f>+J295+G295</f>
        <v>0</v>
      </c>
      <c r="L295" s="610"/>
      <c r="M295" s="20"/>
    </row>
    <row r="296" spans="2:15" x14ac:dyDescent="0.25">
      <c r="L296" s="610"/>
      <c r="M296" s="20"/>
    </row>
    <row r="297" spans="2:15" ht="13" x14ac:dyDescent="0.3">
      <c r="B297" s="18" t="s">
        <v>362</v>
      </c>
      <c r="F297" s="895">
        <v>2018</v>
      </c>
      <c r="M297" s="610"/>
    </row>
    <row r="298" spans="2:15" x14ac:dyDescent="0.25">
      <c r="M298" s="610"/>
    </row>
    <row r="299" spans="2:15" ht="69.75" customHeight="1" x14ac:dyDescent="0.25">
      <c r="B299" s="1060" t="s">
        <v>363</v>
      </c>
      <c r="C299" s="1061"/>
      <c r="D299" s="1061"/>
      <c r="E299" s="1062"/>
      <c r="F299" s="599"/>
      <c r="G299" s="675" t="str">
        <f>"Nog af te bouwen regulatoir saldo einde "&amp;F297-1</f>
        <v>Nog af te bouwen regulatoir saldo einde 2017</v>
      </c>
      <c r="H299" s="675" t="str">
        <f>"Afbouw oudste openstaande regulatoir saldo vanaf boekjaar "&amp;F297-3&amp;" en vroeger, door aanwending van compensatie met regulatoir saldo ontstaan over boekjaar "&amp;F297-2</f>
        <v>Afbouw oudste openstaande regulatoir saldo vanaf boekjaar 2015 en vroeger, door aanwending van compensatie met regulatoir saldo ontstaan over boekjaar 2016</v>
      </c>
      <c r="I299" s="675" t="str">
        <f>"Nog af te bouwen regulatoir saldo na compensatie einde "&amp;F297-1</f>
        <v>Nog af te bouwen regulatoir saldo na compensatie einde 2017</v>
      </c>
      <c r="J299" s="675" t="str">
        <f>"Aanwending van "&amp;IF($B$7="elektriciteit","75%",IF($B$7="gas","40%","FALSE"))&amp;" van het geaccumuleerd regulatoir saldo door te rekenen volgens de tariefmethodologie in het boekjaar "&amp;F297</f>
        <v>Aanwending van 75% van het geaccumuleerd regulatoir saldo door te rekenen volgens de tariefmethodologie in het boekjaar 2018</v>
      </c>
      <c r="K299" s="675" t="str">
        <f>"Aanwending van "&amp;IF($B$7="elektriciteit","75%",IF($B$7="gas","40%","FALSE"))&amp;" van het geaccumuleerd regulatoir saldo door te rekenen volgens de tariefmethodologie in het boekjaar "&amp;F297</f>
        <v>Aanwending van 75% van het geaccumuleerd regulatoir saldo door te rekenen volgens de tariefmethodologie in het boekjaar 2018</v>
      </c>
      <c r="L299" s="675" t="str">
        <f>"Totale afbouw over "&amp;F297</f>
        <v>Totale afbouw over 2018</v>
      </c>
      <c r="M299" s="20"/>
      <c r="N299" s="675" t="str">
        <f>"Nog af te bouwen regulatoir saldo einde "&amp;F297</f>
        <v>Nog af te bouwen regulatoir saldo einde 2018</v>
      </c>
      <c r="O299" s="610"/>
    </row>
    <row r="300" spans="2:15" ht="13" x14ac:dyDescent="0.25">
      <c r="B300" s="1057">
        <v>2015</v>
      </c>
      <c r="C300" s="1058"/>
      <c r="D300" s="1058"/>
      <c r="E300" s="1059"/>
      <c r="F300" s="896"/>
      <c r="G300" s="839">
        <f>K295</f>
        <v>0</v>
      </c>
      <c r="H300" s="897">
        <f>IF(SIGN(G301*K295)&lt;0,IF(G300&lt;&gt;0,-SIGN(G300)*MIN(ABS(G301),ABS(G300)),0),0)</f>
        <v>0</v>
      </c>
      <c r="I300" s="839">
        <f>+G300+H300</f>
        <v>0</v>
      </c>
      <c r="J300" s="698"/>
      <c r="K300" s="897">
        <f>-MIN(ABS(I300),ABS(J302))*SIGN(I300)</f>
        <v>0</v>
      </c>
      <c r="L300" s="898">
        <f>+K300+H300</f>
        <v>0</v>
      </c>
      <c r="M300" s="20"/>
      <c r="N300" s="839">
        <f>+I300+K300</f>
        <v>0</v>
      </c>
      <c r="O300" s="610"/>
    </row>
    <row r="301" spans="2:15" ht="13" x14ac:dyDescent="0.25">
      <c r="B301" s="1057">
        <v>2016</v>
      </c>
      <c r="C301" s="1058"/>
      <c r="D301" s="1058"/>
      <c r="E301" s="1059"/>
      <c r="F301" s="896"/>
      <c r="G301" s="839">
        <f>H118</f>
        <v>0</v>
      </c>
      <c r="H301" s="898">
        <f>IF(SIGN(G301*K295)&lt;0,-H300,0)</f>
        <v>0</v>
      </c>
      <c r="I301" s="839">
        <f>+G301+H301</f>
        <v>0</v>
      </c>
      <c r="J301" s="698"/>
      <c r="K301" s="897">
        <f>-MIN(ABS(I301),ABS(J302-K300))*SIGN(I301)</f>
        <v>0</v>
      </c>
      <c r="L301" s="898">
        <f>+K301+H301</f>
        <v>0</v>
      </c>
      <c r="M301" s="20"/>
      <c r="N301" s="839">
        <f>+I301+K301</f>
        <v>0</v>
      </c>
      <c r="O301" s="610"/>
    </row>
    <row r="302" spans="2:15" s="18" customFormat="1" ht="13" x14ac:dyDescent="0.3">
      <c r="G302" s="899">
        <f>SUM(G300:G301)</f>
        <v>0</v>
      </c>
      <c r="H302" s="899">
        <f>SUM(H300:H301)</f>
        <v>0</v>
      </c>
      <c r="I302" s="899">
        <f>SUM(I300:I301)</f>
        <v>0</v>
      </c>
      <c r="J302" s="899">
        <f>-I302*IF($B$7="elektriciteit",0.75,IF($B$7="gas",0.4,"FALSE"))</f>
        <v>0</v>
      </c>
      <c r="K302" s="900">
        <f>SUM(K300:K301)</f>
        <v>0</v>
      </c>
      <c r="L302" s="901"/>
      <c r="N302" s="899">
        <f>SUM(N300:N301)</f>
        <v>0</v>
      </c>
    </row>
    <row r="303" spans="2:15" x14ac:dyDescent="0.25">
      <c r="M303" s="610"/>
    </row>
    <row r="304" spans="2:15" ht="13" x14ac:dyDescent="0.3">
      <c r="B304" s="18" t="s">
        <v>362</v>
      </c>
      <c r="F304" s="895">
        <v>2019</v>
      </c>
      <c r="M304" s="20"/>
    </row>
    <row r="305" spans="2:15" x14ac:dyDescent="0.25">
      <c r="M305" s="20"/>
    </row>
    <row r="306" spans="2:15" ht="75.75" customHeight="1" x14ac:dyDescent="0.25">
      <c r="B306" s="1060" t="s">
        <v>363</v>
      </c>
      <c r="C306" s="1061"/>
      <c r="D306" s="1061"/>
      <c r="E306" s="1062"/>
      <c r="F306" s="599"/>
      <c r="G306" s="675" t="str">
        <f>"Nog af te bouwen regulatoir saldo einde "&amp;F304-1</f>
        <v>Nog af te bouwen regulatoir saldo einde 2018</v>
      </c>
      <c r="H306" s="675" t="str">
        <f>"Afbouw oudste openstaande regulatoir saldo vanaf boekjaar "&amp;F304-3&amp;" en vroeger, door aanwending van compensatie met regulatoir saldo ontstaan over boekjaar "&amp;F304-2</f>
        <v>Afbouw oudste openstaande regulatoir saldo vanaf boekjaar 2016 en vroeger, door aanwending van compensatie met regulatoir saldo ontstaan over boekjaar 2017</v>
      </c>
      <c r="I306" s="675" t="str">
        <f>"Nog af te bouwen regulatoir saldo na compensatie einde "&amp;F304-1</f>
        <v>Nog af te bouwen regulatoir saldo na compensatie einde 2018</v>
      </c>
      <c r="J306" s="675" t="str">
        <f>"Aanwending van "&amp;IF($B$7="elektriciteit","75%",IF($B$7="gas","40%","FALSE"))&amp;" van het geaccumuleerd regulatoir saldo door te rekenen volgens de tariefmethodologie in het boekjaar "&amp;F304</f>
        <v>Aanwending van 75% van het geaccumuleerd regulatoir saldo door te rekenen volgens de tariefmethodologie in het boekjaar 2019</v>
      </c>
      <c r="K306" s="675" t="str">
        <f>"Aanwending van "&amp;IF($B$7="elektriciteit","75%",IF($B$7="gas","40%","FALSE"))&amp;" van het geaccumuleerd regulatoir saldo door te rekenen volgens de tariefmethodologie in het boekjaar "&amp;F304</f>
        <v>Aanwending van 75% van het geaccumuleerd regulatoir saldo door te rekenen volgens de tariefmethodologie in het boekjaar 2019</v>
      </c>
      <c r="L306" s="675" t="str">
        <f>"Totale afbouw over "&amp;F304</f>
        <v>Totale afbouw over 2019</v>
      </c>
      <c r="M306" s="20"/>
      <c r="N306" s="675" t="str">
        <f>"Nog af te bouwen regulatoir saldo einde "&amp;F304</f>
        <v>Nog af te bouwen regulatoir saldo einde 2019</v>
      </c>
      <c r="O306" s="610"/>
    </row>
    <row r="307" spans="2:15" ht="13" x14ac:dyDescent="0.25">
      <c r="B307" s="1057">
        <v>2015</v>
      </c>
      <c r="C307" s="1058"/>
      <c r="D307" s="1058"/>
      <c r="E307" s="1059"/>
      <c r="F307" s="896"/>
      <c r="G307" s="839">
        <f>+N300</f>
        <v>0</v>
      </c>
      <c r="H307" s="898">
        <f>IF(SIGN(G309*N302)&lt;0,IF(G307&lt;&gt;0,-SIGN(G307)*MIN(ABS(G309),ABS(G307)),0),0)</f>
        <v>0</v>
      </c>
      <c r="I307" s="839">
        <f>+G307+H307</f>
        <v>0</v>
      </c>
      <c r="J307" s="698"/>
      <c r="K307" s="897">
        <f>-MIN(ABS(I307),ABS(J310))*SIGN(I307)</f>
        <v>0</v>
      </c>
      <c r="L307" s="898">
        <f>+K307+H307</f>
        <v>0</v>
      </c>
      <c r="M307" s="20"/>
      <c r="N307" s="839">
        <f>+I307+K307</f>
        <v>0</v>
      </c>
      <c r="O307" s="610"/>
    </row>
    <row r="308" spans="2:15" ht="13" x14ac:dyDescent="0.25">
      <c r="B308" s="1057">
        <v>2016</v>
      </c>
      <c r="C308" s="1058"/>
      <c r="D308" s="1058">
        <v>2016</v>
      </c>
      <c r="E308" s="1059"/>
      <c r="F308" s="896"/>
      <c r="G308" s="839">
        <f>+N301</f>
        <v>0</v>
      </c>
      <c r="H308" s="898">
        <f>IF(SIGN(G309*N302)&lt;0,IF(G308&lt;&gt;0,-SIGN(G308)*MIN(ABS(G309-H307),ABS(G308)),0),0)</f>
        <v>0</v>
      </c>
      <c r="I308" s="839">
        <f>+G308+H308</f>
        <v>0</v>
      </c>
      <c r="J308" s="698"/>
      <c r="K308" s="897">
        <f>-MIN(ABS(I308),ABS(J310-K307))*SIGN(I308)</f>
        <v>0</v>
      </c>
      <c r="L308" s="898">
        <f>+K308+H308</f>
        <v>0</v>
      </c>
      <c r="M308" s="20"/>
      <c r="N308" s="839">
        <f>+I308+K308</f>
        <v>0</v>
      </c>
      <c r="O308" s="610"/>
    </row>
    <row r="309" spans="2:15" ht="13" x14ac:dyDescent="0.25">
      <c r="B309" s="1057">
        <v>2017</v>
      </c>
      <c r="C309" s="1058"/>
      <c r="D309" s="1058"/>
      <c r="E309" s="1059"/>
      <c r="F309" s="896"/>
      <c r="G309" s="839">
        <f>I119</f>
        <v>0</v>
      </c>
      <c r="H309" s="898">
        <f>IF(SIGN(G309*N302)&lt;0,-SUM(H307:H308),0)</f>
        <v>0</v>
      </c>
      <c r="I309" s="839">
        <f>+G309+H309</f>
        <v>0</v>
      </c>
      <c r="J309" s="698"/>
      <c r="K309" s="897">
        <f>-MIN(ABS(I309),ABS(J310-K307-K308))*SIGN(I309)</f>
        <v>0</v>
      </c>
      <c r="L309" s="898">
        <f>+K309+H309</f>
        <v>0</v>
      </c>
      <c r="M309" s="20"/>
      <c r="N309" s="839">
        <f>+I309+K309</f>
        <v>0</v>
      </c>
      <c r="O309" s="610"/>
    </row>
    <row r="310" spans="2:15" s="18" customFormat="1" ht="13" x14ac:dyDescent="0.3">
      <c r="G310" s="899">
        <f>SUM(G307:G309)</f>
        <v>0</v>
      </c>
      <c r="H310" s="899">
        <f>SUM(H307:H309)</f>
        <v>0</v>
      </c>
      <c r="I310" s="899">
        <f>SUM(I307:I309)</f>
        <v>0</v>
      </c>
      <c r="J310" s="899">
        <f>-I310*IF($B$7="elektriciteit",0.75,IF($B$7="gas",0.4,"FALSE"))</f>
        <v>0</v>
      </c>
      <c r="K310" s="900">
        <f>SUM(K307:K309)</f>
        <v>0</v>
      </c>
      <c r="L310" s="901"/>
      <c r="N310" s="899">
        <f>SUM(N307:N309)</f>
        <v>0</v>
      </c>
    </row>
    <row r="311" spans="2:15" x14ac:dyDescent="0.25">
      <c r="M311" s="610"/>
    </row>
    <row r="312" spans="2:15" ht="13" x14ac:dyDescent="0.3">
      <c r="B312" s="18" t="s">
        <v>362</v>
      </c>
      <c r="F312" s="895">
        <v>2020</v>
      </c>
      <c r="M312" s="20"/>
    </row>
    <row r="313" spans="2:15" x14ac:dyDescent="0.25">
      <c r="M313" s="20"/>
    </row>
    <row r="314" spans="2:15" ht="78" customHeight="1" x14ac:dyDescent="0.25">
      <c r="B314" s="1060" t="s">
        <v>363</v>
      </c>
      <c r="C314" s="1061"/>
      <c r="D314" s="1061"/>
      <c r="E314" s="1062"/>
      <c r="F314" s="599"/>
      <c r="G314" s="675" t="str">
        <f>"Nog af te bouwen regulatoir saldo einde "&amp;F312-1</f>
        <v>Nog af te bouwen regulatoir saldo einde 2019</v>
      </c>
      <c r="H314" s="675" t="str">
        <f>"Afbouw oudste openstaande regulatoir saldo vanaf boekjaar "&amp;F312-3&amp;" en vroeger, door aanwending van compensatie met regulatoir saldo ontstaan over boekjaar "&amp;F312-2</f>
        <v>Afbouw oudste openstaande regulatoir saldo vanaf boekjaar 2017 en vroeger, door aanwending van compensatie met regulatoir saldo ontstaan over boekjaar 2018</v>
      </c>
      <c r="I314" s="675" t="str">
        <f>"Nog af te bouwen regulatoir saldo na compensatie einde "&amp;F312-1</f>
        <v>Nog af te bouwen regulatoir saldo na compensatie einde 2019</v>
      </c>
      <c r="J314" s="675" t="str">
        <f>"Aanwending van "&amp;IF($B$7="elektriciteit","75%",IF($B$7="gas","40%","FALSE"))&amp;" van het geaccumuleerd regulatoir saldo door te rekenen volgens de tariefmethodologie in het boekjaar "&amp;F312</f>
        <v>Aanwending van 75% van het geaccumuleerd regulatoir saldo door te rekenen volgens de tariefmethodologie in het boekjaar 2020</v>
      </c>
      <c r="K314" s="675" t="str">
        <f>"Aanwending van "&amp;IF($B$7="elektriciteit","75%",IF($B$7="gas","40%","FALSE"))&amp;" van het geaccumuleerd regulatoir saldo door te rekenen volgens de tariefmethodologie in het boekjaar "&amp;F312</f>
        <v>Aanwending van 75% van het geaccumuleerd regulatoir saldo door te rekenen volgens de tariefmethodologie in het boekjaar 2020</v>
      </c>
      <c r="L314" s="675" t="str">
        <f>"Totale afbouw over "&amp;F312</f>
        <v>Totale afbouw over 2020</v>
      </c>
      <c r="M314" s="20"/>
      <c r="N314" s="675" t="str">
        <f>"Nog af te bouwen regulatoir saldo einde "&amp;F312</f>
        <v>Nog af te bouwen regulatoir saldo einde 2020</v>
      </c>
      <c r="O314" s="610"/>
    </row>
    <row r="315" spans="2:15" ht="13" x14ac:dyDescent="0.25">
      <c r="B315" s="1057">
        <v>2015</v>
      </c>
      <c r="C315" s="1058"/>
      <c r="D315" s="1058"/>
      <c r="E315" s="1059"/>
      <c r="F315" s="896"/>
      <c r="G315" s="839">
        <f>+N307</f>
        <v>0</v>
      </c>
      <c r="H315" s="898">
        <f>IF(SIGN(G318*N310)&lt;0,IF(G315&lt;&gt;0,-SIGN(G315)*MIN(ABS(G318),ABS(G315)),0),0)</f>
        <v>0</v>
      </c>
      <c r="I315" s="839">
        <f>+G315+H315</f>
        <v>0</v>
      </c>
      <c r="J315" s="698"/>
      <c r="K315" s="897">
        <f>-MIN(ABS(I315),ABS(J319))*SIGN(I315)</f>
        <v>0</v>
      </c>
      <c r="L315" s="898">
        <f>+K315+H315</f>
        <v>0</v>
      </c>
      <c r="M315" s="20"/>
      <c r="N315" s="839">
        <f>+I315+K315</f>
        <v>0</v>
      </c>
      <c r="O315" s="610"/>
    </row>
    <row r="316" spans="2:15" ht="13" x14ac:dyDescent="0.25">
      <c r="B316" s="1057">
        <v>2016</v>
      </c>
      <c r="C316" s="1058"/>
      <c r="D316" s="1058"/>
      <c r="E316" s="1059"/>
      <c r="F316" s="896"/>
      <c r="G316" s="839">
        <f>+N308</f>
        <v>0</v>
      </c>
      <c r="H316" s="898">
        <f>IF(SIGN(G318*N310)&lt;0,IF(G316&lt;&gt;0,-SIGN(G316)*MIN(ABS(G318-H315),ABS(G316)),0),0)</f>
        <v>0</v>
      </c>
      <c r="I316" s="839">
        <f>+G316+H316</f>
        <v>0</v>
      </c>
      <c r="J316" s="698"/>
      <c r="K316" s="897">
        <f>-MIN(ABS(I316),ABS(J319-K315))*SIGN(I316)</f>
        <v>0</v>
      </c>
      <c r="L316" s="898">
        <f>+K316+H316</f>
        <v>0</v>
      </c>
      <c r="M316" s="20"/>
      <c r="N316" s="839">
        <f>+I316+K316</f>
        <v>0</v>
      </c>
      <c r="O316" s="610"/>
    </row>
    <row r="317" spans="2:15" ht="13" x14ac:dyDescent="0.25">
      <c r="B317" s="1057">
        <v>2017</v>
      </c>
      <c r="C317" s="1058"/>
      <c r="D317" s="1058">
        <v>2016</v>
      </c>
      <c r="E317" s="1059"/>
      <c r="F317" s="896"/>
      <c r="G317" s="839">
        <f>+N309</f>
        <v>0</v>
      </c>
      <c r="H317" s="898">
        <f>IF(SIGN(G318*N310)&lt;0,IF(G317&lt;&gt;0,-SIGN(G317)*MIN(ABS(G318-H315-H316),ABS(G317)),0),0)</f>
        <v>0</v>
      </c>
      <c r="I317" s="839">
        <f>+G317+H317</f>
        <v>0</v>
      </c>
      <c r="J317" s="698"/>
      <c r="K317" s="897">
        <f>-MIN(ABS(I317),ABS(J319-K315-K316))*SIGN(I317)</f>
        <v>0</v>
      </c>
      <c r="L317" s="898">
        <f>+K317+H317</f>
        <v>0</v>
      </c>
      <c r="M317" s="20"/>
      <c r="N317" s="839">
        <f>+I317+K317</f>
        <v>0</v>
      </c>
      <c r="O317" s="610"/>
    </row>
    <row r="318" spans="2:15" ht="13" x14ac:dyDescent="0.25">
      <c r="B318" s="1057">
        <v>2018</v>
      </c>
      <c r="C318" s="1058"/>
      <c r="D318" s="1058"/>
      <c r="E318" s="1059"/>
      <c r="F318" s="896"/>
      <c r="G318" s="839">
        <f>J120</f>
        <v>0</v>
      </c>
      <c r="H318" s="898">
        <f>IF(SIGN(G318*N310)&lt;0,-SUM(H315:H317),0)</f>
        <v>0</v>
      </c>
      <c r="I318" s="839">
        <f>+G318+H318</f>
        <v>0</v>
      </c>
      <c r="J318" s="698"/>
      <c r="K318" s="897">
        <f>-MIN(ABS(I318),ABS(J319-K315-K316-K317))*SIGN(I318)</f>
        <v>0</v>
      </c>
      <c r="L318" s="898">
        <f>+K318+H318</f>
        <v>0</v>
      </c>
      <c r="M318" s="20"/>
      <c r="N318" s="839">
        <f>+I318+K318</f>
        <v>0</v>
      </c>
      <c r="O318" s="610"/>
    </row>
    <row r="319" spans="2:15" s="18" customFormat="1" ht="13" x14ac:dyDescent="0.3">
      <c r="G319" s="899">
        <f>SUM(G315:G318)</f>
        <v>0</v>
      </c>
      <c r="H319" s="899">
        <f>SUM(H315:H318)</f>
        <v>0</v>
      </c>
      <c r="I319" s="899">
        <f>SUM(I315:I318)</f>
        <v>0</v>
      </c>
      <c r="J319" s="899">
        <f>-I319*IF($B$7="elektriciteit",0.75,IF($B$7="gas",0.4,"FALSE"))</f>
        <v>0</v>
      </c>
      <c r="K319" s="900">
        <f>SUM(K315:K318)</f>
        <v>0</v>
      </c>
      <c r="L319" s="900"/>
      <c r="N319" s="899">
        <f>SUM(N315:N318)</f>
        <v>0</v>
      </c>
    </row>
    <row r="322" spans="2:14" ht="13" x14ac:dyDescent="0.3">
      <c r="B322" s="18" t="s">
        <v>364</v>
      </c>
      <c r="C322" s="381"/>
      <c r="D322" s="381"/>
      <c r="E322" s="381"/>
    </row>
    <row r="323" spans="2:14" ht="13" x14ac:dyDescent="0.3">
      <c r="B323" s="18"/>
      <c r="C323" s="381"/>
      <c r="D323" s="381"/>
      <c r="E323" s="381"/>
    </row>
    <row r="324" spans="2:14" ht="13" x14ac:dyDescent="0.3">
      <c r="B324" s="864">
        <f>F292</f>
        <v>2017</v>
      </c>
      <c r="C324" s="906">
        <f>J295</f>
        <v>0</v>
      </c>
      <c r="D324" s="381"/>
      <c r="E324" s="381"/>
    </row>
    <row r="325" spans="2:14" ht="13" x14ac:dyDescent="0.3">
      <c r="B325" s="864">
        <f>F297</f>
        <v>2018</v>
      </c>
      <c r="C325" s="906">
        <f>K302</f>
        <v>0</v>
      </c>
      <c r="D325" s="381"/>
      <c r="E325" s="381"/>
    </row>
    <row r="326" spans="2:14" ht="13" x14ac:dyDescent="0.3">
      <c r="B326" s="864">
        <f>F304</f>
        <v>2019</v>
      </c>
      <c r="C326" s="906">
        <f>K310</f>
        <v>0</v>
      </c>
      <c r="D326" s="381"/>
      <c r="E326" s="381"/>
    </row>
    <row r="327" spans="2:14" ht="13" x14ac:dyDescent="0.3">
      <c r="B327" s="864">
        <f>F312</f>
        <v>2020</v>
      </c>
      <c r="C327" s="906">
        <f>K319</f>
        <v>0</v>
      </c>
      <c r="D327" s="381"/>
      <c r="E327" s="381"/>
    </row>
    <row r="328" spans="2:14" x14ac:dyDescent="0.25">
      <c r="M328" s="610"/>
    </row>
    <row r="329" spans="2:14" x14ac:dyDescent="0.25">
      <c r="M329" s="610"/>
    </row>
    <row r="330" spans="2:14" ht="13" x14ac:dyDescent="0.3">
      <c r="B330" s="902" t="s">
        <v>237</v>
      </c>
      <c r="C330" s="903"/>
      <c r="D330" s="903"/>
      <c r="E330" s="903"/>
      <c r="F330" s="904"/>
      <c r="G330" s="904"/>
      <c r="H330" s="904"/>
      <c r="I330" s="904"/>
      <c r="J330" s="904"/>
      <c r="K330" s="904"/>
      <c r="L330" s="904"/>
      <c r="M330" s="905"/>
      <c r="N330" s="904"/>
    </row>
    <row r="331" spans="2:14" x14ac:dyDescent="0.25">
      <c r="M331" s="610"/>
    </row>
    <row r="332" spans="2:14" ht="13" x14ac:dyDescent="0.3">
      <c r="B332" s="18" t="s">
        <v>362</v>
      </c>
      <c r="F332" s="895">
        <v>2017</v>
      </c>
      <c r="M332" s="610"/>
    </row>
    <row r="333" spans="2:14" x14ac:dyDescent="0.25">
      <c r="L333" s="610"/>
      <c r="M333" s="20"/>
    </row>
    <row r="334" spans="2:14" ht="82.5" customHeight="1" x14ac:dyDescent="0.25">
      <c r="B334" s="1060" t="s">
        <v>363</v>
      </c>
      <c r="C334" s="1061"/>
      <c r="D334" s="1061"/>
      <c r="E334" s="1062"/>
      <c r="F334" s="599"/>
      <c r="G334" s="675" t="str">
        <f>"Nog af te bouwen regulatoir saldo einde "&amp;F332-1</f>
        <v>Nog af te bouwen regulatoir saldo einde 2016</v>
      </c>
      <c r="H334" s="675" t="str">
        <f>"Afbouw oudste openstaande regulatoir saldo vanaf boekjaar "&amp;F332-3&amp;" en vroeger, door aanwending van compensatie met regulatoir saldo ontstaan over boekjaar "&amp;F332-2</f>
        <v>Afbouw oudste openstaande regulatoir saldo vanaf boekjaar 2014 en vroeger, door aanwending van compensatie met regulatoir saldo ontstaan over boekjaar 2015</v>
      </c>
      <c r="I334" s="675" t="str">
        <f>"Nog af te bouwen regulatoir saldo na compensatie einde "&amp;F332-1</f>
        <v>Nog af te bouwen regulatoir saldo na compensatie einde 2016</v>
      </c>
      <c r="J334" s="675" t="str">
        <f>"Aanwending van "&amp;IF($B$7="elektriciteit","75%",IF($B$7="gas","40%","FALSE"))&amp;" van het geaccumuleerd regulatoir saldo door te rekenen volgens de tariefmethodologie in het boekjaar "&amp;F332</f>
        <v>Aanwending van 75% van het geaccumuleerd regulatoir saldo door te rekenen volgens de tariefmethodologie in het boekjaar 2017</v>
      </c>
      <c r="K334" s="675" t="str">
        <f>"Nog af te bouwen regulatoir saldo einde "&amp;F332</f>
        <v>Nog af te bouwen regulatoir saldo einde 2017</v>
      </c>
      <c r="L334" s="610"/>
      <c r="M334" s="20"/>
    </row>
    <row r="335" spans="2:14" ht="13" x14ac:dyDescent="0.25">
      <c r="B335" s="1057">
        <v>2015</v>
      </c>
      <c r="C335" s="1058"/>
      <c r="D335" s="1058"/>
      <c r="E335" s="1059"/>
      <c r="F335" s="896"/>
      <c r="G335" s="839">
        <f>G124</f>
        <v>0</v>
      </c>
      <c r="H335" s="897">
        <v>0</v>
      </c>
      <c r="I335" s="839">
        <f>+G335+H335</f>
        <v>0</v>
      </c>
      <c r="J335" s="839">
        <f>-I335*IF($B$7="elektriciteit",0.75,IF($B$7="gas",0.4,"FALSE"))</f>
        <v>0</v>
      </c>
      <c r="K335" s="908">
        <f>+J335+G335</f>
        <v>0</v>
      </c>
      <c r="L335" s="610"/>
      <c r="M335" s="20"/>
    </row>
    <row r="336" spans="2:14" x14ac:dyDescent="0.25">
      <c r="L336" s="610"/>
      <c r="M336" s="20"/>
    </row>
    <row r="337" spans="2:15" ht="13" x14ac:dyDescent="0.3">
      <c r="B337" s="18" t="s">
        <v>362</v>
      </c>
      <c r="F337" s="895">
        <v>2018</v>
      </c>
      <c r="M337" s="610"/>
    </row>
    <row r="338" spans="2:15" x14ac:dyDescent="0.25">
      <c r="M338" s="610"/>
    </row>
    <row r="339" spans="2:15" ht="69.75" customHeight="1" x14ac:dyDescent="0.25">
      <c r="B339" s="1060" t="s">
        <v>363</v>
      </c>
      <c r="C339" s="1061"/>
      <c r="D339" s="1061"/>
      <c r="E339" s="1062"/>
      <c r="F339" s="599"/>
      <c r="G339" s="675" t="str">
        <f>"Nog af te bouwen regulatoir saldo einde "&amp;F337-1</f>
        <v>Nog af te bouwen regulatoir saldo einde 2017</v>
      </c>
      <c r="H339" s="675" t="str">
        <f>"Afbouw oudste openstaande regulatoir saldo vanaf boekjaar "&amp;F337-3&amp;" en vroeger, door aanwending van compensatie met regulatoir saldo ontstaan over boekjaar "&amp;F337-2</f>
        <v>Afbouw oudste openstaande regulatoir saldo vanaf boekjaar 2015 en vroeger, door aanwending van compensatie met regulatoir saldo ontstaan over boekjaar 2016</v>
      </c>
      <c r="I339" s="675" t="str">
        <f>"Nog af te bouwen regulatoir saldo na compensatie einde "&amp;F337-1</f>
        <v>Nog af te bouwen regulatoir saldo na compensatie einde 2017</v>
      </c>
      <c r="J339" s="675" t="str">
        <f>"Aanwending van "&amp;IF($B$7="elektriciteit","75%",IF($B$7="gas","40%","FALSE"))&amp;" van het geaccumuleerd regulatoir saldo door te rekenen volgens de tariefmethodologie in het boekjaar "&amp;F337</f>
        <v>Aanwending van 75% van het geaccumuleerd regulatoir saldo door te rekenen volgens de tariefmethodologie in het boekjaar 2018</v>
      </c>
      <c r="K339" s="675" t="str">
        <f>"Aanwending van "&amp;IF($B$7="elektriciteit","75%",IF($B$7="gas","40%","FALSE"))&amp;" van het geaccumuleerd regulatoir saldo door te rekenen volgens de tariefmethodologie in het boekjaar "&amp;F337</f>
        <v>Aanwending van 75% van het geaccumuleerd regulatoir saldo door te rekenen volgens de tariefmethodologie in het boekjaar 2018</v>
      </c>
      <c r="L339" s="675" t="str">
        <f>"Totale afbouw over "&amp;F337</f>
        <v>Totale afbouw over 2018</v>
      </c>
      <c r="M339" s="20"/>
      <c r="N339" s="675" t="str">
        <f>"Nog af te bouwen regulatoir saldo einde "&amp;F337</f>
        <v>Nog af te bouwen regulatoir saldo einde 2018</v>
      </c>
      <c r="O339" s="610"/>
    </row>
    <row r="340" spans="2:15" ht="13" x14ac:dyDescent="0.25">
      <c r="B340" s="1057">
        <v>2015</v>
      </c>
      <c r="C340" s="1058"/>
      <c r="D340" s="1058"/>
      <c r="E340" s="1059"/>
      <c r="F340" s="896"/>
      <c r="G340" s="839">
        <f>K335</f>
        <v>0</v>
      </c>
      <c r="H340" s="897">
        <f>IF(SIGN(G341*K335)&lt;0,IF(G340&lt;&gt;0,-SIGN(G340)*MIN(ABS(G341),ABS(G340)),0),0)</f>
        <v>0</v>
      </c>
      <c r="I340" s="839">
        <f>+G340+H340</f>
        <v>0</v>
      </c>
      <c r="J340" s="698"/>
      <c r="K340" s="897">
        <f>-MIN(ABS(I340),ABS(J342))*SIGN(I340)</f>
        <v>0</v>
      </c>
      <c r="L340" s="898">
        <f>+K340+H340</f>
        <v>0</v>
      </c>
      <c r="M340" s="20"/>
      <c r="N340" s="839">
        <f>+I340+K340</f>
        <v>0</v>
      </c>
      <c r="O340" s="610"/>
    </row>
    <row r="341" spans="2:15" ht="13" x14ac:dyDescent="0.25">
      <c r="B341" s="1057">
        <v>2016</v>
      </c>
      <c r="C341" s="1058"/>
      <c r="D341" s="1058"/>
      <c r="E341" s="1059"/>
      <c r="F341" s="896"/>
      <c r="G341" s="839">
        <f>H125</f>
        <v>0</v>
      </c>
      <c r="H341" s="898">
        <f>IF(SIGN(G341*K335)&lt;0,-H340,0)</f>
        <v>0</v>
      </c>
      <c r="I341" s="839">
        <f>+G341+H341</f>
        <v>0</v>
      </c>
      <c r="J341" s="698"/>
      <c r="K341" s="897">
        <f>-MIN(ABS(I341),ABS(J342-K340))*SIGN(I341)</f>
        <v>0</v>
      </c>
      <c r="L341" s="898">
        <f>+K341+H341</f>
        <v>0</v>
      </c>
      <c r="M341" s="20"/>
      <c r="N341" s="839">
        <f>+I341+K341</f>
        <v>0</v>
      </c>
      <c r="O341" s="610"/>
    </row>
    <row r="342" spans="2:15" s="18" customFormat="1" ht="13" x14ac:dyDescent="0.3">
      <c r="G342" s="899">
        <f>SUM(G340:G341)</f>
        <v>0</v>
      </c>
      <c r="H342" s="899">
        <f>SUM(H340:H341)</f>
        <v>0</v>
      </c>
      <c r="I342" s="899">
        <f>SUM(I340:I341)</f>
        <v>0</v>
      </c>
      <c r="J342" s="899">
        <f>-I342*IF($B$7="elektriciteit",0.75,IF($B$7="gas",0.4,"FALSE"))</f>
        <v>0</v>
      </c>
      <c r="K342" s="900">
        <f>SUM(K340:K341)</f>
        <v>0</v>
      </c>
      <c r="L342" s="901"/>
      <c r="N342" s="899">
        <f>SUM(N340:N341)</f>
        <v>0</v>
      </c>
    </row>
    <row r="343" spans="2:15" x14ac:dyDescent="0.25">
      <c r="M343" s="610"/>
    </row>
    <row r="344" spans="2:15" ht="13" x14ac:dyDescent="0.3">
      <c r="B344" s="18" t="s">
        <v>362</v>
      </c>
      <c r="F344" s="895">
        <v>2019</v>
      </c>
      <c r="M344" s="20"/>
    </row>
    <row r="345" spans="2:15" x14ac:dyDescent="0.25">
      <c r="M345" s="20"/>
    </row>
    <row r="346" spans="2:15" ht="75.75" customHeight="1" x14ac:dyDescent="0.25">
      <c r="B346" s="1060" t="s">
        <v>363</v>
      </c>
      <c r="C346" s="1061"/>
      <c r="D346" s="1061"/>
      <c r="E346" s="1062"/>
      <c r="F346" s="599"/>
      <c r="G346" s="675" t="str">
        <f>"Nog af te bouwen regulatoir saldo einde "&amp;F344-1</f>
        <v>Nog af te bouwen regulatoir saldo einde 2018</v>
      </c>
      <c r="H346" s="675" t="str">
        <f>"Afbouw oudste openstaande regulatoir saldo vanaf boekjaar "&amp;F344-3&amp;" en vroeger, door aanwending van compensatie met regulatoir saldo ontstaan over boekjaar "&amp;F344-2</f>
        <v>Afbouw oudste openstaande regulatoir saldo vanaf boekjaar 2016 en vroeger, door aanwending van compensatie met regulatoir saldo ontstaan over boekjaar 2017</v>
      </c>
      <c r="I346" s="675" t="str">
        <f>"Nog af te bouwen regulatoir saldo na compensatie einde "&amp;F344-1</f>
        <v>Nog af te bouwen regulatoir saldo na compensatie einde 2018</v>
      </c>
      <c r="J346" s="675" t="str">
        <f>"Aanwending van "&amp;IF($B$7="elektriciteit","75%",IF($B$7="gas","40%","FALSE"))&amp;" van het geaccumuleerd regulatoir saldo door te rekenen volgens de tariefmethodologie in het boekjaar "&amp;F344</f>
        <v>Aanwending van 75% van het geaccumuleerd regulatoir saldo door te rekenen volgens de tariefmethodologie in het boekjaar 2019</v>
      </c>
      <c r="K346" s="675" t="str">
        <f>"Aanwending van "&amp;IF($B$7="elektriciteit","75%",IF($B$7="gas","40%","FALSE"))&amp;" van het geaccumuleerd regulatoir saldo door te rekenen volgens de tariefmethodologie in het boekjaar "&amp;F344</f>
        <v>Aanwending van 75% van het geaccumuleerd regulatoir saldo door te rekenen volgens de tariefmethodologie in het boekjaar 2019</v>
      </c>
      <c r="L346" s="675" t="str">
        <f>"Totale afbouw over "&amp;F344</f>
        <v>Totale afbouw over 2019</v>
      </c>
      <c r="M346" s="20"/>
      <c r="N346" s="675" t="str">
        <f>"Nog af te bouwen regulatoir saldo einde "&amp;F344</f>
        <v>Nog af te bouwen regulatoir saldo einde 2019</v>
      </c>
      <c r="O346" s="610"/>
    </row>
    <row r="347" spans="2:15" ht="13" x14ac:dyDescent="0.25">
      <c r="B347" s="1057">
        <v>2015</v>
      </c>
      <c r="C347" s="1058"/>
      <c r="D347" s="1058"/>
      <c r="E347" s="1059"/>
      <c r="F347" s="896"/>
      <c r="G347" s="839">
        <f>+N340</f>
        <v>0</v>
      </c>
      <c r="H347" s="898">
        <f>IF(SIGN(G349*N342)&lt;0,IF(G347&lt;&gt;0,-SIGN(G347)*MIN(ABS(G349),ABS(G347)),0),0)</f>
        <v>0</v>
      </c>
      <c r="I347" s="839">
        <f>+G347+H347</f>
        <v>0</v>
      </c>
      <c r="J347" s="698"/>
      <c r="K347" s="897">
        <f>-MIN(ABS(I347),ABS(J350))*SIGN(I347)</f>
        <v>0</v>
      </c>
      <c r="L347" s="898">
        <f>+K347+H347</f>
        <v>0</v>
      </c>
      <c r="M347" s="20"/>
      <c r="N347" s="839">
        <f>+I347+K347</f>
        <v>0</v>
      </c>
      <c r="O347" s="610"/>
    </row>
    <row r="348" spans="2:15" ht="13" x14ac:dyDescent="0.25">
      <c r="B348" s="1057">
        <v>2016</v>
      </c>
      <c r="C348" s="1058"/>
      <c r="D348" s="1058">
        <v>2016</v>
      </c>
      <c r="E348" s="1059"/>
      <c r="F348" s="896"/>
      <c r="G348" s="839">
        <f>+N341</f>
        <v>0</v>
      </c>
      <c r="H348" s="898">
        <f>IF(SIGN(G349*N342)&lt;0,IF(G348&lt;&gt;0,-SIGN(G348)*MIN(ABS(G349-H347),ABS(G348)),0),0)</f>
        <v>0</v>
      </c>
      <c r="I348" s="839">
        <f>+G348+H348</f>
        <v>0</v>
      </c>
      <c r="J348" s="698"/>
      <c r="K348" s="897">
        <f>-MIN(ABS(I348),ABS(J350-K347))*SIGN(I348)</f>
        <v>0</v>
      </c>
      <c r="L348" s="898">
        <f>+K348+H348</f>
        <v>0</v>
      </c>
      <c r="M348" s="20"/>
      <c r="N348" s="839">
        <f>+I348+K348</f>
        <v>0</v>
      </c>
      <c r="O348" s="610"/>
    </row>
    <row r="349" spans="2:15" ht="13" x14ac:dyDescent="0.25">
      <c r="B349" s="1057">
        <v>2017</v>
      </c>
      <c r="C349" s="1058"/>
      <c r="D349" s="1058"/>
      <c r="E349" s="1059"/>
      <c r="F349" s="896"/>
      <c r="G349" s="839">
        <f>I126</f>
        <v>0</v>
      </c>
      <c r="H349" s="898">
        <f>IF(SIGN(G349*N342)&lt;0,-SUM(H347:H348),0)</f>
        <v>0</v>
      </c>
      <c r="I349" s="839">
        <f>+G349+H349</f>
        <v>0</v>
      </c>
      <c r="J349" s="698"/>
      <c r="K349" s="897">
        <f>-MIN(ABS(I349),ABS(J350-K347-K348))*SIGN(I349)</f>
        <v>0</v>
      </c>
      <c r="L349" s="898">
        <f>+K349+H349</f>
        <v>0</v>
      </c>
      <c r="M349" s="20"/>
      <c r="N349" s="839">
        <f>+I349+K349</f>
        <v>0</v>
      </c>
      <c r="O349" s="610"/>
    </row>
    <row r="350" spans="2:15" s="18" customFormat="1" ht="13" x14ac:dyDescent="0.3">
      <c r="G350" s="899">
        <f>SUM(G347:G349)</f>
        <v>0</v>
      </c>
      <c r="H350" s="899">
        <f>SUM(H347:H349)</f>
        <v>0</v>
      </c>
      <c r="I350" s="899">
        <f>SUM(I347:I349)</f>
        <v>0</v>
      </c>
      <c r="J350" s="899">
        <f>-I350*IF($B$7="elektriciteit",0.75,IF($B$7="gas",0.4,"FALSE"))</f>
        <v>0</v>
      </c>
      <c r="K350" s="900">
        <f>SUM(K347:K349)</f>
        <v>0</v>
      </c>
      <c r="L350" s="901"/>
      <c r="N350" s="899">
        <f>SUM(N347:N349)</f>
        <v>0</v>
      </c>
    </row>
    <row r="351" spans="2:15" x14ac:dyDescent="0.25">
      <c r="M351" s="610"/>
    </row>
    <row r="352" spans="2:15" ht="13" x14ac:dyDescent="0.3">
      <c r="B352" s="18" t="s">
        <v>362</v>
      </c>
      <c r="F352" s="895">
        <v>2020</v>
      </c>
      <c r="M352" s="20"/>
    </row>
    <row r="353" spans="2:15" x14ac:dyDescent="0.25">
      <c r="M353" s="20"/>
    </row>
    <row r="354" spans="2:15" ht="78" customHeight="1" x14ac:dyDescent="0.25">
      <c r="B354" s="1060" t="s">
        <v>363</v>
      </c>
      <c r="C354" s="1061"/>
      <c r="D354" s="1061"/>
      <c r="E354" s="1062"/>
      <c r="F354" s="599"/>
      <c r="G354" s="675" t="str">
        <f>"Nog af te bouwen regulatoir saldo einde "&amp;F352-1</f>
        <v>Nog af te bouwen regulatoir saldo einde 2019</v>
      </c>
      <c r="H354" s="675" t="str">
        <f>"Afbouw oudste openstaande regulatoir saldo vanaf boekjaar "&amp;F352-3&amp;" en vroeger, door aanwending van compensatie met regulatoir saldo ontstaan over boekjaar "&amp;F352-2</f>
        <v>Afbouw oudste openstaande regulatoir saldo vanaf boekjaar 2017 en vroeger, door aanwending van compensatie met regulatoir saldo ontstaan over boekjaar 2018</v>
      </c>
      <c r="I354" s="675" t="str">
        <f>"Nog af te bouwen regulatoir saldo na compensatie einde "&amp;F352-1</f>
        <v>Nog af te bouwen regulatoir saldo na compensatie einde 2019</v>
      </c>
      <c r="J354" s="675" t="str">
        <f>"Aanwending van "&amp;IF($B$7="elektriciteit","75%",IF($B$7="gas","40%","FALSE"))&amp;" van het geaccumuleerd regulatoir saldo door te rekenen volgens de tariefmethodologie in het boekjaar "&amp;F352</f>
        <v>Aanwending van 75% van het geaccumuleerd regulatoir saldo door te rekenen volgens de tariefmethodologie in het boekjaar 2020</v>
      </c>
      <c r="K354" s="675" t="str">
        <f>"Aanwending van "&amp;IF($B$7="elektriciteit","75%",IF($B$7="gas","40%","FALSE"))&amp;" van het geaccumuleerd regulatoir saldo door te rekenen volgens de tariefmethodologie in het boekjaar "&amp;F352</f>
        <v>Aanwending van 75% van het geaccumuleerd regulatoir saldo door te rekenen volgens de tariefmethodologie in het boekjaar 2020</v>
      </c>
      <c r="L354" s="675" t="str">
        <f>"Totale afbouw over "&amp;F352</f>
        <v>Totale afbouw over 2020</v>
      </c>
      <c r="M354" s="20"/>
      <c r="N354" s="675" t="str">
        <f>"Nog af te bouwen regulatoir saldo einde "&amp;F352</f>
        <v>Nog af te bouwen regulatoir saldo einde 2020</v>
      </c>
      <c r="O354" s="610"/>
    </row>
    <row r="355" spans="2:15" ht="13" x14ac:dyDescent="0.25">
      <c r="B355" s="1057">
        <v>2015</v>
      </c>
      <c r="C355" s="1058"/>
      <c r="D355" s="1058"/>
      <c r="E355" s="1059"/>
      <c r="F355" s="896"/>
      <c r="G355" s="839">
        <f>+N347</f>
        <v>0</v>
      </c>
      <c r="H355" s="898">
        <f>IF(SIGN(G358*N350)&lt;0,IF(G355&lt;&gt;0,-SIGN(G355)*MIN(ABS(G358),ABS(G355)),0),0)</f>
        <v>0</v>
      </c>
      <c r="I355" s="839">
        <f>+G355+H355</f>
        <v>0</v>
      </c>
      <c r="J355" s="698"/>
      <c r="K355" s="897">
        <f>-MIN(ABS(I355),ABS(J359))*SIGN(I355)</f>
        <v>0</v>
      </c>
      <c r="L355" s="898">
        <f>+K355+H355</f>
        <v>0</v>
      </c>
      <c r="M355" s="20"/>
      <c r="N355" s="839">
        <f>+I355+K355</f>
        <v>0</v>
      </c>
      <c r="O355" s="610"/>
    </row>
    <row r="356" spans="2:15" ht="13" x14ac:dyDescent="0.25">
      <c r="B356" s="1057">
        <v>2016</v>
      </c>
      <c r="C356" s="1058"/>
      <c r="D356" s="1058"/>
      <c r="E356" s="1059"/>
      <c r="F356" s="896"/>
      <c r="G356" s="839">
        <f>+N348</f>
        <v>0</v>
      </c>
      <c r="H356" s="898">
        <f>IF(SIGN(G358*N350)&lt;0,IF(G356&lt;&gt;0,-SIGN(G356)*MIN(ABS(G358-H355),ABS(G356)),0),0)</f>
        <v>0</v>
      </c>
      <c r="I356" s="839">
        <f>+G356+H356</f>
        <v>0</v>
      </c>
      <c r="J356" s="698"/>
      <c r="K356" s="897">
        <f>-MIN(ABS(I356),ABS(J359-K355))*SIGN(I356)</f>
        <v>0</v>
      </c>
      <c r="L356" s="898">
        <f>+K356+H356</f>
        <v>0</v>
      </c>
      <c r="M356" s="20"/>
      <c r="N356" s="839">
        <f>+I356+K356</f>
        <v>0</v>
      </c>
      <c r="O356" s="610"/>
    </row>
    <row r="357" spans="2:15" ht="13" x14ac:dyDescent="0.25">
      <c r="B357" s="1057">
        <v>2017</v>
      </c>
      <c r="C357" s="1058"/>
      <c r="D357" s="1058">
        <v>2016</v>
      </c>
      <c r="E357" s="1059"/>
      <c r="F357" s="896"/>
      <c r="G357" s="839">
        <f>+N349</f>
        <v>0</v>
      </c>
      <c r="H357" s="898">
        <f>IF(SIGN(G358*N350)&lt;0,IF(G357&lt;&gt;0,-SIGN(G357)*MIN(ABS(G358-H355-H356),ABS(G357)),0),0)</f>
        <v>0</v>
      </c>
      <c r="I357" s="839">
        <f>+G357+H357</f>
        <v>0</v>
      </c>
      <c r="J357" s="698"/>
      <c r="K357" s="897">
        <f>-MIN(ABS(I357),ABS(J359-K355-K356))*SIGN(I357)</f>
        <v>0</v>
      </c>
      <c r="L357" s="898">
        <f>+K357+H357</f>
        <v>0</v>
      </c>
      <c r="M357" s="20"/>
      <c r="N357" s="839">
        <f>+I357+K357</f>
        <v>0</v>
      </c>
      <c r="O357" s="610"/>
    </row>
    <row r="358" spans="2:15" ht="13" x14ac:dyDescent="0.25">
      <c r="B358" s="1057">
        <v>2018</v>
      </c>
      <c r="C358" s="1058"/>
      <c r="D358" s="1058"/>
      <c r="E358" s="1059"/>
      <c r="F358" s="896"/>
      <c r="G358" s="839">
        <f>J127</f>
        <v>0</v>
      </c>
      <c r="H358" s="898">
        <f>IF(SIGN(G358*N350)&lt;0,-SUM(H355:H357),0)</f>
        <v>0</v>
      </c>
      <c r="I358" s="839">
        <f>+G358+H358</f>
        <v>0</v>
      </c>
      <c r="J358" s="698"/>
      <c r="K358" s="897">
        <f>-MIN(ABS(I358),ABS(J359-K355-K356-K357))*SIGN(I358)</f>
        <v>0</v>
      </c>
      <c r="L358" s="898">
        <f>+K358+H358</f>
        <v>0</v>
      </c>
      <c r="M358" s="20"/>
      <c r="N358" s="839">
        <f>+I358+K358</f>
        <v>0</v>
      </c>
      <c r="O358" s="610"/>
    </row>
    <row r="359" spans="2:15" s="18" customFormat="1" ht="13" x14ac:dyDescent="0.3">
      <c r="G359" s="899">
        <f>SUM(G355:G358)</f>
        <v>0</v>
      </c>
      <c r="H359" s="899">
        <f>SUM(H355:H358)</f>
        <v>0</v>
      </c>
      <c r="I359" s="899">
        <f>SUM(I355:I358)</f>
        <v>0</v>
      </c>
      <c r="J359" s="899">
        <f>-I359*IF($B$7="elektriciteit",0.75,IF($B$7="gas",0.4,"FALSE"))</f>
        <v>0</v>
      </c>
      <c r="K359" s="900">
        <f>SUM(K355:K358)</f>
        <v>0</v>
      </c>
      <c r="L359" s="900"/>
      <c r="N359" s="899">
        <f>SUM(N355:N358)</f>
        <v>0</v>
      </c>
    </row>
    <row r="362" spans="2:15" ht="13" x14ac:dyDescent="0.3">
      <c r="B362" s="18" t="s">
        <v>364</v>
      </c>
      <c r="C362" s="381"/>
      <c r="D362" s="381"/>
      <c r="E362" s="381"/>
    </row>
    <row r="363" spans="2:15" ht="13" x14ac:dyDescent="0.3">
      <c r="B363" s="18"/>
      <c r="C363" s="381"/>
      <c r="D363" s="381"/>
      <c r="E363" s="381"/>
    </row>
    <row r="364" spans="2:15" ht="13" x14ac:dyDescent="0.3">
      <c r="B364" s="864">
        <f>F332</f>
        <v>2017</v>
      </c>
      <c r="C364" s="906">
        <f>J335</f>
        <v>0</v>
      </c>
      <c r="D364" s="381"/>
      <c r="E364" s="381"/>
    </row>
    <row r="365" spans="2:15" ht="13" x14ac:dyDescent="0.3">
      <c r="B365" s="864">
        <f>F337</f>
        <v>2018</v>
      </c>
      <c r="C365" s="906">
        <f>K342</f>
        <v>0</v>
      </c>
      <c r="D365" s="381"/>
      <c r="E365" s="381"/>
    </row>
    <row r="366" spans="2:15" ht="13" x14ac:dyDescent="0.3">
      <c r="B366" s="864">
        <f>F344</f>
        <v>2019</v>
      </c>
      <c r="C366" s="906">
        <f>K350</f>
        <v>0</v>
      </c>
      <c r="D366" s="381"/>
      <c r="E366" s="381"/>
    </row>
    <row r="367" spans="2:15" ht="13" x14ac:dyDescent="0.3">
      <c r="B367" s="864">
        <f>F352</f>
        <v>2020</v>
      </c>
      <c r="C367" s="906">
        <f>K359</f>
        <v>0</v>
      </c>
      <c r="D367" s="381"/>
      <c r="E367" s="381"/>
    </row>
    <row r="368" spans="2:15" x14ac:dyDescent="0.25">
      <c r="M368" s="610"/>
    </row>
    <row r="369" spans="2:15" x14ac:dyDescent="0.25">
      <c r="M369" s="610"/>
    </row>
    <row r="370" spans="2:15" ht="13" x14ac:dyDescent="0.3">
      <c r="B370" s="902" t="s">
        <v>287</v>
      </c>
      <c r="C370" s="903"/>
      <c r="D370" s="903"/>
      <c r="E370" s="903"/>
      <c r="F370" s="904"/>
      <c r="G370" s="904"/>
      <c r="H370" s="904"/>
      <c r="I370" s="904"/>
      <c r="J370" s="904"/>
      <c r="K370" s="904"/>
      <c r="L370" s="904"/>
      <c r="M370" s="905"/>
      <c r="N370" s="904"/>
    </row>
    <row r="371" spans="2:15" x14ac:dyDescent="0.25">
      <c r="M371" s="610"/>
    </row>
    <row r="372" spans="2:15" ht="13" x14ac:dyDescent="0.3">
      <c r="B372" s="18" t="s">
        <v>362</v>
      </c>
      <c r="F372" s="895">
        <v>2017</v>
      </c>
      <c r="M372" s="610"/>
    </row>
    <row r="373" spans="2:15" x14ac:dyDescent="0.25">
      <c r="L373" s="610"/>
      <c r="M373" s="20"/>
    </row>
    <row r="374" spans="2:15" ht="82.5" customHeight="1" x14ac:dyDescent="0.25">
      <c r="B374" s="1060" t="s">
        <v>363</v>
      </c>
      <c r="C374" s="1061"/>
      <c r="D374" s="1061"/>
      <c r="E374" s="1062"/>
      <c r="F374" s="599"/>
      <c r="G374" s="675" t="str">
        <f>"Nog af te bouwen regulatoir saldo einde "&amp;F372-1</f>
        <v>Nog af te bouwen regulatoir saldo einde 2016</v>
      </c>
      <c r="H374" s="675" t="str">
        <f>"Afbouw oudste openstaande regulatoir saldo vanaf boekjaar "&amp;F372-3&amp;" en vroeger, door aanwending van compensatie met regulatoir saldo ontstaan over boekjaar "&amp;F372-2</f>
        <v>Afbouw oudste openstaande regulatoir saldo vanaf boekjaar 2014 en vroeger, door aanwending van compensatie met regulatoir saldo ontstaan over boekjaar 2015</v>
      </c>
      <c r="I374" s="675" t="str">
        <f>"Nog af te bouwen regulatoir saldo na compensatie einde "&amp;F372-1</f>
        <v>Nog af te bouwen regulatoir saldo na compensatie einde 2016</v>
      </c>
      <c r="J374" s="675" t="str">
        <f>"Aanwending van "&amp;IF($B$7="elektriciteit","75%",IF($B$7="gas","40%","FALSE"))&amp;" van het geaccumuleerd regulatoir saldo door te rekenen volgens de tariefmethodologie in het boekjaar "&amp;F372</f>
        <v>Aanwending van 75% van het geaccumuleerd regulatoir saldo door te rekenen volgens de tariefmethodologie in het boekjaar 2017</v>
      </c>
      <c r="K374" s="675" t="str">
        <f>"Nog af te bouwen regulatoir saldo einde "&amp;F372</f>
        <v>Nog af te bouwen regulatoir saldo einde 2017</v>
      </c>
      <c r="L374" s="610"/>
      <c r="M374" s="20"/>
    </row>
    <row r="375" spans="2:15" ht="13" x14ac:dyDescent="0.25">
      <c r="B375" s="1057">
        <v>2015</v>
      </c>
      <c r="C375" s="1058"/>
      <c r="D375" s="1058"/>
      <c r="E375" s="1059"/>
      <c r="F375" s="896"/>
      <c r="G375" s="839">
        <f>G131</f>
        <v>0</v>
      </c>
      <c r="H375" s="897">
        <v>0</v>
      </c>
      <c r="I375" s="839">
        <f>+G375+H375</f>
        <v>0</v>
      </c>
      <c r="J375" s="839">
        <f>-I375*IF($B$7="elektriciteit",0.75,IF($B$7="gas",0.4,"FALSE"))</f>
        <v>0</v>
      </c>
      <c r="K375" s="908">
        <f>+J375+G375</f>
        <v>0</v>
      </c>
      <c r="L375" s="610"/>
      <c r="M375" s="20"/>
    </row>
    <row r="376" spans="2:15" x14ac:dyDescent="0.25">
      <c r="L376" s="610"/>
      <c r="M376" s="20"/>
    </row>
    <row r="377" spans="2:15" ht="13" x14ac:dyDescent="0.3">
      <c r="B377" s="18" t="s">
        <v>362</v>
      </c>
      <c r="F377" s="895">
        <v>2018</v>
      </c>
      <c r="M377" s="610"/>
    </row>
    <row r="378" spans="2:15" x14ac:dyDescent="0.25">
      <c r="M378" s="610"/>
    </row>
    <row r="379" spans="2:15" ht="69.75" customHeight="1" x14ac:dyDescent="0.25">
      <c r="B379" s="1060" t="s">
        <v>363</v>
      </c>
      <c r="C379" s="1061"/>
      <c r="D379" s="1061"/>
      <c r="E379" s="1062"/>
      <c r="F379" s="599"/>
      <c r="G379" s="675" t="str">
        <f>"Nog af te bouwen regulatoir saldo einde "&amp;F377-1</f>
        <v>Nog af te bouwen regulatoir saldo einde 2017</v>
      </c>
      <c r="H379" s="675" t="str">
        <f>"Afbouw oudste openstaande regulatoir saldo vanaf boekjaar "&amp;F377-3&amp;" en vroeger, door aanwending van compensatie met regulatoir saldo ontstaan over boekjaar "&amp;F377-2</f>
        <v>Afbouw oudste openstaande regulatoir saldo vanaf boekjaar 2015 en vroeger, door aanwending van compensatie met regulatoir saldo ontstaan over boekjaar 2016</v>
      </c>
      <c r="I379" s="675" t="str">
        <f>"Nog af te bouwen regulatoir saldo na compensatie einde "&amp;F377-1</f>
        <v>Nog af te bouwen regulatoir saldo na compensatie einde 2017</v>
      </c>
      <c r="J379" s="675" t="str">
        <f>"Aanwending van "&amp;IF($B$7="elektriciteit","75%",IF($B$7="gas","40%","FALSE"))&amp;" van het geaccumuleerd regulatoir saldo door te rekenen volgens de tariefmethodologie in het boekjaar "&amp;F377</f>
        <v>Aanwending van 75% van het geaccumuleerd regulatoir saldo door te rekenen volgens de tariefmethodologie in het boekjaar 2018</v>
      </c>
      <c r="K379" s="675" t="str">
        <f>"Aanwending van "&amp;IF($B$7="elektriciteit","75%",IF($B$7="gas","40%","FALSE"))&amp;" van het geaccumuleerd regulatoir saldo door te rekenen volgens de tariefmethodologie in het boekjaar "&amp;F377</f>
        <v>Aanwending van 75% van het geaccumuleerd regulatoir saldo door te rekenen volgens de tariefmethodologie in het boekjaar 2018</v>
      </c>
      <c r="L379" s="675" t="str">
        <f>"Totale afbouw over "&amp;F377</f>
        <v>Totale afbouw over 2018</v>
      </c>
      <c r="M379" s="20"/>
      <c r="N379" s="675" t="str">
        <f>"Nog af te bouwen regulatoir saldo einde "&amp;F377</f>
        <v>Nog af te bouwen regulatoir saldo einde 2018</v>
      </c>
      <c r="O379" s="610"/>
    </row>
    <row r="380" spans="2:15" ht="13" x14ac:dyDescent="0.25">
      <c r="B380" s="1057">
        <v>2015</v>
      </c>
      <c r="C380" s="1058"/>
      <c r="D380" s="1058"/>
      <c r="E380" s="1059"/>
      <c r="F380" s="896"/>
      <c r="G380" s="839">
        <f>K375</f>
        <v>0</v>
      </c>
      <c r="H380" s="897">
        <f>IF(SIGN(G381*K375)&lt;0,IF(G380&lt;&gt;0,-SIGN(G380)*MIN(ABS(G381),ABS(G380)),0),0)</f>
        <v>0</v>
      </c>
      <c r="I380" s="839">
        <f>+G380+H380</f>
        <v>0</v>
      </c>
      <c r="J380" s="698"/>
      <c r="K380" s="897">
        <f>-MIN(ABS(I380),ABS(J382))*SIGN(I380)</f>
        <v>0</v>
      </c>
      <c r="L380" s="898">
        <f>+K380+H380</f>
        <v>0</v>
      </c>
      <c r="M380" s="20"/>
      <c r="N380" s="839">
        <f>+I380+K380</f>
        <v>0</v>
      </c>
      <c r="O380" s="610"/>
    </row>
    <row r="381" spans="2:15" ht="13" x14ac:dyDescent="0.25">
      <c r="B381" s="1057">
        <v>2016</v>
      </c>
      <c r="C381" s="1058"/>
      <c r="D381" s="1058"/>
      <c r="E381" s="1059"/>
      <c r="F381" s="896"/>
      <c r="G381" s="839">
        <f>H132</f>
        <v>0</v>
      </c>
      <c r="H381" s="898">
        <f>IF(SIGN(G381*K375)&lt;0,-H380,0)</f>
        <v>0</v>
      </c>
      <c r="I381" s="839">
        <f>+G381+H381</f>
        <v>0</v>
      </c>
      <c r="J381" s="698"/>
      <c r="K381" s="897">
        <f>-MIN(ABS(I381),ABS(J382-K380))*SIGN(I381)</f>
        <v>0</v>
      </c>
      <c r="L381" s="898">
        <f>+K381+H381</f>
        <v>0</v>
      </c>
      <c r="M381" s="20"/>
      <c r="N381" s="839">
        <f>+I381+K381</f>
        <v>0</v>
      </c>
      <c r="O381" s="610"/>
    </row>
    <row r="382" spans="2:15" s="18" customFormat="1" ht="13" x14ac:dyDescent="0.3">
      <c r="G382" s="899">
        <f>SUM(G380:G381)</f>
        <v>0</v>
      </c>
      <c r="H382" s="899">
        <f>SUM(H380:H381)</f>
        <v>0</v>
      </c>
      <c r="I382" s="899">
        <f>SUM(I380:I381)</f>
        <v>0</v>
      </c>
      <c r="J382" s="899">
        <f>-I382*IF($B$7="elektriciteit",0.75,IF($B$7="gas",0.4,"FALSE"))</f>
        <v>0</v>
      </c>
      <c r="K382" s="900">
        <f>SUM(K380:K381)</f>
        <v>0</v>
      </c>
      <c r="L382" s="901"/>
      <c r="N382" s="899">
        <f>SUM(N380:N381)</f>
        <v>0</v>
      </c>
    </row>
    <row r="383" spans="2:15" x14ac:dyDescent="0.25">
      <c r="M383" s="610"/>
    </row>
    <row r="384" spans="2:15" ht="13" x14ac:dyDescent="0.3">
      <c r="B384" s="18" t="s">
        <v>362</v>
      </c>
      <c r="F384" s="895">
        <v>2019</v>
      </c>
      <c r="M384" s="20"/>
    </row>
    <row r="385" spans="2:15" x14ac:dyDescent="0.25">
      <c r="M385" s="20"/>
    </row>
    <row r="386" spans="2:15" ht="75.75" customHeight="1" x14ac:dyDescent="0.25">
      <c r="B386" s="1060" t="s">
        <v>363</v>
      </c>
      <c r="C386" s="1061"/>
      <c r="D386" s="1061"/>
      <c r="E386" s="1062"/>
      <c r="F386" s="599"/>
      <c r="G386" s="675" t="str">
        <f>"Nog af te bouwen regulatoir saldo einde "&amp;F384-1</f>
        <v>Nog af te bouwen regulatoir saldo einde 2018</v>
      </c>
      <c r="H386" s="675" t="str">
        <f>"Afbouw oudste openstaande regulatoir saldo vanaf boekjaar "&amp;F384-3&amp;" en vroeger, door aanwending van compensatie met regulatoir saldo ontstaan over boekjaar "&amp;F384-2</f>
        <v>Afbouw oudste openstaande regulatoir saldo vanaf boekjaar 2016 en vroeger, door aanwending van compensatie met regulatoir saldo ontstaan over boekjaar 2017</v>
      </c>
      <c r="I386" s="675" t="str">
        <f>"Nog af te bouwen regulatoir saldo na compensatie einde "&amp;F384-1</f>
        <v>Nog af te bouwen regulatoir saldo na compensatie einde 2018</v>
      </c>
      <c r="J386" s="675" t="str">
        <f>"Aanwending van "&amp;IF($B$7="elektriciteit","75%",IF($B$7="gas","40%","FALSE"))&amp;" van het geaccumuleerd regulatoir saldo door te rekenen volgens de tariefmethodologie in het boekjaar "&amp;F384</f>
        <v>Aanwending van 75% van het geaccumuleerd regulatoir saldo door te rekenen volgens de tariefmethodologie in het boekjaar 2019</v>
      </c>
      <c r="K386" s="675" t="str">
        <f>"Aanwending van "&amp;IF($B$7="elektriciteit","75%",IF($B$7="gas","40%","FALSE"))&amp;" van het geaccumuleerd regulatoir saldo door te rekenen volgens de tariefmethodologie in het boekjaar "&amp;F384</f>
        <v>Aanwending van 75% van het geaccumuleerd regulatoir saldo door te rekenen volgens de tariefmethodologie in het boekjaar 2019</v>
      </c>
      <c r="L386" s="675" t="str">
        <f>"Totale afbouw over "&amp;F384</f>
        <v>Totale afbouw over 2019</v>
      </c>
      <c r="M386" s="20"/>
      <c r="N386" s="675" t="str">
        <f>"Nog af te bouwen regulatoir saldo einde "&amp;F384</f>
        <v>Nog af te bouwen regulatoir saldo einde 2019</v>
      </c>
      <c r="O386" s="610"/>
    </row>
    <row r="387" spans="2:15" ht="13" x14ac:dyDescent="0.25">
      <c r="B387" s="1057">
        <v>2015</v>
      </c>
      <c r="C387" s="1058"/>
      <c r="D387" s="1058"/>
      <c r="E387" s="1059"/>
      <c r="F387" s="896"/>
      <c r="G387" s="839">
        <f>+N380</f>
        <v>0</v>
      </c>
      <c r="H387" s="898">
        <f>IF(SIGN(G389*N382)&lt;0,IF(G387&lt;&gt;0,-SIGN(G387)*MIN(ABS(G389),ABS(G387)),0),0)</f>
        <v>0</v>
      </c>
      <c r="I387" s="839">
        <f>+G387+H387</f>
        <v>0</v>
      </c>
      <c r="J387" s="698"/>
      <c r="K387" s="897">
        <f>-MIN(ABS(I387),ABS(J390))*SIGN(I387)</f>
        <v>0</v>
      </c>
      <c r="L387" s="898">
        <f>+K387+H387</f>
        <v>0</v>
      </c>
      <c r="M387" s="20"/>
      <c r="N387" s="839">
        <f>+I387+K387</f>
        <v>0</v>
      </c>
      <c r="O387" s="610"/>
    </row>
    <row r="388" spans="2:15" ht="13" x14ac:dyDescent="0.25">
      <c r="B388" s="1057">
        <v>2016</v>
      </c>
      <c r="C388" s="1058"/>
      <c r="D388" s="1058">
        <v>2016</v>
      </c>
      <c r="E388" s="1059"/>
      <c r="F388" s="896"/>
      <c r="G388" s="839">
        <f>+N381</f>
        <v>0</v>
      </c>
      <c r="H388" s="898">
        <f>IF(SIGN(G389*N382)&lt;0,IF(G388&lt;&gt;0,-SIGN(G388)*MIN(ABS(G389-H387),ABS(G388)),0),0)</f>
        <v>0</v>
      </c>
      <c r="I388" s="839">
        <f>+G388+H388</f>
        <v>0</v>
      </c>
      <c r="J388" s="698"/>
      <c r="K388" s="897">
        <f>-MIN(ABS(I388),ABS(J390-K387))*SIGN(I388)</f>
        <v>0</v>
      </c>
      <c r="L388" s="898">
        <f>+K388+H388</f>
        <v>0</v>
      </c>
      <c r="M388" s="20"/>
      <c r="N388" s="839">
        <f>+I388+K388</f>
        <v>0</v>
      </c>
      <c r="O388" s="610"/>
    </row>
    <row r="389" spans="2:15" ht="13" x14ac:dyDescent="0.25">
      <c r="B389" s="1057">
        <v>2017</v>
      </c>
      <c r="C389" s="1058"/>
      <c r="D389" s="1058"/>
      <c r="E389" s="1059"/>
      <c r="F389" s="896"/>
      <c r="G389" s="839">
        <f>I133</f>
        <v>0</v>
      </c>
      <c r="H389" s="898">
        <f>IF(SIGN(G389*N382)&lt;0,-SUM(H387:H388),0)</f>
        <v>0</v>
      </c>
      <c r="I389" s="839">
        <f>+G389+H389</f>
        <v>0</v>
      </c>
      <c r="J389" s="698"/>
      <c r="K389" s="897">
        <f>-MIN(ABS(I389),ABS(J390-K387-K388))*SIGN(I389)</f>
        <v>0</v>
      </c>
      <c r="L389" s="898">
        <f>+K389+H389</f>
        <v>0</v>
      </c>
      <c r="M389" s="20"/>
      <c r="N389" s="839">
        <f>+I389+K389</f>
        <v>0</v>
      </c>
      <c r="O389" s="610"/>
    </row>
    <row r="390" spans="2:15" s="18" customFormat="1" ht="13" x14ac:dyDescent="0.3">
      <c r="G390" s="899">
        <f>SUM(G387:G389)</f>
        <v>0</v>
      </c>
      <c r="H390" s="899">
        <f>SUM(H387:H389)</f>
        <v>0</v>
      </c>
      <c r="I390" s="899">
        <f>SUM(I387:I389)</f>
        <v>0</v>
      </c>
      <c r="J390" s="899">
        <f>-I390*IF($B$7="elektriciteit",0.75,IF($B$7="gas",0.4,"FALSE"))</f>
        <v>0</v>
      </c>
      <c r="K390" s="900">
        <f>SUM(K387:K389)</f>
        <v>0</v>
      </c>
      <c r="L390" s="901"/>
      <c r="N390" s="899">
        <f>SUM(N387:N389)</f>
        <v>0</v>
      </c>
    </row>
    <row r="391" spans="2:15" x14ac:dyDescent="0.25">
      <c r="M391" s="610"/>
    </row>
    <row r="392" spans="2:15" ht="13" x14ac:dyDescent="0.3">
      <c r="B392" s="18" t="s">
        <v>362</v>
      </c>
      <c r="F392" s="895">
        <v>2020</v>
      </c>
      <c r="M392" s="20"/>
    </row>
    <row r="393" spans="2:15" x14ac:dyDescent="0.25">
      <c r="M393" s="20"/>
    </row>
    <row r="394" spans="2:15" ht="78" customHeight="1" x14ac:dyDescent="0.25">
      <c r="B394" s="1060" t="s">
        <v>363</v>
      </c>
      <c r="C394" s="1061"/>
      <c r="D394" s="1061"/>
      <c r="E394" s="1062"/>
      <c r="F394" s="599"/>
      <c r="G394" s="675" t="str">
        <f>"Nog af te bouwen regulatoir saldo einde "&amp;F392-1</f>
        <v>Nog af te bouwen regulatoir saldo einde 2019</v>
      </c>
      <c r="H394" s="675" t="str">
        <f>"Afbouw oudste openstaande regulatoir saldo vanaf boekjaar "&amp;F392-3&amp;" en vroeger, door aanwending van compensatie met regulatoir saldo ontstaan over boekjaar "&amp;F392-2</f>
        <v>Afbouw oudste openstaande regulatoir saldo vanaf boekjaar 2017 en vroeger, door aanwending van compensatie met regulatoir saldo ontstaan over boekjaar 2018</v>
      </c>
      <c r="I394" s="675" t="str">
        <f>"Nog af te bouwen regulatoir saldo na compensatie einde "&amp;F392-1</f>
        <v>Nog af te bouwen regulatoir saldo na compensatie einde 2019</v>
      </c>
      <c r="J394" s="675" t="str">
        <f>"Aanwending van "&amp;IF($B$7="elektriciteit","75%",IF($B$7="gas","40%","FALSE"))&amp;" van het geaccumuleerd regulatoir saldo door te rekenen volgens de tariefmethodologie in het boekjaar "&amp;F392</f>
        <v>Aanwending van 75% van het geaccumuleerd regulatoir saldo door te rekenen volgens de tariefmethodologie in het boekjaar 2020</v>
      </c>
      <c r="K394" s="675" t="str">
        <f>"Aanwending van "&amp;IF($B$7="elektriciteit","75%",IF($B$7="gas","40%","FALSE"))&amp;" van het geaccumuleerd regulatoir saldo door te rekenen volgens de tariefmethodologie in het boekjaar "&amp;F392</f>
        <v>Aanwending van 75% van het geaccumuleerd regulatoir saldo door te rekenen volgens de tariefmethodologie in het boekjaar 2020</v>
      </c>
      <c r="L394" s="675" t="str">
        <f>"Totale afbouw over "&amp;F392</f>
        <v>Totale afbouw over 2020</v>
      </c>
      <c r="M394" s="20"/>
      <c r="N394" s="675" t="str">
        <f>"Nog af te bouwen regulatoir saldo einde "&amp;F392</f>
        <v>Nog af te bouwen regulatoir saldo einde 2020</v>
      </c>
      <c r="O394" s="610"/>
    </row>
    <row r="395" spans="2:15" ht="13" x14ac:dyDescent="0.25">
      <c r="B395" s="1057">
        <v>2015</v>
      </c>
      <c r="C395" s="1058"/>
      <c r="D395" s="1058"/>
      <c r="E395" s="1059"/>
      <c r="F395" s="896"/>
      <c r="G395" s="839">
        <f>+N387</f>
        <v>0</v>
      </c>
      <c r="H395" s="898">
        <f>IF(SIGN(G398*N390)&lt;0,IF(G395&lt;&gt;0,-SIGN(G395)*MIN(ABS(G398),ABS(G395)),0),0)</f>
        <v>0</v>
      </c>
      <c r="I395" s="839">
        <f>+G395+H395</f>
        <v>0</v>
      </c>
      <c r="J395" s="698"/>
      <c r="K395" s="897">
        <f>-MIN(ABS(I395),ABS(J399))*SIGN(I395)</f>
        <v>0</v>
      </c>
      <c r="L395" s="898">
        <f>+K395+H395</f>
        <v>0</v>
      </c>
      <c r="M395" s="20"/>
      <c r="N395" s="839">
        <f>+I395+K395</f>
        <v>0</v>
      </c>
      <c r="O395" s="610"/>
    </row>
    <row r="396" spans="2:15" ht="13" x14ac:dyDescent="0.25">
      <c r="B396" s="1057">
        <v>2016</v>
      </c>
      <c r="C396" s="1058"/>
      <c r="D396" s="1058"/>
      <c r="E396" s="1059"/>
      <c r="F396" s="896"/>
      <c r="G396" s="839">
        <f>+N388</f>
        <v>0</v>
      </c>
      <c r="H396" s="898">
        <f>IF(SIGN(G398*N390)&lt;0,IF(G396&lt;&gt;0,-SIGN(G396)*MIN(ABS(G398-H395),ABS(G396)),0),0)</f>
        <v>0</v>
      </c>
      <c r="I396" s="839">
        <f>+G396+H396</f>
        <v>0</v>
      </c>
      <c r="J396" s="698"/>
      <c r="K396" s="897">
        <f>-MIN(ABS(I396),ABS(J399-K395))*SIGN(I396)</f>
        <v>0</v>
      </c>
      <c r="L396" s="898">
        <f>+K396+H396</f>
        <v>0</v>
      </c>
      <c r="M396" s="20"/>
      <c r="N396" s="839">
        <f>+I396+K396</f>
        <v>0</v>
      </c>
      <c r="O396" s="610"/>
    </row>
    <row r="397" spans="2:15" ht="13" x14ac:dyDescent="0.25">
      <c r="B397" s="1057">
        <v>2017</v>
      </c>
      <c r="C397" s="1058"/>
      <c r="D397" s="1058">
        <v>2016</v>
      </c>
      <c r="E397" s="1059"/>
      <c r="F397" s="896"/>
      <c r="G397" s="839">
        <f>+N389</f>
        <v>0</v>
      </c>
      <c r="H397" s="898">
        <f>IF(SIGN(G398*N390)&lt;0,IF(G397&lt;&gt;0,-SIGN(G397)*MIN(ABS(G398-H395-H396),ABS(G397)),0),0)</f>
        <v>0</v>
      </c>
      <c r="I397" s="839">
        <f>+G397+H397</f>
        <v>0</v>
      </c>
      <c r="J397" s="698"/>
      <c r="K397" s="897">
        <f>-MIN(ABS(I397),ABS(J399-K395-K396))*SIGN(I397)</f>
        <v>0</v>
      </c>
      <c r="L397" s="898">
        <f>+K397+H397</f>
        <v>0</v>
      </c>
      <c r="M397" s="20"/>
      <c r="N397" s="839">
        <f>+I397+K397</f>
        <v>0</v>
      </c>
      <c r="O397" s="610"/>
    </row>
    <row r="398" spans="2:15" ht="13" x14ac:dyDescent="0.25">
      <c r="B398" s="1057">
        <v>2018</v>
      </c>
      <c r="C398" s="1058"/>
      <c r="D398" s="1058"/>
      <c r="E398" s="1059"/>
      <c r="F398" s="896"/>
      <c r="G398" s="839">
        <f>J134</f>
        <v>0</v>
      </c>
      <c r="H398" s="898">
        <f>IF(SIGN(G398*N390)&lt;0,-SUM(H395:H397),0)</f>
        <v>0</v>
      </c>
      <c r="I398" s="839">
        <f>+G398+H398</f>
        <v>0</v>
      </c>
      <c r="J398" s="698"/>
      <c r="K398" s="897">
        <f>-MIN(ABS(I398),ABS(J399-K395-K396-K397))*SIGN(I398)</f>
        <v>0</v>
      </c>
      <c r="L398" s="898">
        <f>+K398+H398</f>
        <v>0</v>
      </c>
      <c r="M398" s="20"/>
      <c r="N398" s="839">
        <f>+I398+K398</f>
        <v>0</v>
      </c>
      <c r="O398" s="610"/>
    </row>
    <row r="399" spans="2:15" s="18" customFormat="1" ht="13" x14ac:dyDescent="0.3">
      <c r="G399" s="899">
        <f>SUM(G395:G398)</f>
        <v>0</v>
      </c>
      <c r="H399" s="899">
        <f>SUM(H395:H398)</f>
        <v>0</v>
      </c>
      <c r="I399" s="899">
        <f>SUM(I395:I398)</f>
        <v>0</v>
      </c>
      <c r="J399" s="899">
        <f>-I399*IF($B$7="elektriciteit",0.75,IF($B$7="gas",0.4,"FALSE"))</f>
        <v>0</v>
      </c>
      <c r="K399" s="900">
        <f>SUM(K395:K398)</f>
        <v>0</v>
      </c>
      <c r="L399" s="900"/>
      <c r="N399" s="899">
        <f>SUM(N395:N398)</f>
        <v>0</v>
      </c>
    </row>
    <row r="402" spans="2:14" ht="13" x14ac:dyDescent="0.3">
      <c r="B402" s="18" t="s">
        <v>364</v>
      </c>
      <c r="C402" s="381"/>
      <c r="D402" s="381"/>
      <c r="E402" s="381"/>
    </row>
    <row r="403" spans="2:14" ht="13" x14ac:dyDescent="0.3">
      <c r="B403" s="18"/>
      <c r="C403" s="381"/>
      <c r="D403" s="381"/>
      <c r="E403" s="381"/>
    </row>
    <row r="404" spans="2:14" ht="13" x14ac:dyDescent="0.3">
      <c r="B404" s="864">
        <f>F372</f>
        <v>2017</v>
      </c>
      <c r="C404" s="906">
        <f>J375</f>
        <v>0</v>
      </c>
      <c r="D404" s="381"/>
      <c r="E404" s="381"/>
    </row>
    <row r="405" spans="2:14" ht="13" x14ac:dyDescent="0.3">
      <c r="B405" s="864">
        <f>F377</f>
        <v>2018</v>
      </c>
      <c r="C405" s="906">
        <f>K382</f>
        <v>0</v>
      </c>
      <c r="D405" s="381"/>
      <c r="E405" s="381"/>
    </row>
    <row r="406" spans="2:14" ht="13" x14ac:dyDescent="0.3">
      <c r="B406" s="864">
        <f>F384</f>
        <v>2019</v>
      </c>
      <c r="C406" s="906">
        <f>K390</f>
        <v>0</v>
      </c>
      <c r="D406" s="381"/>
      <c r="E406" s="381"/>
    </row>
    <row r="407" spans="2:14" ht="13" x14ac:dyDescent="0.3">
      <c r="B407" s="864">
        <f>F392</f>
        <v>2020</v>
      </c>
      <c r="C407" s="906">
        <f>K399</f>
        <v>0</v>
      </c>
      <c r="D407" s="381"/>
      <c r="E407" s="381"/>
    </row>
    <row r="408" spans="2:14" x14ac:dyDescent="0.25">
      <c r="M408" s="610"/>
    </row>
    <row r="409" spans="2:14" x14ac:dyDescent="0.25">
      <c r="M409" s="610"/>
    </row>
    <row r="410" spans="2:14" ht="13" x14ac:dyDescent="0.3">
      <c r="B410" s="902" t="s">
        <v>134</v>
      </c>
      <c r="C410" s="903"/>
      <c r="D410" s="903"/>
      <c r="E410" s="903"/>
      <c r="F410" s="904"/>
      <c r="G410" s="904"/>
      <c r="H410" s="904"/>
      <c r="I410" s="904"/>
      <c r="J410" s="904"/>
      <c r="K410" s="904"/>
      <c r="L410" s="904"/>
      <c r="M410" s="905"/>
      <c r="N410" s="904"/>
    </row>
    <row r="411" spans="2:14" x14ac:dyDescent="0.25">
      <c r="M411" s="610"/>
    </row>
    <row r="412" spans="2:14" ht="13" x14ac:dyDescent="0.3">
      <c r="B412" s="18" t="s">
        <v>362</v>
      </c>
      <c r="F412" s="895">
        <v>2017</v>
      </c>
      <c r="M412" s="610"/>
    </row>
    <row r="413" spans="2:14" x14ac:dyDescent="0.25">
      <c r="L413" s="610"/>
      <c r="M413" s="20"/>
    </row>
    <row r="414" spans="2:14" ht="82.5" customHeight="1" x14ac:dyDescent="0.25">
      <c r="B414" s="1060" t="s">
        <v>363</v>
      </c>
      <c r="C414" s="1061"/>
      <c r="D414" s="1061"/>
      <c r="E414" s="1062"/>
      <c r="F414" s="599"/>
      <c r="G414" s="675" t="str">
        <f>"Nog af te bouwen regulatoir saldo einde "&amp;F412-1</f>
        <v>Nog af te bouwen regulatoir saldo einde 2016</v>
      </c>
      <c r="H414" s="675" t="str">
        <f>"Afbouw oudste openstaande regulatoir saldo vanaf boekjaar "&amp;F412-3&amp;" en vroeger, door aanwending van compensatie met regulatoir saldo ontstaan over boekjaar "&amp;F412-2</f>
        <v>Afbouw oudste openstaande regulatoir saldo vanaf boekjaar 2014 en vroeger, door aanwending van compensatie met regulatoir saldo ontstaan over boekjaar 2015</v>
      </c>
      <c r="I414" s="675" t="str">
        <f>"Nog af te bouwen regulatoir saldo na compensatie einde "&amp;F412-1</f>
        <v>Nog af te bouwen regulatoir saldo na compensatie einde 2016</v>
      </c>
      <c r="J414" s="675" t="str">
        <f>"Aanwending van "&amp;IF($B$7="elektriciteit","75%",IF($B$7="gas","40%","FALSE"))&amp;" van het geaccumuleerd regulatoir saldo door te rekenen volgens de tariefmethodologie in het boekjaar "&amp;F412</f>
        <v>Aanwending van 75% van het geaccumuleerd regulatoir saldo door te rekenen volgens de tariefmethodologie in het boekjaar 2017</v>
      </c>
      <c r="K414" s="675" t="str">
        <f>"Nog af te bouwen regulatoir saldo einde "&amp;F412</f>
        <v>Nog af te bouwen regulatoir saldo einde 2017</v>
      </c>
      <c r="L414" s="610"/>
      <c r="M414" s="20"/>
    </row>
    <row r="415" spans="2:14" ht="13" x14ac:dyDescent="0.25">
      <c r="B415" s="1057">
        <v>2015</v>
      </c>
      <c r="C415" s="1058"/>
      <c r="D415" s="1058"/>
      <c r="E415" s="1059"/>
      <c r="F415" s="896"/>
      <c r="G415" s="839">
        <f>G138</f>
        <v>0</v>
      </c>
      <c r="H415" s="897">
        <v>0</v>
      </c>
      <c r="I415" s="839">
        <f>+G415+H415</f>
        <v>0</v>
      </c>
      <c r="J415" s="839">
        <f>-I415*IF($B$7="elektriciteit",0.75,IF($B$7="gas",0.4,"FALSE"))</f>
        <v>0</v>
      </c>
      <c r="K415" s="908">
        <f>+J415+G415</f>
        <v>0</v>
      </c>
      <c r="L415" s="610"/>
      <c r="M415" s="20"/>
    </row>
    <row r="416" spans="2:14" x14ac:dyDescent="0.25">
      <c r="L416" s="610"/>
      <c r="M416" s="20"/>
    </row>
    <row r="417" spans="2:15" ht="13" x14ac:dyDescent="0.3">
      <c r="B417" s="18" t="s">
        <v>362</v>
      </c>
      <c r="F417" s="895">
        <v>2018</v>
      </c>
      <c r="M417" s="610"/>
    </row>
    <row r="418" spans="2:15" x14ac:dyDescent="0.25">
      <c r="M418" s="610"/>
    </row>
    <row r="419" spans="2:15" ht="69.75" customHeight="1" x14ac:dyDescent="0.25">
      <c r="B419" s="1060" t="s">
        <v>363</v>
      </c>
      <c r="C419" s="1061"/>
      <c r="D419" s="1061"/>
      <c r="E419" s="1062"/>
      <c r="F419" s="599"/>
      <c r="G419" s="675" t="str">
        <f>"Nog af te bouwen regulatoir saldo einde "&amp;F417-1</f>
        <v>Nog af te bouwen regulatoir saldo einde 2017</v>
      </c>
      <c r="H419" s="675" t="str">
        <f>"Afbouw oudste openstaande regulatoir saldo vanaf boekjaar "&amp;F417-3&amp;" en vroeger, door aanwending van compensatie met regulatoir saldo ontstaan over boekjaar "&amp;F417-2</f>
        <v>Afbouw oudste openstaande regulatoir saldo vanaf boekjaar 2015 en vroeger, door aanwending van compensatie met regulatoir saldo ontstaan over boekjaar 2016</v>
      </c>
      <c r="I419" s="675" t="str">
        <f>"Nog af te bouwen regulatoir saldo na compensatie einde "&amp;F417-1</f>
        <v>Nog af te bouwen regulatoir saldo na compensatie einde 2017</v>
      </c>
      <c r="J419" s="675" t="str">
        <f>"Aanwending van "&amp;IF($B$7="elektriciteit","75%",IF($B$7="gas","40%","FALSE"))&amp;" van het geaccumuleerd regulatoir saldo door te rekenen volgens de tariefmethodologie in het boekjaar "&amp;F417</f>
        <v>Aanwending van 75% van het geaccumuleerd regulatoir saldo door te rekenen volgens de tariefmethodologie in het boekjaar 2018</v>
      </c>
      <c r="K419" s="675" t="str">
        <f>"Aanwending van "&amp;IF($B$7="elektriciteit","75%",IF($B$7="gas","40%","FALSE"))&amp;" van het geaccumuleerd regulatoir saldo door te rekenen volgens de tariefmethodologie in het boekjaar "&amp;F417</f>
        <v>Aanwending van 75% van het geaccumuleerd regulatoir saldo door te rekenen volgens de tariefmethodologie in het boekjaar 2018</v>
      </c>
      <c r="L419" s="675" t="str">
        <f>"Totale afbouw over "&amp;F417</f>
        <v>Totale afbouw over 2018</v>
      </c>
      <c r="M419" s="20"/>
      <c r="N419" s="675" t="str">
        <f>"Nog af te bouwen regulatoir saldo einde "&amp;F417</f>
        <v>Nog af te bouwen regulatoir saldo einde 2018</v>
      </c>
      <c r="O419" s="610"/>
    </row>
    <row r="420" spans="2:15" ht="13" x14ac:dyDescent="0.25">
      <c r="B420" s="1057">
        <v>2015</v>
      </c>
      <c r="C420" s="1058"/>
      <c r="D420" s="1058"/>
      <c r="E420" s="1059"/>
      <c r="F420" s="896"/>
      <c r="G420" s="839">
        <f>K415</f>
        <v>0</v>
      </c>
      <c r="H420" s="897">
        <f>IF(SIGN(G421*K415)&lt;0,IF(G420&lt;&gt;0,-SIGN(G420)*MIN(ABS(G421),ABS(G420)),0),0)</f>
        <v>0</v>
      </c>
      <c r="I420" s="839">
        <f>+G420+H420</f>
        <v>0</v>
      </c>
      <c r="J420" s="698"/>
      <c r="K420" s="897">
        <f>-MIN(ABS(I420),ABS(J422))*SIGN(I420)</f>
        <v>0</v>
      </c>
      <c r="L420" s="898">
        <f>+K420+H420</f>
        <v>0</v>
      </c>
      <c r="M420" s="20"/>
      <c r="N420" s="839">
        <f>+I420+K420</f>
        <v>0</v>
      </c>
      <c r="O420" s="610"/>
    </row>
    <row r="421" spans="2:15" ht="13" x14ac:dyDescent="0.25">
      <c r="B421" s="1057">
        <v>2016</v>
      </c>
      <c r="C421" s="1058"/>
      <c r="D421" s="1058"/>
      <c r="E421" s="1059"/>
      <c r="F421" s="896"/>
      <c r="G421" s="839">
        <f>H139</f>
        <v>0</v>
      </c>
      <c r="H421" s="898">
        <f>IF(SIGN(G421*K415)&lt;0,-H420,0)</f>
        <v>0</v>
      </c>
      <c r="I421" s="839">
        <f>+G421+H421</f>
        <v>0</v>
      </c>
      <c r="J421" s="698"/>
      <c r="K421" s="897">
        <f>-MIN(ABS(I421),ABS(J422-K420))*SIGN(I421)</f>
        <v>0</v>
      </c>
      <c r="L421" s="898">
        <f>+K421+H421</f>
        <v>0</v>
      </c>
      <c r="M421" s="20"/>
      <c r="N421" s="839">
        <f>+I421+K421</f>
        <v>0</v>
      </c>
      <c r="O421" s="610"/>
    </row>
    <row r="422" spans="2:15" s="18" customFormat="1" ht="13" x14ac:dyDescent="0.3">
      <c r="G422" s="899">
        <f>SUM(G420:G421)</f>
        <v>0</v>
      </c>
      <c r="H422" s="899">
        <f>SUM(H420:H421)</f>
        <v>0</v>
      </c>
      <c r="I422" s="899">
        <f>SUM(I420:I421)</f>
        <v>0</v>
      </c>
      <c r="J422" s="899">
        <f>-I422*IF($B$7="elektriciteit",0.75,IF($B$7="gas",0.4,"FALSE"))</f>
        <v>0</v>
      </c>
      <c r="K422" s="900">
        <f>SUM(K420:K421)</f>
        <v>0</v>
      </c>
      <c r="L422" s="901"/>
      <c r="N422" s="899">
        <f>SUM(N420:N421)</f>
        <v>0</v>
      </c>
    </row>
    <row r="423" spans="2:15" x14ac:dyDescent="0.25">
      <c r="M423" s="610"/>
    </row>
    <row r="424" spans="2:15" ht="13" x14ac:dyDescent="0.3">
      <c r="B424" s="18" t="s">
        <v>362</v>
      </c>
      <c r="F424" s="895">
        <v>2019</v>
      </c>
      <c r="M424" s="20"/>
    </row>
    <row r="425" spans="2:15" x14ac:dyDescent="0.25">
      <c r="M425" s="20"/>
    </row>
    <row r="426" spans="2:15" ht="75.75" customHeight="1" x14ac:dyDescent="0.25">
      <c r="B426" s="1060" t="s">
        <v>363</v>
      </c>
      <c r="C426" s="1061"/>
      <c r="D426" s="1061"/>
      <c r="E426" s="1062"/>
      <c r="F426" s="599"/>
      <c r="G426" s="675" t="str">
        <f>"Nog af te bouwen regulatoir saldo einde "&amp;F424-1</f>
        <v>Nog af te bouwen regulatoir saldo einde 2018</v>
      </c>
      <c r="H426" s="675" t="str">
        <f>"Afbouw oudste openstaande regulatoir saldo vanaf boekjaar "&amp;F424-3&amp;" en vroeger, door aanwending van compensatie met regulatoir saldo ontstaan over boekjaar "&amp;F424-2</f>
        <v>Afbouw oudste openstaande regulatoir saldo vanaf boekjaar 2016 en vroeger, door aanwending van compensatie met regulatoir saldo ontstaan over boekjaar 2017</v>
      </c>
      <c r="I426" s="675" t="str">
        <f>"Nog af te bouwen regulatoir saldo na compensatie einde "&amp;F424-1</f>
        <v>Nog af te bouwen regulatoir saldo na compensatie einde 2018</v>
      </c>
      <c r="J426" s="675" t="str">
        <f>"Aanwending van "&amp;IF($B$7="elektriciteit","75%",IF($B$7="gas","40%","FALSE"))&amp;" van het geaccumuleerd regulatoir saldo door te rekenen volgens de tariefmethodologie in het boekjaar "&amp;F424</f>
        <v>Aanwending van 75% van het geaccumuleerd regulatoir saldo door te rekenen volgens de tariefmethodologie in het boekjaar 2019</v>
      </c>
      <c r="K426" s="675" t="str">
        <f>"Aanwending van "&amp;IF($B$7="elektriciteit","75%",IF($B$7="gas","40%","FALSE"))&amp;" van het geaccumuleerd regulatoir saldo door te rekenen volgens de tariefmethodologie in het boekjaar "&amp;F424</f>
        <v>Aanwending van 75% van het geaccumuleerd regulatoir saldo door te rekenen volgens de tariefmethodologie in het boekjaar 2019</v>
      </c>
      <c r="L426" s="675" t="str">
        <f>"Totale afbouw over "&amp;F424</f>
        <v>Totale afbouw over 2019</v>
      </c>
      <c r="M426" s="20"/>
      <c r="N426" s="675" t="str">
        <f>"Nog af te bouwen regulatoir saldo einde "&amp;F424</f>
        <v>Nog af te bouwen regulatoir saldo einde 2019</v>
      </c>
      <c r="O426" s="610"/>
    </row>
    <row r="427" spans="2:15" ht="13" x14ac:dyDescent="0.25">
      <c r="B427" s="1057">
        <v>2015</v>
      </c>
      <c r="C427" s="1058"/>
      <c r="D427" s="1058"/>
      <c r="E427" s="1059"/>
      <c r="F427" s="896"/>
      <c r="G427" s="839">
        <f>+N420</f>
        <v>0</v>
      </c>
      <c r="H427" s="898">
        <f>IF(SIGN(G429*N422)&lt;0,IF(G427&lt;&gt;0,-SIGN(G427)*MIN(ABS(G429),ABS(G427)),0),0)</f>
        <v>0</v>
      </c>
      <c r="I427" s="839">
        <f>+G427+H427</f>
        <v>0</v>
      </c>
      <c r="J427" s="698"/>
      <c r="K427" s="897">
        <f>-MIN(ABS(I427),ABS(J430))*SIGN(I427)</f>
        <v>0</v>
      </c>
      <c r="L427" s="898">
        <f>+K427+H427</f>
        <v>0</v>
      </c>
      <c r="M427" s="20"/>
      <c r="N427" s="839">
        <f>+I427+K427</f>
        <v>0</v>
      </c>
      <c r="O427" s="610"/>
    </row>
    <row r="428" spans="2:15" ht="13" x14ac:dyDescent="0.25">
      <c r="B428" s="1057">
        <v>2016</v>
      </c>
      <c r="C428" s="1058"/>
      <c r="D428" s="1058">
        <v>2016</v>
      </c>
      <c r="E428" s="1059"/>
      <c r="F428" s="896"/>
      <c r="G428" s="839">
        <f>+N421</f>
        <v>0</v>
      </c>
      <c r="H428" s="898">
        <f>IF(SIGN(G429*N422)&lt;0,IF(G428&lt;&gt;0,-SIGN(G428)*MIN(ABS(G429-H427),ABS(G428)),0),0)</f>
        <v>0</v>
      </c>
      <c r="I428" s="839">
        <f>+G428+H428</f>
        <v>0</v>
      </c>
      <c r="J428" s="698"/>
      <c r="K428" s="897">
        <f>-MIN(ABS(I428),ABS(J430-K427))*SIGN(I428)</f>
        <v>0</v>
      </c>
      <c r="L428" s="898">
        <f>+K428+H428</f>
        <v>0</v>
      </c>
      <c r="M428" s="20"/>
      <c r="N428" s="839">
        <f>+I428+K428</f>
        <v>0</v>
      </c>
      <c r="O428" s="610"/>
    </row>
    <row r="429" spans="2:15" ht="13" x14ac:dyDescent="0.25">
      <c r="B429" s="1057">
        <v>2017</v>
      </c>
      <c r="C429" s="1058"/>
      <c r="D429" s="1058"/>
      <c r="E429" s="1059"/>
      <c r="F429" s="896"/>
      <c r="G429" s="839">
        <f>I140</f>
        <v>0</v>
      </c>
      <c r="H429" s="898">
        <f>IF(SIGN(G429*N422)&lt;0,-SUM(H427:H428),0)</f>
        <v>0</v>
      </c>
      <c r="I429" s="839">
        <f>+G429+H429</f>
        <v>0</v>
      </c>
      <c r="J429" s="698"/>
      <c r="K429" s="897">
        <f>-MIN(ABS(I429),ABS(J430-K427-K428))*SIGN(I429)</f>
        <v>0</v>
      </c>
      <c r="L429" s="898">
        <f>+K429+H429</f>
        <v>0</v>
      </c>
      <c r="M429" s="20"/>
      <c r="N429" s="839">
        <f>+I429+K429</f>
        <v>0</v>
      </c>
      <c r="O429" s="610"/>
    </row>
    <row r="430" spans="2:15" s="18" customFormat="1" ht="13" x14ac:dyDescent="0.3">
      <c r="G430" s="899">
        <f>SUM(G427:G429)</f>
        <v>0</v>
      </c>
      <c r="H430" s="899">
        <f>SUM(H427:H429)</f>
        <v>0</v>
      </c>
      <c r="I430" s="899">
        <f>SUM(I427:I429)</f>
        <v>0</v>
      </c>
      <c r="J430" s="899">
        <f>-I430*IF($B$7="elektriciteit",0.75,IF($B$7="gas",0.4,"FALSE"))</f>
        <v>0</v>
      </c>
      <c r="K430" s="900">
        <f>SUM(K427:K429)</f>
        <v>0</v>
      </c>
      <c r="L430" s="901"/>
      <c r="N430" s="899">
        <f>SUM(N427:N429)</f>
        <v>0</v>
      </c>
    </row>
    <row r="431" spans="2:15" x14ac:dyDescent="0.25">
      <c r="M431" s="610"/>
    </row>
    <row r="432" spans="2:15" ht="13" x14ac:dyDescent="0.3">
      <c r="B432" s="18" t="s">
        <v>362</v>
      </c>
      <c r="F432" s="895">
        <v>2020</v>
      </c>
      <c r="M432" s="20"/>
    </row>
    <row r="433" spans="2:15" x14ac:dyDescent="0.25">
      <c r="M433" s="20"/>
    </row>
    <row r="434" spans="2:15" ht="78" customHeight="1" x14ac:dyDescent="0.25">
      <c r="B434" s="1060" t="s">
        <v>363</v>
      </c>
      <c r="C434" s="1061"/>
      <c r="D434" s="1061"/>
      <c r="E434" s="1062"/>
      <c r="F434" s="599"/>
      <c r="G434" s="675" t="str">
        <f>"Nog af te bouwen regulatoir saldo einde "&amp;F432-1</f>
        <v>Nog af te bouwen regulatoir saldo einde 2019</v>
      </c>
      <c r="H434" s="675" t="str">
        <f>"Afbouw oudste openstaande regulatoir saldo vanaf boekjaar "&amp;F432-3&amp;" en vroeger, door aanwending van compensatie met regulatoir saldo ontstaan over boekjaar "&amp;F432-2</f>
        <v>Afbouw oudste openstaande regulatoir saldo vanaf boekjaar 2017 en vroeger, door aanwending van compensatie met regulatoir saldo ontstaan over boekjaar 2018</v>
      </c>
      <c r="I434" s="675" t="str">
        <f>"Nog af te bouwen regulatoir saldo na compensatie einde "&amp;F432-1</f>
        <v>Nog af te bouwen regulatoir saldo na compensatie einde 2019</v>
      </c>
      <c r="J434" s="675" t="str">
        <f>"Aanwending van "&amp;IF($B$7="elektriciteit","75%",IF($B$7="gas","40%","FALSE"))&amp;" van het geaccumuleerd regulatoir saldo door te rekenen volgens de tariefmethodologie in het boekjaar "&amp;F432</f>
        <v>Aanwending van 75% van het geaccumuleerd regulatoir saldo door te rekenen volgens de tariefmethodologie in het boekjaar 2020</v>
      </c>
      <c r="K434" s="675" t="str">
        <f>"Aanwending van "&amp;IF($B$7="elektriciteit","75%",IF($B$7="gas","40%","FALSE"))&amp;" van het geaccumuleerd regulatoir saldo door te rekenen volgens de tariefmethodologie in het boekjaar "&amp;F432</f>
        <v>Aanwending van 75% van het geaccumuleerd regulatoir saldo door te rekenen volgens de tariefmethodologie in het boekjaar 2020</v>
      </c>
      <c r="L434" s="675" t="str">
        <f>"Totale afbouw over "&amp;F432</f>
        <v>Totale afbouw over 2020</v>
      </c>
      <c r="M434" s="20"/>
      <c r="N434" s="675" t="str">
        <f>"Nog af te bouwen regulatoir saldo einde "&amp;F432</f>
        <v>Nog af te bouwen regulatoir saldo einde 2020</v>
      </c>
      <c r="O434" s="610"/>
    </row>
    <row r="435" spans="2:15" ht="13" x14ac:dyDescent="0.25">
      <c r="B435" s="1057">
        <v>2015</v>
      </c>
      <c r="C435" s="1058"/>
      <c r="D435" s="1058"/>
      <c r="E435" s="1059"/>
      <c r="F435" s="896"/>
      <c r="G435" s="839">
        <f>+N427</f>
        <v>0</v>
      </c>
      <c r="H435" s="898">
        <f>IF(SIGN(G438*N430)&lt;0,IF(G435&lt;&gt;0,-SIGN(G435)*MIN(ABS(G438),ABS(G435)),0),0)</f>
        <v>0</v>
      </c>
      <c r="I435" s="839">
        <f>+G435+H435</f>
        <v>0</v>
      </c>
      <c r="J435" s="698"/>
      <c r="K435" s="897">
        <f>-MIN(ABS(I435),ABS(J439))*SIGN(I435)</f>
        <v>0</v>
      </c>
      <c r="L435" s="898">
        <f>+K435+H435</f>
        <v>0</v>
      </c>
      <c r="M435" s="20"/>
      <c r="N435" s="839">
        <f>+I435+K435</f>
        <v>0</v>
      </c>
      <c r="O435" s="610"/>
    </row>
    <row r="436" spans="2:15" ht="13" x14ac:dyDescent="0.25">
      <c r="B436" s="1057">
        <v>2016</v>
      </c>
      <c r="C436" s="1058"/>
      <c r="D436" s="1058"/>
      <c r="E436" s="1059"/>
      <c r="F436" s="896"/>
      <c r="G436" s="839">
        <f>+N428</f>
        <v>0</v>
      </c>
      <c r="H436" s="898">
        <f>IF(SIGN(G438*N430)&lt;0,IF(G436&lt;&gt;0,-SIGN(G436)*MIN(ABS(G438-H435),ABS(G436)),0),0)</f>
        <v>0</v>
      </c>
      <c r="I436" s="839">
        <f>+G436+H436</f>
        <v>0</v>
      </c>
      <c r="J436" s="698"/>
      <c r="K436" s="897">
        <f>-MIN(ABS(I436),ABS(J439-K435))*SIGN(I436)</f>
        <v>0</v>
      </c>
      <c r="L436" s="898">
        <f>+K436+H436</f>
        <v>0</v>
      </c>
      <c r="M436" s="20"/>
      <c r="N436" s="839">
        <f>+I436+K436</f>
        <v>0</v>
      </c>
      <c r="O436" s="610"/>
    </row>
    <row r="437" spans="2:15" ht="13" x14ac:dyDescent="0.25">
      <c r="B437" s="1057">
        <v>2017</v>
      </c>
      <c r="C437" s="1058"/>
      <c r="D437" s="1058">
        <v>2016</v>
      </c>
      <c r="E437" s="1059"/>
      <c r="F437" s="896"/>
      <c r="G437" s="839">
        <f>+N429</f>
        <v>0</v>
      </c>
      <c r="H437" s="898">
        <f>IF(SIGN(G438*N430)&lt;0,IF(G437&lt;&gt;0,-SIGN(G437)*MIN(ABS(G438-H435-H436),ABS(G437)),0),0)</f>
        <v>0</v>
      </c>
      <c r="I437" s="839">
        <f>+G437+H437</f>
        <v>0</v>
      </c>
      <c r="J437" s="698"/>
      <c r="K437" s="897">
        <f>-MIN(ABS(I437),ABS(J439-K435-K436))*SIGN(I437)</f>
        <v>0</v>
      </c>
      <c r="L437" s="898">
        <f>+K437+H437</f>
        <v>0</v>
      </c>
      <c r="M437" s="20"/>
      <c r="N437" s="839">
        <f>+I437+K437</f>
        <v>0</v>
      </c>
      <c r="O437" s="610"/>
    </row>
    <row r="438" spans="2:15" ht="13" x14ac:dyDescent="0.25">
      <c r="B438" s="1057">
        <v>2018</v>
      </c>
      <c r="C438" s="1058"/>
      <c r="D438" s="1058"/>
      <c r="E438" s="1059"/>
      <c r="F438" s="896"/>
      <c r="G438" s="839">
        <f>J141</f>
        <v>0</v>
      </c>
      <c r="H438" s="898">
        <f>IF(SIGN(G438*N430)&lt;0,-SUM(H435:H437),0)</f>
        <v>0</v>
      </c>
      <c r="I438" s="839">
        <f>+G438+H438</f>
        <v>0</v>
      </c>
      <c r="J438" s="698"/>
      <c r="K438" s="897">
        <f>-MIN(ABS(I438),ABS(J439-K435-K436-K437))*SIGN(I438)</f>
        <v>0</v>
      </c>
      <c r="L438" s="898">
        <f>+K438+H438</f>
        <v>0</v>
      </c>
      <c r="M438" s="20"/>
      <c r="N438" s="839">
        <f>+I438+K438</f>
        <v>0</v>
      </c>
      <c r="O438" s="610"/>
    </row>
    <row r="439" spans="2:15" s="18" customFormat="1" ht="13" x14ac:dyDescent="0.3">
      <c r="G439" s="899">
        <f>SUM(G435:G438)</f>
        <v>0</v>
      </c>
      <c r="H439" s="899">
        <f>SUM(H435:H438)</f>
        <v>0</v>
      </c>
      <c r="I439" s="899">
        <f>SUM(I435:I438)</f>
        <v>0</v>
      </c>
      <c r="J439" s="899">
        <f>-I439*IF($B$7="elektriciteit",0.75,IF($B$7="gas",0.4,"FALSE"))</f>
        <v>0</v>
      </c>
      <c r="K439" s="900">
        <f>SUM(K435:K438)</f>
        <v>0</v>
      </c>
      <c r="L439" s="900"/>
      <c r="N439" s="899">
        <f>SUM(N435:N438)</f>
        <v>0</v>
      </c>
    </row>
    <row r="442" spans="2:15" ht="13" x14ac:dyDescent="0.3">
      <c r="B442" s="18" t="s">
        <v>364</v>
      </c>
      <c r="C442" s="381"/>
      <c r="D442" s="381"/>
      <c r="E442" s="381"/>
    </row>
    <row r="443" spans="2:15" ht="13" x14ac:dyDescent="0.3">
      <c r="B443" s="18"/>
      <c r="C443" s="381"/>
      <c r="D443" s="381"/>
      <c r="E443" s="381"/>
    </row>
    <row r="444" spans="2:15" ht="13" x14ac:dyDescent="0.3">
      <c r="B444" s="864">
        <f>F412</f>
        <v>2017</v>
      </c>
      <c r="C444" s="906">
        <f>J415</f>
        <v>0</v>
      </c>
      <c r="D444" s="381"/>
      <c r="E444" s="381"/>
    </row>
    <row r="445" spans="2:15" ht="13" x14ac:dyDescent="0.3">
      <c r="B445" s="864">
        <f>F417</f>
        <v>2018</v>
      </c>
      <c r="C445" s="906">
        <f>K422</f>
        <v>0</v>
      </c>
      <c r="D445" s="381"/>
      <c r="E445" s="381"/>
    </row>
    <row r="446" spans="2:15" ht="13" x14ac:dyDescent="0.3">
      <c r="B446" s="864">
        <f>F424</f>
        <v>2019</v>
      </c>
      <c r="C446" s="906">
        <f>K430</f>
        <v>0</v>
      </c>
      <c r="D446" s="381"/>
      <c r="E446" s="381"/>
    </row>
    <row r="447" spans="2:15" ht="13" x14ac:dyDescent="0.3">
      <c r="B447" s="864">
        <f>F432</f>
        <v>2020</v>
      </c>
      <c r="C447" s="906">
        <f>K439</f>
        <v>0</v>
      </c>
      <c r="D447" s="381"/>
      <c r="E447" s="381"/>
    </row>
    <row r="448" spans="2:15" x14ac:dyDescent="0.25">
      <c r="M448" s="610"/>
    </row>
    <row r="449" spans="13:13" x14ac:dyDescent="0.25">
      <c r="M449" s="610"/>
    </row>
    <row r="450" spans="13:13" x14ac:dyDescent="0.25">
      <c r="M450" s="610"/>
    </row>
    <row r="451" spans="13:13" x14ac:dyDescent="0.25">
      <c r="M451" s="610"/>
    </row>
    <row r="452" spans="13:13" x14ac:dyDescent="0.25">
      <c r="M452" s="610"/>
    </row>
    <row r="453" spans="13:13" x14ac:dyDescent="0.25">
      <c r="M453" s="610"/>
    </row>
  </sheetData>
  <mergeCells count="236">
    <mergeCell ref="A1:J1"/>
    <mergeCell ref="B4:E4"/>
    <mergeCell ref="B7:E7"/>
    <mergeCell ref="B13:E13"/>
    <mergeCell ref="B15:E15"/>
    <mergeCell ref="B38:E38"/>
    <mergeCell ref="B23:E23"/>
    <mergeCell ref="B24:E24"/>
    <mergeCell ref="B28:E28"/>
    <mergeCell ref="B30:E30"/>
    <mergeCell ref="B31:E31"/>
    <mergeCell ref="B32:E32"/>
    <mergeCell ref="B16:E16"/>
    <mergeCell ref="B17:E17"/>
    <mergeCell ref="B18:E18"/>
    <mergeCell ref="B19:E19"/>
    <mergeCell ref="B20:E20"/>
    <mergeCell ref="B21:E21"/>
    <mergeCell ref="B40:E40"/>
    <mergeCell ref="B41:E41"/>
    <mergeCell ref="B42:E42"/>
    <mergeCell ref="B43:E43"/>
    <mergeCell ref="B33:E33"/>
    <mergeCell ref="B34:E34"/>
    <mergeCell ref="B35:E35"/>
    <mergeCell ref="B36:E36"/>
    <mergeCell ref="B37:E37"/>
    <mergeCell ref="B39:E39"/>
    <mergeCell ref="B50:E50"/>
    <mergeCell ref="B51:E51"/>
    <mergeCell ref="B52:E52"/>
    <mergeCell ref="B53:E53"/>
    <mergeCell ref="B54:E54"/>
    <mergeCell ref="B55:E55"/>
    <mergeCell ref="B44:E44"/>
    <mergeCell ref="B45:E45"/>
    <mergeCell ref="B46:E46"/>
    <mergeCell ref="B47:E47"/>
    <mergeCell ref="B48:E48"/>
    <mergeCell ref="B49:E49"/>
    <mergeCell ref="B62:E62"/>
    <mergeCell ref="B63:E63"/>
    <mergeCell ref="B64:E64"/>
    <mergeCell ref="B65:E65"/>
    <mergeCell ref="B66:E66"/>
    <mergeCell ref="B67:E67"/>
    <mergeCell ref="B56:E56"/>
    <mergeCell ref="B57:E57"/>
    <mergeCell ref="B58:E58"/>
    <mergeCell ref="B59:E59"/>
    <mergeCell ref="B60:E60"/>
    <mergeCell ref="B61:E61"/>
    <mergeCell ref="B74:E74"/>
    <mergeCell ref="B75:E75"/>
    <mergeCell ref="B76:E76"/>
    <mergeCell ref="B77:E77"/>
    <mergeCell ref="B78:E78"/>
    <mergeCell ref="B81:E81"/>
    <mergeCell ref="B68:E68"/>
    <mergeCell ref="B69:E69"/>
    <mergeCell ref="B70:E70"/>
    <mergeCell ref="B71:E71"/>
    <mergeCell ref="B72:E72"/>
    <mergeCell ref="B73:E73"/>
    <mergeCell ref="B95:E95"/>
    <mergeCell ref="B96:E96"/>
    <mergeCell ref="B103:E103"/>
    <mergeCell ref="B104:E104"/>
    <mergeCell ref="B105:E105"/>
    <mergeCell ref="B106:E106"/>
    <mergeCell ref="B82:E82"/>
    <mergeCell ref="B83:E83"/>
    <mergeCell ref="B84:E84"/>
    <mergeCell ref="B85:E85"/>
    <mergeCell ref="B86:E86"/>
    <mergeCell ref="B102:E102"/>
    <mergeCell ref="B87:E87"/>
    <mergeCell ref="B88:E88"/>
    <mergeCell ref="B92:E92"/>
    <mergeCell ref="B94:E94"/>
    <mergeCell ref="B108:E108"/>
    <mergeCell ref="B109:E109"/>
    <mergeCell ref="B110:E110"/>
    <mergeCell ref="B111:E111"/>
    <mergeCell ref="B112:E112"/>
    <mergeCell ref="B113:E113"/>
    <mergeCell ref="B107:E107"/>
    <mergeCell ref="B97:E97"/>
    <mergeCell ref="B98:E98"/>
    <mergeCell ref="B99:E99"/>
    <mergeCell ref="B100:E100"/>
    <mergeCell ref="B101:E101"/>
    <mergeCell ref="B120:E120"/>
    <mergeCell ref="B121:E121"/>
    <mergeCell ref="B122:E122"/>
    <mergeCell ref="B123:E123"/>
    <mergeCell ref="B124:E124"/>
    <mergeCell ref="B125:E125"/>
    <mergeCell ref="B114:E114"/>
    <mergeCell ref="B115:E115"/>
    <mergeCell ref="B116:E116"/>
    <mergeCell ref="B117:E117"/>
    <mergeCell ref="B118:E118"/>
    <mergeCell ref="B119:E119"/>
    <mergeCell ref="B132:E132"/>
    <mergeCell ref="B133:E133"/>
    <mergeCell ref="B134:E134"/>
    <mergeCell ref="B135:E135"/>
    <mergeCell ref="B136:E136"/>
    <mergeCell ref="B137:E137"/>
    <mergeCell ref="B126:E126"/>
    <mergeCell ref="B127:E127"/>
    <mergeCell ref="B128:E128"/>
    <mergeCell ref="B129:E129"/>
    <mergeCell ref="B130:E130"/>
    <mergeCell ref="B131:E131"/>
    <mergeCell ref="B146:E146"/>
    <mergeCell ref="B147:E147"/>
    <mergeCell ref="B148:E148"/>
    <mergeCell ref="B149:E149"/>
    <mergeCell ref="B150:E150"/>
    <mergeCell ref="B151:E151"/>
    <mergeCell ref="B138:E138"/>
    <mergeCell ref="B139:E139"/>
    <mergeCell ref="B140:E140"/>
    <mergeCell ref="B141:E141"/>
    <mergeCell ref="B142:E142"/>
    <mergeCell ref="B145:E145"/>
    <mergeCell ref="B162:E162"/>
    <mergeCell ref="B163:E163"/>
    <mergeCell ref="B164:E164"/>
    <mergeCell ref="B165:E165"/>
    <mergeCell ref="B167:E167"/>
    <mergeCell ref="B152:E152"/>
    <mergeCell ref="B157:E157"/>
    <mergeCell ref="B159:E159"/>
    <mergeCell ref="B160:E160"/>
    <mergeCell ref="B161:E161"/>
    <mergeCell ref="B187:E187"/>
    <mergeCell ref="B188:E188"/>
    <mergeCell ref="B189:E189"/>
    <mergeCell ref="B194:E194"/>
    <mergeCell ref="B195:E195"/>
    <mergeCell ref="B196:E196"/>
    <mergeCell ref="B174:E174"/>
    <mergeCell ref="B175:E175"/>
    <mergeCell ref="B179:E179"/>
    <mergeCell ref="B180:E180"/>
    <mergeCell ref="B181:E181"/>
    <mergeCell ref="B186:E186"/>
    <mergeCell ref="B221:E221"/>
    <mergeCell ref="B226:E226"/>
    <mergeCell ref="B227:E227"/>
    <mergeCell ref="B228:E228"/>
    <mergeCell ref="B229:E229"/>
    <mergeCell ref="B234:E234"/>
    <mergeCell ref="B197:E197"/>
    <mergeCell ref="B198:E198"/>
    <mergeCell ref="B214:E214"/>
    <mergeCell ref="B215:E215"/>
    <mergeCell ref="B219:E219"/>
    <mergeCell ref="B220:E220"/>
    <mergeCell ref="B259:E259"/>
    <mergeCell ref="B260:E260"/>
    <mergeCell ref="B261:E261"/>
    <mergeCell ref="B266:E266"/>
    <mergeCell ref="B267:E267"/>
    <mergeCell ref="B268:E268"/>
    <mergeCell ref="B235:E235"/>
    <mergeCell ref="B236:E236"/>
    <mergeCell ref="B237:E237"/>
    <mergeCell ref="B238:E238"/>
    <mergeCell ref="B254:E254"/>
    <mergeCell ref="B255:E255"/>
    <mergeCell ref="B294:E294"/>
    <mergeCell ref="B295:E295"/>
    <mergeCell ref="B299:E299"/>
    <mergeCell ref="B300:E300"/>
    <mergeCell ref="B301:E301"/>
    <mergeCell ref="B306:E306"/>
    <mergeCell ref="B269:E269"/>
    <mergeCell ref="B274:E274"/>
    <mergeCell ref="B275:E275"/>
    <mergeCell ref="B276:E276"/>
    <mergeCell ref="B277:E277"/>
    <mergeCell ref="B278:E278"/>
    <mergeCell ref="B317:E317"/>
    <mergeCell ref="B318:E318"/>
    <mergeCell ref="B334:E334"/>
    <mergeCell ref="B335:E335"/>
    <mergeCell ref="B339:E339"/>
    <mergeCell ref="B340:E340"/>
    <mergeCell ref="B307:E307"/>
    <mergeCell ref="B308:E308"/>
    <mergeCell ref="B309:E309"/>
    <mergeCell ref="B314:E314"/>
    <mergeCell ref="B315:E315"/>
    <mergeCell ref="B316:E316"/>
    <mergeCell ref="B355:E355"/>
    <mergeCell ref="B356:E356"/>
    <mergeCell ref="B357:E357"/>
    <mergeCell ref="B358:E358"/>
    <mergeCell ref="B374:E374"/>
    <mergeCell ref="B375:E375"/>
    <mergeCell ref="B341:E341"/>
    <mergeCell ref="B346:E346"/>
    <mergeCell ref="B347:E347"/>
    <mergeCell ref="B348:E348"/>
    <mergeCell ref="B349:E349"/>
    <mergeCell ref="B354:E354"/>
    <mergeCell ref="B389:E389"/>
    <mergeCell ref="B394:E394"/>
    <mergeCell ref="B395:E395"/>
    <mergeCell ref="B396:E396"/>
    <mergeCell ref="B397:E397"/>
    <mergeCell ref="B398:E398"/>
    <mergeCell ref="B379:E379"/>
    <mergeCell ref="B380:E380"/>
    <mergeCell ref="B381:E381"/>
    <mergeCell ref="B386:E386"/>
    <mergeCell ref="B387:E387"/>
    <mergeCell ref="B388:E388"/>
    <mergeCell ref="B437:E437"/>
    <mergeCell ref="B438:E438"/>
    <mergeCell ref="B427:E427"/>
    <mergeCell ref="B428:E428"/>
    <mergeCell ref="B429:E429"/>
    <mergeCell ref="B434:E434"/>
    <mergeCell ref="B435:E435"/>
    <mergeCell ref="B436:E436"/>
    <mergeCell ref="B414:E414"/>
    <mergeCell ref="B415:E415"/>
    <mergeCell ref="B419:E419"/>
    <mergeCell ref="B420:E420"/>
    <mergeCell ref="B421:E421"/>
    <mergeCell ref="B426:E426"/>
  </mergeCells>
  <conditionalFormatting sqref="B51:L64 B115:L128 B18:L19 B162:G163">
    <cfRule type="expression" dxfId="54" priority="22" stopIfTrue="1">
      <formula>$B$7="gas"</formula>
    </cfRule>
  </conditionalFormatting>
  <conditionalFormatting sqref="B20:L20 B65:L71 B129:L135 B164:G164">
    <cfRule type="expression" dxfId="53" priority="21" stopIfTrue="1">
      <formula>$B$7="elektriciteit"</formula>
    </cfRule>
  </conditionalFormatting>
  <conditionalFormatting sqref="N51:N64 N115:N128 N18:N19">
    <cfRule type="expression" dxfId="52" priority="17" stopIfTrue="1">
      <formula>$B$7="gas"</formula>
    </cfRule>
  </conditionalFormatting>
  <conditionalFormatting sqref="N20 N65:N71 N129:N135">
    <cfRule type="expression" dxfId="51" priority="16" stopIfTrue="1">
      <formula>$B$7="elektriciteit"</formula>
    </cfRule>
  </conditionalFormatting>
  <conditionalFormatting sqref="B155:J155 B156:G167 H156:J168">
    <cfRule type="expression" dxfId="50" priority="13" stopIfTrue="1">
      <formula>$E$2="ex-post"</formula>
    </cfRule>
  </conditionalFormatting>
  <conditionalFormatting sqref="B290:N367">
    <cfRule type="expression" dxfId="49" priority="2" stopIfTrue="1">
      <formula>$B$7="gas"</formula>
    </cfRule>
  </conditionalFormatting>
  <conditionalFormatting sqref="B370:N407">
    <cfRule type="expression" dxfId="48" priority="1" stopIfTrue="1">
      <formula>$B$7="elektriciteit"</formula>
    </cfRule>
  </conditionalFormatting>
  <pageMargins left="0.70866141732283472" right="0.70866141732283472" top="0.74803149606299213" bottom="0.74803149606299213" header="0.31496062992125984" footer="0.31496062992125984"/>
  <pageSetup paperSize="8" scale="27" fitToWidth="2" fitToHeight="2" orientation="portrait" r:id="rId1"/>
  <rowBreaks count="1" manualBreakCount="1">
    <brk id="88" max="13" man="1"/>
  </rowBreaks>
  <ignoredErrors>
    <ignoredError sqref="G87:J87 G15:L21 N15:N21 N31:N36 N82:N87 N38:N43 N45:N50 N52:N57 N59:N64 N66:N71 N73:N79 G84 G85:H85 G86:I86 G95 G150:K150 G149:J149 G148:I148 G147:H147 G146 K141 J140 I139 H138 G137 K134 J133 I132 H131 G130 K127 J126 I125 H124 G123 K120 J119 I118 H117 G116 J112 I111 H110 G109 K106 J105 I104 H103 G102 K99 J98 I97 H96 N143 L142 L135 L128 L121 K113 L107 G151:L151 L114 L100 G99:J99 G101:N101 G100:K100 N100 G115:N115 G114:K114 N114 N151 G108:N108 G107:K107 N107 G113:J113 L113 G122:N122 G121:K121 N121 G129:N129 G128:K128 N128 G136:N136 G135:K135 N135 G144:N145 G142:K142 N142 G143:M143 G96 I96:L96 G97:H97 J97:L97 G98:I98 K98:L98 L99 G106:J106 H102:L102 G103 I103:L103 G104:H104 J104:L104 G105:I105 K105:L105 L106 G112:I112 H109:L109 G110 I110:L110 G111:H111 J111:L111 K112:L112 G120:J120 H116:L116 G117 I117:L117 G118:H118 J118:L118 G119:I119 K119:L119 L120 G127:J127 H123:L123 G124 I124:L124 G125:H125 J125:L125 G126:I126 K126:L126 L127 G134:J134 H130:L130 G131 I131:L131 G132:H132 J132:L132 G133:I133 K133:L133 L134 G141:J141 H137:L137 G138 I138:L138 G139:H139 J139:L139 G140:I140 K140:L140 L141 L150 H146:L146 I147:L147 J148:L148 K149:L149 N95:N96 N97 N98 N99 N102 N103 N104 N105 N106 N113 N109 N110 N111 N112 N116 N117 N118 N119 N120 N123 N124 N125 N126 N127 N130 N131 N132 N133 N134 N137 N138 N139 N140 N141 N150 N146 N147 N148 N149"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Blad13">
    <pageSetUpPr fitToPage="1"/>
  </sheetPr>
  <dimension ref="A1:P55"/>
  <sheetViews>
    <sheetView showGridLines="0" zoomScale="90" zoomScaleNormal="90" workbookViewId="0">
      <selection activeCell="A45" sqref="A45"/>
    </sheetView>
  </sheetViews>
  <sheetFormatPr defaultColWidth="8.81640625" defaultRowHeight="12.5" x14ac:dyDescent="0.25"/>
  <cols>
    <col min="1" max="1" width="2.81640625" style="238" customWidth="1"/>
    <col min="2" max="2" width="7.1796875" style="238" customWidth="1"/>
    <col min="3" max="3" width="32.81640625" style="238" customWidth="1"/>
    <col min="4" max="4" width="48.26953125" style="239" customWidth="1"/>
    <col min="5" max="5" width="20.453125" style="238" customWidth="1"/>
    <col min="6" max="6" width="42.54296875" style="238" customWidth="1"/>
    <col min="7" max="7" width="17.54296875" style="238" customWidth="1"/>
    <col min="8" max="8" width="26" style="238" customWidth="1"/>
    <col min="9" max="9" width="2.26953125" style="238" customWidth="1"/>
    <col min="10" max="10" width="30.1796875" style="238" customWidth="1"/>
    <col min="11" max="14" width="10.7265625" style="238" customWidth="1"/>
    <col min="15" max="15" width="10.1796875" style="238" customWidth="1"/>
    <col min="16" max="16384" width="8.81640625" style="238"/>
  </cols>
  <sheetData>
    <row r="1" spans="1:16" s="235" customFormat="1" ht="18.5" thickBot="1" x14ac:dyDescent="0.45">
      <c r="A1" s="1051" t="str">
        <f>"TABEL 5C: Werkelijke ontvangsten uit periodieke nettarieven voor exogene en endogene kosten in boekjaar "&amp;TITELBLAD!E15&amp;" (elektriciteit - afname)"</f>
        <v>TABEL 5C: Werkelijke ontvangsten uit periodieke nettarieven voor exogene en endogene kosten in boekjaar 2017 (elektriciteit - afname)</v>
      </c>
      <c r="B1" s="1052"/>
      <c r="C1" s="1052"/>
      <c r="D1" s="1052"/>
      <c r="E1" s="1052"/>
      <c r="F1" s="1052"/>
      <c r="G1" s="1052"/>
      <c r="H1" s="1052"/>
      <c r="I1" s="1052"/>
      <c r="J1" s="1053"/>
      <c r="L1" s="545" t="str">
        <f>+TITELBLAD!C12</f>
        <v>elektriciteit</v>
      </c>
    </row>
    <row r="2" spans="1:16" s="236" customFormat="1" ht="10.5" x14ac:dyDescent="0.25">
      <c r="A2" s="188"/>
      <c r="B2" s="188"/>
      <c r="C2" s="188"/>
      <c r="D2" s="188"/>
      <c r="K2" s="541"/>
      <c r="L2" s="541" t="str">
        <f>+TITELBLAD!B18</f>
        <v>Rapportering over boekjaar:</v>
      </c>
      <c r="M2" s="541"/>
      <c r="N2" s="541">
        <f>+TITELBLAD!E18</f>
        <v>2019</v>
      </c>
      <c r="O2" s="541" t="str">
        <f>+TITELBLAD!F18</f>
        <v>ex-ante</v>
      </c>
      <c r="P2" s="541"/>
    </row>
    <row r="3" spans="1:16" s="20" customFormat="1" x14ac:dyDescent="0.25">
      <c r="M3" s="394"/>
    </row>
    <row r="4" spans="1:16" s="20" customFormat="1" ht="13" x14ac:dyDescent="0.3">
      <c r="B4" s="110" t="s">
        <v>253</v>
      </c>
      <c r="M4" s="394"/>
    </row>
    <row r="5" spans="1:16" s="20" customFormat="1" x14ac:dyDescent="0.25">
      <c r="B5" s="1016" t="s">
        <v>349</v>
      </c>
      <c r="C5" s="1016"/>
      <c r="D5" s="1016"/>
      <c r="E5" s="1016"/>
      <c r="F5" s="1016"/>
      <c r="M5" s="394"/>
    </row>
    <row r="6" spans="1:16" s="20" customFormat="1" x14ac:dyDescent="0.25">
      <c r="B6" s="1016"/>
      <c r="C6" s="1016"/>
      <c r="D6" s="1016"/>
      <c r="E6" s="1016"/>
      <c r="F6" s="1016"/>
      <c r="M6" s="394"/>
    </row>
    <row r="7" spans="1:16" s="20" customFormat="1" x14ac:dyDescent="0.25">
      <c r="B7" s="1016"/>
      <c r="C7" s="1016"/>
      <c r="D7" s="1016"/>
      <c r="E7" s="1016"/>
      <c r="F7" s="1016"/>
      <c r="M7" s="394"/>
    </row>
    <row r="8" spans="1:16" s="20" customFormat="1" x14ac:dyDescent="0.25">
      <c r="B8" s="1016"/>
      <c r="C8" s="1016"/>
      <c r="D8" s="1016"/>
      <c r="E8" s="1016"/>
      <c r="F8" s="1016"/>
      <c r="M8" s="394"/>
    </row>
    <row r="9" spans="1:16" s="20" customFormat="1" x14ac:dyDescent="0.25">
      <c r="B9" s="1016"/>
      <c r="C9" s="1016"/>
      <c r="D9" s="1016"/>
      <c r="E9" s="1016"/>
      <c r="F9" s="1016"/>
      <c r="M9" s="394"/>
    </row>
    <row r="10" spans="1:16" s="20" customFormat="1" x14ac:dyDescent="0.25">
      <c r="B10" s="1016"/>
      <c r="C10" s="1016"/>
      <c r="D10" s="1016"/>
      <c r="E10" s="1016"/>
      <c r="F10" s="1016"/>
      <c r="M10" s="394"/>
    </row>
    <row r="11" spans="1:16" s="20" customFormat="1" x14ac:dyDescent="0.25">
      <c r="B11" s="1016"/>
      <c r="C11" s="1016"/>
      <c r="D11" s="1016"/>
      <c r="E11" s="1016"/>
      <c r="F11" s="1016"/>
      <c r="M11" s="394"/>
    </row>
    <row r="12" spans="1:16" s="20" customFormat="1" x14ac:dyDescent="0.25">
      <c r="B12" s="1016"/>
      <c r="C12" s="1016"/>
      <c r="D12" s="1016"/>
      <c r="E12" s="1016"/>
      <c r="F12" s="1016"/>
      <c r="M12" s="394"/>
    </row>
    <row r="13" spans="1:16" s="20" customFormat="1" x14ac:dyDescent="0.25">
      <c r="M13" s="394"/>
    </row>
    <row r="14" spans="1:16" ht="13" thickBot="1" x14ac:dyDescent="0.3">
      <c r="A14" s="237"/>
      <c r="K14" s="542"/>
      <c r="L14" s="542"/>
      <c r="M14" s="542"/>
      <c r="N14" s="541"/>
      <c r="O14" s="541"/>
      <c r="P14" s="542"/>
    </row>
    <row r="15" spans="1:16" s="245" customFormat="1" ht="75.75" customHeight="1" thickBot="1" x14ac:dyDescent="0.4">
      <c r="A15" s="782"/>
      <c r="B15" s="783"/>
      <c r="C15" s="783"/>
      <c r="D15" s="784"/>
      <c r="E15" s="240"/>
      <c r="F15" s="241" t="str">
        <f>"Totale werkelijke ontvangsten uit periodieke distributienettarieven in boekjaar "&amp;TITELBLAD!E15&amp;" (elektriciteit- afname)"</f>
        <v>Totale werkelijke ontvangsten uit periodieke distributienettarieven in boekjaar 2017 (elektriciteit- afname)</v>
      </c>
      <c r="G15" s="242" t="s">
        <v>228</v>
      </c>
      <c r="H15" s="243" t="str">
        <f>"Werkelijke ontvangsten m.b.t. endogene kosten in boekjaar "&amp;TITELBLAD!E15&amp;" (elektriciteit-afname)"</f>
        <v>Werkelijke ontvangsten m.b.t. endogene kosten in boekjaar 2017 (elektriciteit-afname)</v>
      </c>
      <c r="I15" s="244"/>
      <c r="J15" s="443" t="str">
        <f>"Werkelijke ontvangsten m.b.t. exogene kosten in boekjaar "&amp;TITELBLAD!E15&amp;" (elektriciteit-afname)"</f>
        <v>Werkelijke ontvangsten m.b.t. exogene kosten in boekjaar 2017 (elektriciteit-afname)</v>
      </c>
      <c r="K15" s="543"/>
      <c r="L15" s="543"/>
      <c r="M15" s="543"/>
      <c r="N15" s="543"/>
      <c r="O15" s="544"/>
      <c r="P15" s="544"/>
    </row>
    <row r="16" spans="1:16" s="253" customFormat="1" ht="12.75" customHeight="1" thickBot="1" x14ac:dyDescent="0.3">
      <c r="A16" s="246"/>
      <c r="B16" s="247"/>
      <c r="C16" s="247"/>
      <c r="D16" s="248"/>
      <c r="E16" s="249"/>
      <c r="F16" s="250"/>
      <c r="G16" s="251"/>
      <c r="H16" s="252"/>
      <c r="J16" s="444"/>
    </row>
    <row r="17" spans="1:10" s="258" customFormat="1" ht="16.5" customHeight="1" x14ac:dyDescent="0.3">
      <c r="A17" s="254" t="s">
        <v>148</v>
      </c>
      <c r="B17" s="255" t="s">
        <v>149</v>
      </c>
      <c r="C17" s="255"/>
      <c r="D17" s="256"/>
      <c r="E17" s="257"/>
      <c r="F17" s="492">
        <f>SUM(F18,F21,F24)</f>
        <v>0</v>
      </c>
      <c r="G17" s="493"/>
      <c r="H17" s="494">
        <f>SUM(H18,H21,H24)</f>
        <v>0</v>
      </c>
      <c r="I17" s="495"/>
      <c r="J17" s="496">
        <f>SUM(J18,J21,J24)</f>
        <v>0</v>
      </c>
    </row>
    <row r="18" spans="1:10" s="258" customFormat="1" ht="16.5" customHeight="1" x14ac:dyDescent="0.3">
      <c r="A18" s="254"/>
      <c r="B18" s="255" t="s">
        <v>150</v>
      </c>
      <c r="C18" s="255" t="s">
        <v>230</v>
      </c>
      <c r="D18" s="256"/>
      <c r="E18" s="257"/>
      <c r="F18" s="497">
        <v>0</v>
      </c>
      <c r="G18" s="649">
        <v>0</v>
      </c>
      <c r="H18" s="498">
        <f>F18*G18</f>
        <v>0</v>
      </c>
      <c r="I18" s="495"/>
      <c r="J18" s="499">
        <f>F18-H18</f>
        <v>0</v>
      </c>
    </row>
    <row r="19" spans="1:10" s="258" customFormat="1" ht="16.5" customHeight="1" x14ac:dyDescent="0.3">
      <c r="A19" s="259"/>
      <c r="B19" s="255"/>
      <c r="C19" s="255"/>
      <c r="D19" s="267"/>
      <c r="E19" s="266"/>
      <c r="F19" s="500"/>
      <c r="G19" s="501"/>
      <c r="H19" s="502"/>
      <c r="I19" s="495"/>
      <c r="J19" s="503"/>
    </row>
    <row r="20" spans="1:10" s="258" customFormat="1" ht="16.5" customHeight="1" x14ac:dyDescent="0.3">
      <c r="A20" s="259"/>
      <c r="B20" s="255"/>
      <c r="C20" s="255"/>
      <c r="D20" s="267"/>
      <c r="E20" s="266"/>
      <c r="F20" s="500"/>
      <c r="G20" s="501"/>
      <c r="H20" s="502"/>
      <c r="I20" s="495"/>
      <c r="J20" s="503"/>
    </row>
    <row r="21" spans="1:10" s="258" customFormat="1" ht="16.5" customHeight="1" x14ac:dyDescent="0.3">
      <c r="A21" s="259"/>
      <c r="B21" s="255" t="s">
        <v>151</v>
      </c>
      <c r="C21" s="255" t="s">
        <v>152</v>
      </c>
      <c r="D21" s="261"/>
      <c r="E21" s="266"/>
      <c r="F21" s="497">
        <v>0</v>
      </c>
      <c r="G21" s="649">
        <v>0</v>
      </c>
      <c r="H21" s="498">
        <f>F21*G21</f>
        <v>0</v>
      </c>
      <c r="I21" s="495"/>
      <c r="J21" s="499">
        <f>F21-H21</f>
        <v>0</v>
      </c>
    </row>
    <row r="22" spans="1:10" s="258" customFormat="1" ht="16.5" customHeight="1" x14ac:dyDescent="0.3">
      <c r="A22" s="259"/>
      <c r="B22" s="255"/>
      <c r="C22" s="264"/>
      <c r="D22" s="262"/>
      <c r="E22" s="266"/>
      <c r="F22" s="504"/>
      <c r="G22" s="505"/>
      <c r="H22" s="506"/>
      <c r="I22" s="495"/>
      <c r="J22" s="507"/>
    </row>
    <row r="23" spans="1:10" s="258" customFormat="1" ht="16.5" customHeight="1" x14ac:dyDescent="0.3">
      <c r="A23" s="259"/>
      <c r="B23" s="255"/>
      <c r="C23" s="264"/>
      <c r="D23" s="261"/>
      <c r="E23" s="266"/>
      <c r="F23" s="500"/>
      <c r="G23" s="501"/>
      <c r="H23" s="502"/>
      <c r="I23" s="495"/>
      <c r="J23" s="503"/>
    </row>
    <row r="24" spans="1:10" s="258" customFormat="1" ht="16.5" customHeight="1" x14ac:dyDescent="0.3">
      <c r="A24" s="259"/>
      <c r="B24" s="255" t="s">
        <v>153</v>
      </c>
      <c r="C24" s="255" t="s">
        <v>154</v>
      </c>
      <c r="D24" s="261"/>
      <c r="E24" s="266"/>
      <c r="F24" s="497">
        <v>0</v>
      </c>
      <c r="G24" s="649">
        <v>0</v>
      </c>
      <c r="H24" s="498">
        <f>F24*G24</f>
        <v>0</v>
      </c>
      <c r="I24" s="495"/>
      <c r="J24" s="499">
        <f>F24-H24</f>
        <v>0</v>
      </c>
    </row>
    <row r="25" spans="1:10" s="272" customFormat="1" ht="16.5" customHeight="1" x14ac:dyDescent="0.3">
      <c r="A25" s="270"/>
      <c r="B25" s="271"/>
      <c r="C25" s="268"/>
      <c r="D25" s="262"/>
      <c r="E25" s="269"/>
      <c r="F25" s="504"/>
      <c r="G25" s="505"/>
      <c r="H25" s="506"/>
      <c r="I25" s="511"/>
      <c r="J25" s="507"/>
    </row>
    <row r="26" spans="1:10" s="272" customFormat="1" ht="16.5" customHeight="1" x14ac:dyDescent="0.25">
      <c r="A26" s="270"/>
      <c r="B26" s="271"/>
      <c r="C26" s="268"/>
      <c r="D26" s="273"/>
      <c r="E26" s="269"/>
      <c r="F26" s="512"/>
      <c r="G26" s="513"/>
      <c r="H26" s="514"/>
      <c r="I26" s="511"/>
      <c r="J26" s="515"/>
    </row>
    <row r="27" spans="1:10" s="258" customFormat="1" ht="16.5" customHeight="1" x14ac:dyDescent="0.3">
      <c r="A27" s="254" t="s">
        <v>155</v>
      </c>
      <c r="B27" s="255" t="s">
        <v>156</v>
      </c>
      <c r="C27" s="255"/>
      <c r="D27" s="274"/>
      <c r="E27" s="257"/>
      <c r="F27" s="516">
        <v>0</v>
      </c>
      <c r="G27" s="650">
        <v>0</v>
      </c>
      <c r="H27" s="517">
        <f>F27*G27</f>
        <v>0</v>
      </c>
      <c r="I27" s="495"/>
      <c r="J27" s="518">
        <f>F27-H27</f>
        <v>0</v>
      </c>
    </row>
    <row r="28" spans="1:10" s="258" customFormat="1" ht="16.5" customHeight="1" x14ac:dyDescent="0.3">
      <c r="A28" s="259"/>
      <c r="B28" s="255"/>
      <c r="C28" s="1118"/>
      <c r="D28" s="1119"/>
      <c r="E28" s="275"/>
      <c r="F28" s="519"/>
      <c r="G28" s="520"/>
      <c r="H28" s="498"/>
      <c r="I28" s="495"/>
      <c r="J28" s="499"/>
    </row>
    <row r="29" spans="1:10" s="258" customFormat="1" ht="16.5" customHeight="1" x14ac:dyDescent="0.3">
      <c r="A29" s="259"/>
      <c r="B29" s="255"/>
      <c r="C29" s="1118"/>
      <c r="D29" s="1119"/>
      <c r="E29" s="275"/>
      <c r="F29" s="504"/>
      <c r="G29" s="505"/>
      <c r="H29" s="506"/>
      <c r="I29" s="495"/>
      <c r="J29" s="507"/>
    </row>
    <row r="30" spans="1:10" s="258" customFormat="1" ht="16.5" customHeight="1" x14ac:dyDescent="0.3">
      <c r="A30" s="254" t="s">
        <v>157</v>
      </c>
      <c r="B30" s="255" t="s">
        <v>158</v>
      </c>
      <c r="C30" s="255"/>
      <c r="D30" s="274"/>
      <c r="E30" s="257"/>
      <c r="F30" s="646">
        <f>SUM(F31,F33,F35)</f>
        <v>0</v>
      </c>
      <c r="G30" s="505"/>
      <c r="H30" s="517">
        <f>SUM(H31,H33,H35)</f>
        <v>0</v>
      </c>
      <c r="I30" s="495"/>
      <c r="J30" s="518">
        <f>SUM(J31,J33,J35)</f>
        <v>0</v>
      </c>
    </row>
    <row r="31" spans="1:10" s="258" customFormat="1" ht="16.5" customHeight="1" x14ac:dyDescent="0.3">
      <c r="A31" s="259"/>
      <c r="B31" s="255" t="s">
        <v>159</v>
      </c>
      <c r="C31" s="255" t="s">
        <v>160</v>
      </c>
      <c r="D31" s="265"/>
      <c r="E31" s="275"/>
      <c r="F31" s="497">
        <v>0</v>
      </c>
      <c r="G31" s="649">
        <v>0</v>
      </c>
      <c r="H31" s="498">
        <f>F31*G31</f>
        <v>0</v>
      </c>
      <c r="I31" s="495"/>
      <c r="J31" s="499">
        <f>F31-H31</f>
        <v>0</v>
      </c>
    </row>
    <row r="32" spans="1:10" s="258" customFormat="1" ht="16.5" customHeight="1" x14ac:dyDescent="0.3">
      <c r="A32" s="259"/>
      <c r="B32" s="255"/>
      <c r="C32" s="255"/>
      <c r="D32" s="262"/>
      <c r="E32" s="275"/>
      <c r="F32" s="504"/>
      <c r="G32" s="505"/>
      <c r="H32" s="506"/>
      <c r="I32" s="495"/>
      <c r="J32" s="507"/>
    </row>
    <row r="33" spans="1:14" s="258" customFormat="1" ht="16.5" customHeight="1" x14ac:dyDescent="0.3">
      <c r="A33" s="259"/>
      <c r="B33" s="255" t="s">
        <v>161</v>
      </c>
      <c r="C33" s="255" t="s">
        <v>162</v>
      </c>
      <c r="D33" s="274"/>
      <c r="E33" s="257"/>
      <c r="F33" s="497">
        <v>0</v>
      </c>
      <c r="G33" s="649">
        <v>0</v>
      </c>
      <c r="H33" s="498">
        <f>F33*G33</f>
        <v>0</v>
      </c>
      <c r="I33" s="495"/>
      <c r="J33" s="499">
        <f>F33-H33</f>
        <v>0</v>
      </c>
    </row>
    <row r="34" spans="1:14" s="258" customFormat="1" ht="16.5" customHeight="1" x14ac:dyDescent="0.3">
      <c r="A34" s="259"/>
      <c r="B34" s="255"/>
      <c r="C34" s="255"/>
      <c r="D34" s="262"/>
      <c r="E34" s="275"/>
      <c r="F34" s="504"/>
      <c r="G34" s="505"/>
      <c r="H34" s="506"/>
      <c r="I34" s="495"/>
      <c r="J34" s="507"/>
    </row>
    <row r="35" spans="1:14" s="258" customFormat="1" ht="16.5" customHeight="1" x14ac:dyDescent="0.3">
      <c r="A35" s="259"/>
      <c r="B35" s="255" t="s">
        <v>226</v>
      </c>
      <c r="C35" s="255" t="s">
        <v>225</v>
      </c>
      <c r="D35" s="274"/>
      <c r="E35" s="257"/>
      <c r="F35" s="497">
        <v>0</v>
      </c>
      <c r="G35" s="649">
        <v>0</v>
      </c>
      <c r="H35" s="498">
        <f>F35*G35</f>
        <v>0</v>
      </c>
      <c r="I35" s="495"/>
      <c r="J35" s="499">
        <f>F35-H35</f>
        <v>0</v>
      </c>
    </row>
    <row r="36" spans="1:14" s="258" customFormat="1" ht="16.5" customHeight="1" x14ac:dyDescent="0.3">
      <c r="A36" s="259"/>
      <c r="B36" s="260"/>
      <c r="C36" s="260"/>
      <c r="D36" s="262"/>
      <c r="E36" s="257"/>
      <c r="F36" s="504"/>
      <c r="G36" s="505"/>
      <c r="H36" s="506"/>
      <c r="I36" s="495"/>
      <c r="J36" s="507"/>
    </row>
    <row r="37" spans="1:14" s="258" customFormat="1" ht="16.5" customHeight="1" x14ac:dyDescent="0.25">
      <c r="A37" s="259"/>
      <c r="B37" s="260"/>
      <c r="C37" s="276"/>
      <c r="D37" s="265"/>
      <c r="E37" s="277"/>
      <c r="F37" s="508"/>
      <c r="G37" s="501"/>
      <c r="H37" s="509"/>
      <c r="I37" s="495"/>
      <c r="J37" s="510"/>
    </row>
    <row r="38" spans="1:14" s="258" customFormat="1" ht="16.5" customHeight="1" x14ac:dyDescent="0.3">
      <c r="A38" s="254" t="s">
        <v>163</v>
      </c>
      <c r="B38" s="255" t="s">
        <v>164</v>
      </c>
      <c r="C38" s="255"/>
      <c r="D38" s="265"/>
      <c r="E38" s="257"/>
      <c r="F38" s="521">
        <v>0</v>
      </c>
      <c r="G38" s="650">
        <v>0</v>
      </c>
      <c r="H38" s="522">
        <f>F38*G38</f>
        <v>0</v>
      </c>
      <c r="I38" s="495"/>
      <c r="J38" s="523">
        <f>F38-H38</f>
        <v>0</v>
      </c>
    </row>
    <row r="39" spans="1:14" s="279" customFormat="1" ht="16.5" customHeight="1" x14ac:dyDescent="0.25">
      <c r="A39" s="280"/>
      <c r="B39" s="281"/>
      <c r="C39" s="1120"/>
      <c r="D39" s="1121"/>
      <c r="E39" s="278"/>
      <c r="F39" s="524"/>
      <c r="G39" s="520"/>
      <c r="H39" s="525"/>
      <c r="I39" s="527"/>
      <c r="J39" s="526"/>
    </row>
    <row r="40" spans="1:14" s="286" customFormat="1" ht="13" x14ac:dyDescent="0.25">
      <c r="A40" s="282"/>
      <c r="B40" s="283"/>
      <c r="C40" s="284"/>
      <c r="D40" s="285"/>
      <c r="F40" s="528"/>
      <c r="G40" s="529"/>
      <c r="H40" s="530"/>
      <c r="J40" s="531"/>
    </row>
    <row r="41" spans="1:14" s="286" customFormat="1" ht="17.25" customHeight="1" x14ac:dyDescent="0.3">
      <c r="A41" s="781" t="s">
        <v>165</v>
      </c>
      <c r="B41" s="1116" t="s">
        <v>184</v>
      </c>
      <c r="C41" s="1116"/>
      <c r="D41" s="1117"/>
      <c r="F41" s="662"/>
      <c r="G41" s="663"/>
      <c r="H41" s="664"/>
      <c r="J41" s="665"/>
    </row>
    <row r="42" spans="1:14" s="258" customFormat="1" ht="16.5" customHeight="1" x14ac:dyDescent="0.3">
      <c r="A42" s="259"/>
      <c r="B42" s="260"/>
      <c r="C42" s="260"/>
      <c r="D42" s="262"/>
      <c r="E42" s="257"/>
      <c r="F42" s="504"/>
      <c r="G42" s="505"/>
      <c r="H42" s="506"/>
      <c r="I42" s="495"/>
      <c r="J42" s="507"/>
    </row>
    <row r="43" spans="1:14" s="258" customFormat="1" ht="16.5" customHeight="1" x14ac:dyDescent="0.25">
      <c r="A43" s="259"/>
      <c r="B43" s="260"/>
      <c r="C43" s="276"/>
      <c r="D43" s="265"/>
      <c r="E43" s="277"/>
      <c r="F43" s="508"/>
      <c r="G43" s="501"/>
      <c r="H43" s="509"/>
      <c r="I43" s="495"/>
      <c r="J43" s="510"/>
    </row>
    <row r="44" spans="1:14" s="258" customFormat="1" ht="16.5" customHeight="1" x14ac:dyDescent="0.3">
      <c r="A44" s="254" t="s">
        <v>361</v>
      </c>
      <c r="B44" s="255" t="s">
        <v>318</v>
      </c>
      <c r="C44" s="255"/>
      <c r="D44" s="265"/>
      <c r="E44" s="257"/>
      <c r="F44" s="521">
        <v>0</v>
      </c>
      <c r="G44" s="820">
        <v>0</v>
      </c>
      <c r="H44" s="522">
        <f>F44*G44</f>
        <v>0</v>
      </c>
      <c r="I44" s="495"/>
      <c r="J44" s="523">
        <f>F44-H44</f>
        <v>0</v>
      </c>
    </row>
    <row r="45" spans="1:14" s="286" customFormat="1" ht="13" x14ac:dyDescent="0.25">
      <c r="A45" s="282"/>
      <c r="B45" s="283"/>
      <c r="C45" s="284"/>
      <c r="D45" s="285"/>
      <c r="F45" s="528"/>
      <c r="G45" s="529"/>
      <c r="H45" s="530"/>
      <c r="J45" s="531"/>
    </row>
    <row r="46" spans="1:14" s="286" customFormat="1" ht="13.5" thickBot="1" x14ac:dyDescent="0.35">
      <c r="A46" s="282"/>
      <c r="B46" s="283"/>
      <c r="C46" s="284"/>
      <c r="D46" s="287"/>
      <c r="F46" s="532"/>
      <c r="G46" s="533"/>
      <c r="H46" s="534"/>
      <c r="J46" s="535"/>
    </row>
    <row r="47" spans="1:14" s="253" customFormat="1" ht="16.5" customHeight="1" thickBot="1" x14ac:dyDescent="0.35">
      <c r="A47" s="288"/>
      <c r="B47" s="289" t="s">
        <v>167</v>
      </c>
      <c r="C47" s="290"/>
      <c r="D47" s="291"/>
      <c r="E47" s="292"/>
      <c r="F47" s="536">
        <f>SUM(F38,F30,F27,F17,F44)</f>
        <v>0</v>
      </c>
      <c r="G47" s="537"/>
      <c r="H47" s="538">
        <f>SUM(H38,H30,H27,H17,H44)</f>
        <v>0</v>
      </c>
      <c r="I47" s="539"/>
      <c r="J47" s="540">
        <f>SUM(J38,J30,J27,J17,J44)</f>
        <v>0</v>
      </c>
    </row>
    <row r="48" spans="1:14" s="293" customFormat="1" ht="13.5" customHeight="1" x14ac:dyDescent="0.25">
      <c r="D48" s="294"/>
      <c r="E48" s="295"/>
      <c r="F48" s="296"/>
      <c r="G48" s="296"/>
      <c r="H48" s="296"/>
      <c r="I48" s="295"/>
      <c r="J48" s="295"/>
      <c r="K48" s="295"/>
      <c r="L48" s="295"/>
      <c r="M48" s="295"/>
      <c r="N48" s="297"/>
    </row>
    <row r="49" spans="2:14" s="293" customFormat="1" ht="13.5" customHeight="1" x14ac:dyDescent="0.3">
      <c r="B49" s="298"/>
      <c r="D49" s="294"/>
      <c r="E49" s="295"/>
      <c r="F49" s="299"/>
      <c r="G49" s="299"/>
      <c r="H49" s="299"/>
      <c r="I49" s="295"/>
      <c r="J49" s="295"/>
      <c r="K49" s="295"/>
      <c r="L49" s="295"/>
      <c r="M49" s="295"/>
      <c r="N49" s="295"/>
    </row>
    <row r="50" spans="2:14" s="293" customFormat="1" ht="13.5" customHeight="1" x14ac:dyDescent="0.2">
      <c r="D50" s="294"/>
      <c r="E50" s="295"/>
      <c r="F50" s="295"/>
      <c r="G50" s="295"/>
      <c r="H50" s="295"/>
      <c r="I50" s="295"/>
      <c r="J50" s="295"/>
      <c r="K50" s="295"/>
      <c r="L50" s="295"/>
      <c r="M50" s="295"/>
      <c r="N50" s="295"/>
    </row>
    <row r="51" spans="2:14" ht="13.5" customHeight="1" x14ac:dyDescent="0.25"/>
    <row r="52" spans="2:14" ht="13.5" customHeight="1" x14ac:dyDescent="0.25"/>
    <row r="53" spans="2:14" ht="13.5" customHeight="1" x14ac:dyDescent="0.25"/>
    <row r="54" spans="2:14" ht="17.25" customHeight="1" x14ac:dyDescent="0.25"/>
    <row r="55" spans="2:14" ht="17.25" customHeight="1" x14ac:dyDescent="0.25"/>
  </sheetData>
  <mergeCells count="6">
    <mergeCell ref="B41:D41"/>
    <mergeCell ref="C28:D28"/>
    <mergeCell ref="C29:D29"/>
    <mergeCell ref="C39:D39"/>
    <mergeCell ref="A1:J1"/>
    <mergeCell ref="B5:F12"/>
  </mergeCells>
  <conditionalFormatting sqref="F17:H41 J17:J41 J45:J47 F45:H47">
    <cfRule type="expression" dxfId="47" priority="3" stopIfTrue="1">
      <formula>$O$2="ex-ante"</formula>
    </cfRule>
    <cfRule type="expression" dxfId="46" priority="4" stopIfTrue="1">
      <formula>$L$1="gas"</formula>
    </cfRule>
  </conditionalFormatting>
  <conditionalFormatting sqref="F42:H44 J42:J44">
    <cfRule type="expression" dxfId="45" priority="1" stopIfTrue="1">
      <formula>$O$2="ex-ante"</formula>
    </cfRule>
    <cfRule type="expression" dxfId="44" priority="2" stopIfTrue="1">
      <formula>$L$1="gas"</formula>
    </cfRule>
  </conditionalFormatting>
  <pageMargins left="0.55118110236220474" right="0.23622047244094491" top="0.43307086614173229" bottom="0.43307086614173229" header="0.27559055118110237" footer="0.27559055118110237"/>
  <pageSetup paperSize="8" scale="85" orientation="landscape" r:id="rId1"/>
  <headerFooter scaleWithDoc="0" alignWithMargins="0">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pageSetUpPr fitToPage="1"/>
  </sheetPr>
  <dimension ref="A1:P44"/>
  <sheetViews>
    <sheetView zoomScale="80" zoomScaleNormal="80" workbookViewId="0">
      <selection activeCell="C23" sqref="C23"/>
    </sheetView>
  </sheetViews>
  <sheetFormatPr defaultColWidth="9.1796875" defaultRowHeight="12.5" x14ac:dyDescent="0.25"/>
  <cols>
    <col min="1" max="1" width="7.26953125" style="307" customWidth="1"/>
    <col min="2" max="2" width="7" style="307" customWidth="1"/>
    <col min="3" max="3" width="46.7265625" style="307" customWidth="1"/>
    <col min="4" max="4" width="25.7265625" style="348" bestFit="1" customWidth="1"/>
    <col min="5" max="5" width="32.453125" style="348" customWidth="1"/>
    <col min="6" max="7" width="25.7265625" style="348" customWidth="1"/>
    <col min="8" max="8" width="2" style="307" customWidth="1"/>
    <col min="9" max="9" width="24.26953125" style="307" customWidth="1"/>
    <col min="10" max="16384" width="9.1796875" style="307"/>
  </cols>
  <sheetData>
    <row r="1" spans="1:16" s="300" customFormat="1" ht="18.5" thickBot="1" x14ac:dyDescent="0.45">
      <c r="A1" s="1051" t="str">
        <f>"TABEL 5D: Werkelijke ontvangsten uit periodieke distributienettarieven voor exogene en endogene kosten in boekjaar "&amp;TITELBLAD!E15&amp;" (elektriciteit-injectie)"</f>
        <v>TABEL 5D: Werkelijke ontvangsten uit periodieke distributienettarieven voor exogene en endogene kosten in boekjaar 2017 (elektriciteit-injectie)</v>
      </c>
      <c r="B1" s="1052"/>
      <c r="C1" s="1052"/>
      <c r="D1" s="1052"/>
      <c r="E1" s="1052"/>
      <c r="F1" s="1052"/>
      <c r="G1" s="1052"/>
      <c r="H1" s="1052"/>
      <c r="I1" s="1053"/>
    </row>
    <row r="2" spans="1:16" s="303" customFormat="1" ht="10.5" x14ac:dyDescent="0.25">
      <c r="A2" s="301"/>
      <c r="B2" s="301"/>
      <c r="C2" s="301"/>
      <c r="D2" s="302"/>
      <c r="E2" s="302"/>
      <c r="F2" s="302"/>
      <c r="G2" s="302"/>
    </row>
    <row r="3" spans="1:16" s="20" customFormat="1" x14ac:dyDescent="0.25">
      <c r="M3" s="394"/>
    </row>
    <row r="4" spans="1:16" s="20" customFormat="1" ht="13" x14ac:dyDescent="0.3">
      <c r="B4" s="110" t="s">
        <v>253</v>
      </c>
      <c r="M4" s="394"/>
    </row>
    <row r="5" spans="1:16" s="20" customFormat="1" x14ac:dyDescent="0.25">
      <c r="B5" s="1016" t="s">
        <v>350</v>
      </c>
      <c r="C5" s="1016"/>
      <c r="D5" s="1016"/>
      <c r="E5" s="1016"/>
      <c r="F5" s="1016"/>
      <c r="M5" s="394"/>
    </row>
    <row r="6" spans="1:16" s="20" customFormat="1" x14ac:dyDescent="0.25">
      <c r="B6" s="1016"/>
      <c r="C6" s="1016"/>
      <c r="D6" s="1016"/>
      <c r="E6" s="1016"/>
      <c r="F6" s="1016"/>
      <c r="M6" s="394"/>
    </row>
    <row r="7" spans="1:16" s="20" customFormat="1" x14ac:dyDescent="0.25">
      <c r="B7" s="1016"/>
      <c r="C7" s="1016"/>
      <c r="D7" s="1016"/>
      <c r="E7" s="1016"/>
      <c r="F7" s="1016"/>
      <c r="M7" s="394"/>
    </row>
    <row r="8" spans="1:16" s="20" customFormat="1" x14ac:dyDescent="0.25">
      <c r="B8" s="1016"/>
      <c r="C8" s="1016"/>
      <c r="D8" s="1016"/>
      <c r="E8" s="1016"/>
      <c r="F8" s="1016"/>
      <c r="M8" s="394"/>
    </row>
    <row r="9" spans="1:16" s="20" customFormat="1" x14ac:dyDescent="0.25">
      <c r="B9" s="1016"/>
      <c r="C9" s="1016"/>
      <c r="D9" s="1016"/>
      <c r="E9" s="1016"/>
      <c r="F9" s="1016"/>
      <c r="M9" s="394"/>
    </row>
    <row r="10" spans="1:16" s="20" customFormat="1" x14ac:dyDescent="0.25">
      <c r="B10" s="1016"/>
      <c r="C10" s="1016"/>
      <c r="D10" s="1016"/>
      <c r="E10" s="1016"/>
      <c r="F10" s="1016"/>
      <c r="M10" s="394"/>
    </row>
    <row r="11" spans="1:16" s="20" customFormat="1" x14ac:dyDescent="0.25">
      <c r="B11" s="1016"/>
      <c r="C11" s="1016"/>
      <c r="D11" s="1016"/>
      <c r="E11" s="1016"/>
      <c r="F11" s="1016"/>
      <c r="M11" s="394"/>
    </row>
    <row r="12" spans="1:16" s="20" customFormat="1" x14ac:dyDescent="0.25">
      <c r="B12" s="1016"/>
      <c r="C12" s="1016"/>
      <c r="D12" s="1016"/>
      <c r="E12" s="1016"/>
      <c r="F12" s="1016"/>
      <c r="M12" s="394"/>
    </row>
    <row r="13" spans="1:16" s="20" customFormat="1" x14ac:dyDescent="0.25">
      <c r="M13" s="394"/>
    </row>
    <row r="14" spans="1:16" ht="18.5" thickBot="1" x14ac:dyDescent="0.45">
      <c r="A14" s="304"/>
      <c r="B14" s="305"/>
      <c r="C14" s="305"/>
      <c r="D14" s="306"/>
      <c r="E14" s="306"/>
      <c r="F14" s="306"/>
      <c r="G14" s="306"/>
      <c r="K14" s="546" t="str">
        <f>+TITELBLAD!B18</f>
        <v>Rapportering over boekjaar:</v>
      </c>
      <c r="L14" s="546"/>
      <c r="M14" s="546"/>
      <c r="N14" s="546">
        <f>+TITELBLAD!E18</f>
        <v>2019</v>
      </c>
      <c r="O14" s="546" t="str">
        <f>+TITELBLAD!F18</f>
        <v>ex-ante</v>
      </c>
      <c r="P14" s="305"/>
    </row>
    <row r="15" spans="1:16" s="311" customFormat="1" ht="15.5" x14ac:dyDescent="0.35">
      <c r="A15" s="308"/>
      <c r="B15" s="309"/>
      <c r="C15" s="309"/>
      <c r="D15" s="310"/>
      <c r="E15" s="1124" t="str">
        <f>"Totale werkelijke ontvangsten uit periodieke distributienettarieven in boekjaar "&amp;TITELBLAD!E15&amp;" (elektriciteit- injectie)"</f>
        <v>Totale werkelijke ontvangsten uit periodieke distributienettarieven in boekjaar 2017 (elektriciteit- injectie)</v>
      </c>
      <c r="F15" s="1127" t="s">
        <v>228</v>
      </c>
      <c r="G15" s="1127" t="str">
        <f>"Werkelijke ontvangsten m.b.t. endogene kosten in boekjaar "&amp;TITELBLAD!E15&amp;" (elektriciteit-injectie)"</f>
        <v>Werkelijke ontvangsten m.b.t. endogene kosten in boekjaar 2017 (elektriciteit-injectie)</v>
      </c>
      <c r="I15" s="1127" t="str">
        <f>"Werkelijke ontvangsten m.b.t. exogene kosten in boekjaar "&amp;TITELBLAD!E15&amp;" (elektriciteit-injectie)"</f>
        <v>Werkelijke ontvangsten m.b.t. exogene kosten in boekjaar 2017 (elektriciteit-injectie)</v>
      </c>
      <c r="K15" s="547"/>
      <c r="L15" s="547"/>
      <c r="M15" s="547"/>
      <c r="N15" s="546"/>
      <c r="O15" s="546"/>
    </row>
    <row r="16" spans="1:16" s="315" customFormat="1" ht="12.75" customHeight="1" x14ac:dyDescent="0.25">
      <c r="A16" s="312"/>
      <c r="B16" s="313"/>
      <c r="C16" s="313"/>
      <c r="D16" s="314"/>
      <c r="E16" s="1125"/>
      <c r="F16" s="1128"/>
      <c r="G16" s="1128"/>
      <c r="I16" s="1128"/>
      <c r="K16" s="564"/>
      <c r="L16" s="564"/>
      <c r="M16" s="564"/>
      <c r="N16" s="564"/>
      <c r="O16" s="564"/>
    </row>
    <row r="17" spans="1:9" s="315" customFormat="1" ht="11.25" customHeight="1" x14ac:dyDescent="0.25">
      <c r="A17" s="312"/>
      <c r="B17" s="313"/>
      <c r="C17" s="313"/>
      <c r="D17" s="314"/>
      <c r="E17" s="1125"/>
      <c r="F17" s="1128"/>
      <c r="G17" s="1128"/>
      <c r="H17" s="316"/>
      <c r="I17" s="1128"/>
    </row>
    <row r="18" spans="1:9" s="315" customFormat="1" ht="12.75" customHeight="1" x14ac:dyDescent="0.25">
      <c r="A18" s="312"/>
      <c r="B18" s="313"/>
      <c r="C18" s="313"/>
      <c r="D18" s="314"/>
      <c r="E18" s="1125"/>
      <c r="F18" s="1128"/>
      <c r="G18" s="1128"/>
      <c r="I18" s="1128"/>
    </row>
    <row r="19" spans="1:9" s="315" customFormat="1" ht="28.5" customHeight="1" thickBot="1" x14ac:dyDescent="0.3">
      <c r="A19" s="317"/>
      <c r="B19" s="318"/>
      <c r="C19" s="318"/>
      <c r="D19" s="319"/>
      <c r="E19" s="1126"/>
      <c r="F19" s="1129"/>
      <c r="G19" s="1129"/>
      <c r="I19" s="1129"/>
    </row>
    <row r="20" spans="1:9" s="305" customFormat="1" ht="16.5" customHeight="1" x14ac:dyDescent="0.3">
      <c r="A20" s="320"/>
      <c r="B20" s="321"/>
      <c r="C20" s="322"/>
      <c r="D20" s="323"/>
      <c r="E20" s="548"/>
      <c r="F20" s="549"/>
      <c r="G20" s="549"/>
      <c r="H20" s="324"/>
      <c r="I20" s="549"/>
    </row>
    <row r="21" spans="1:9" s="305" customFormat="1" ht="16.5" customHeight="1" x14ac:dyDescent="0.3">
      <c r="A21" s="325"/>
      <c r="B21" s="480"/>
      <c r="C21" s="481"/>
      <c r="D21" s="327"/>
      <c r="E21" s="553"/>
      <c r="F21" s="552"/>
      <c r="G21" s="552"/>
      <c r="H21" s="324"/>
      <c r="I21" s="552"/>
    </row>
    <row r="22" spans="1:9" s="305" customFormat="1" ht="16.5" customHeight="1" x14ac:dyDescent="0.3">
      <c r="A22" s="325" t="s">
        <v>148</v>
      </c>
      <c r="B22" s="321" t="s">
        <v>166</v>
      </c>
      <c r="C22" s="328"/>
      <c r="D22" s="327"/>
      <c r="E22" s="516">
        <v>0</v>
      </c>
      <c r="F22" s="651">
        <v>0</v>
      </c>
      <c r="G22" s="518">
        <f>E22*F22</f>
        <v>0</v>
      </c>
      <c r="H22" s="324"/>
      <c r="I22" s="518">
        <f>E22-G22</f>
        <v>0</v>
      </c>
    </row>
    <row r="23" spans="1:9" s="305" customFormat="1" ht="16.5" customHeight="1" x14ac:dyDescent="0.3">
      <c r="A23" s="329"/>
      <c r="B23" s="330"/>
      <c r="C23" s="330"/>
      <c r="D23" s="262"/>
      <c r="E23" s="555"/>
      <c r="F23" s="554"/>
      <c r="G23" s="555"/>
      <c r="H23" s="324"/>
      <c r="I23" s="555"/>
    </row>
    <row r="24" spans="1:9" s="305" customFormat="1" ht="16.5" customHeight="1" x14ac:dyDescent="0.3">
      <c r="A24" s="329"/>
      <c r="B24" s="330"/>
      <c r="C24" s="330"/>
      <c r="D24" s="262"/>
      <c r="E24" s="556"/>
      <c r="F24" s="557"/>
      <c r="G24" s="558"/>
      <c r="H24" s="324"/>
      <c r="I24" s="558"/>
    </row>
    <row r="25" spans="1:9" s="305" customFormat="1" ht="14.25" customHeight="1" x14ac:dyDescent="0.3">
      <c r="A25" s="331" t="s">
        <v>155</v>
      </c>
      <c r="B25" s="1122" t="s">
        <v>154</v>
      </c>
      <c r="C25" s="1122"/>
      <c r="D25" s="1123"/>
      <c r="E25" s="516">
        <v>0</v>
      </c>
      <c r="F25" s="651">
        <v>0</v>
      </c>
      <c r="G25" s="518">
        <f>E25*F25</f>
        <v>0</v>
      </c>
      <c r="H25" s="332"/>
      <c r="I25" s="518">
        <f>E25-G25</f>
        <v>0</v>
      </c>
    </row>
    <row r="26" spans="1:9" s="305" customFormat="1" ht="16.5" customHeight="1" x14ac:dyDescent="0.3">
      <c r="A26" s="333"/>
      <c r="B26" s="326"/>
      <c r="C26" s="334"/>
      <c r="D26" s="335"/>
      <c r="E26" s="555"/>
      <c r="F26" s="554"/>
      <c r="G26" s="555"/>
      <c r="H26" s="324"/>
      <c r="I26" s="555"/>
    </row>
    <row r="27" spans="1:9" s="305" customFormat="1" ht="16.5" customHeight="1" x14ac:dyDescent="0.3">
      <c r="A27" s="333"/>
      <c r="B27" s="326"/>
      <c r="C27" s="334"/>
      <c r="D27" s="336"/>
      <c r="E27" s="550"/>
      <c r="F27" s="559"/>
      <c r="G27" s="551"/>
      <c r="H27" s="337"/>
      <c r="I27" s="551"/>
    </row>
    <row r="28" spans="1:9" s="305" customFormat="1" ht="16.5" customHeight="1" x14ac:dyDescent="0.3">
      <c r="A28" s="329" t="s">
        <v>157</v>
      </c>
      <c r="B28" s="326" t="s">
        <v>160</v>
      </c>
      <c r="C28" s="326"/>
      <c r="D28" s="336"/>
      <c r="E28" s="516">
        <v>0</v>
      </c>
      <c r="F28" s="651">
        <v>0</v>
      </c>
      <c r="G28" s="518">
        <f>E28*F28</f>
        <v>0</v>
      </c>
      <c r="H28" s="324"/>
      <c r="I28" s="518">
        <f>E28-G28</f>
        <v>0</v>
      </c>
    </row>
    <row r="29" spans="1:9" s="305" customFormat="1" ht="16.5" customHeight="1" x14ac:dyDescent="0.3">
      <c r="A29" s="333"/>
      <c r="B29" s="330"/>
      <c r="C29" s="330"/>
      <c r="D29" s="327"/>
      <c r="E29" s="555"/>
      <c r="F29" s="554"/>
      <c r="G29" s="555"/>
      <c r="H29" s="324"/>
      <c r="I29" s="555"/>
    </row>
    <row r="30" spans="1:9" s="305" customFormat="1" ht="16.5" customHeight="1" x14ac:dyDescent="0.3">
      <c r="A30" s="333"/>
      <c r="B30" s="326"/>
      <c r="C30" s="326"/>
      <c r="D30" s="262"/>
      <c r="E30" s="556"/>
      <c r="F30" s="557"/>
      <c r="G30" s="558"/>
      <c r="H30" s="332"/>
      <c r="I30" s="558"/>
    </row>
    <row r="31" spans="1:9" s="305" customFormat="1" ht="16.5" customHeight="1" x14ac:dyDescent="0.3">
      <c r="A31" s="329" t="s">
        <v>163</v>
      </c>
      <c r="B31" s="326" t="s">
        <v>164</v>
      </c>
      <c r="C31" s="326"/>
      <c r="D31" s="336"/>
      <c r="E31" s="516">
        <v>0</v>
      </c>
      <c r="F31" s="651">
        <v>0</v>
      </c>
      <c r="G31" s="518">
        <f>E31*F31</f>
        <v>0</v>
      </c>
      <c r="H31" s="324"/>
      <c r="I31" s="518">
        <f>E31-G31</f>
        <v>0</v>
      </c>
    </row>
    <row r="32" spans="1:9" s="305" customFormat="1" ht="16.5" customHeight="1" x14ac:dyDescent="0.25">
      <c r="A32" s="333"/>
      <c r="B32" s="478"/>
      <c r="C32" s="479"/>
      <c r="D32" s="338"/>
      <c r="E32" s="560"/>
      <c r="F32" s="560"/>
      <c r="G32" s="560"/>
      <c r="H32" s="339"/>
      <c r="I32" s="560"/>
    </row>
    <row r="33" spans="1:9" s="315" customFormat="1" ht="16.5" customHeight="1" thickBot="1" x14ac:dyDescent="0.3">
      <c r="A33" s="340"/>
      <c r="B33" s="341"/>
      <c r="C33" s="341"/>
      <c r="D33" s="342"/>
      <c r="E33" s="561"/>
      <c r="F33" s="562"/>
      <c r="G33" s="562"/>
      <c r="H33" s="343"/>
      <c r="I33" s="562"/>
    </row>
    <row r="34" spans="1:9" s="475" customFormat="1" ht="16.5" customHeight="1" thickBot="1" x14ac:dyDescent="0.35">
      <c r="A34" s="647"/>
      <c r="B34" s="648" t="s">
        <v>168</v>
      </c>
      <c r="C34" s="476"/>
      <c r="D34" s="477"/>
      <c r="E34" s="563">
        <f>SUM(E31,E28,E25,E22)</f>
        <v>0</v>
      </c>
      <c r="F34" s="536"/>
      <c r="G34" s="563">
        <f>SUM(G31,G28,G25,G22)</f>
        <v>0</v>
      </c>
      <c r="H34" s="343"/>
      <c r="I34" s="563">
        <f>SUM(I31,I28,I25,I22)</f>
        <v>0</v>
      </c>
    </row>
    <row r="35" spans="1:9" s="344" customFormat="1" ht="13.5" customHeight="1" x14ac:dyDescent="0.25">
      <c r="C35" s="345"/>
      <c r="H35" s="343"/>
    </row>
    <row r="36" spans="1:9" s="344" customFormat="1" ht="13.5" customHeight="1" x14ac:dyDescent="0.2">
      <c r="D36" s="346"/>
      <c r="E36" s="346"/>
      <c r="F36" s="346"/>
      <c r="G36" s="346"/>
      <c r="H36" s="347"/>
    </row>
    <row r="37" spans="1:9" s="344" customFormat="1" ht="13.5" customHeight="1" x14ac:dyDescent="0.2">
      <c r="D37" s="346"/>
      <c r="E37" s="346"/>
      <c r="F37" s="346"/>
      <c r="G37" s="346"/>
      <c r="H37" s="347"/>
    </row>
    <row r="38" spans="1:9" s="344" customFormat="1" ht="13.5" customHeight="1" x14ac:dyDescent="0.2">
      <c r="D38" s="346"/>
      <c r="E38" s="346"/>
      <c r="F38" s="346"/>
      <c r="G38" s="346"/>
      <c r="H38" s="347"/>
    </row>
    <row r="39" spans="1:9" s="344" customFormat="1" ht="13.5" customHeight="1" x14ac:dyDescent="0.2">
      <c r="D39" s="346"/>
      <c r="E39" s="346"/>
      <c r="F39" s="346"/>
      <c r="G39" s="346"/>
      <c r="H39" s="347"/>
    </row>
    <row r="40" spans="1:9" ht="13.5" customHeight="1" x14ac:dyDescent="0.25">
      <c r="H40" s="347"/>
    </row>
    <row r="41" spans="1:9" ht="13.5" customHeight="1" x14ac:dyDescent="0.25">
      <c r="H41" s="347"/>
    </row>
    <row r="42" spans="1:9" ht="13.5" customHeight="1" x14ac:dyDescent="0.25">
      <c r="H42" s="347"/>
    </row>
    <row r="43" spans="1:9" ht="17.25" customHeight="1" x14ac:dyDescent="0.25"/>
    <row r="44" spans="1:9" ht="17.25" customHeight="1" x14ac:dyDescent="0.25"/>
  </sheetData>
  <mergeCells count="7">
    <mergeCell ref="B25:D25"/>
    <mergeCell ref="E15:E19"/>
    <mergeCell ref="F15:F19"/>
    <mergeCell ref="G15:G19"/>
    <mergeCell ref="A1:I1"/>
    <mergeCell ref="I15:I19"/>
    <mergeCell ref="B5:F12"/>
  </mergeCells>
  <conditionalFormatting sqref="I20:I34 E20:G34">
    <cfRule type="expression" dxfId="43" priority="1" stopIfTrue="1">
      <formula>$O$14="ex-ante"</formula>
    </cfRule>
    <cfRule type="expression" dxfId="42" priority="2" stopIfTrue="1">
      <formula>#REF!="gas"</formula>
    </cfRule>
  </conditionalFormatting>
  <pageMargins left="7.874015748031496E-2" right="7.874015748031496E-2" top="0.39370078740157483" bottom="0.39370078740157483" header="0.31496062992125984" footer="0.31496062992125984"/>
  <pageSetup paperSize="8" orientation="landscape" r:id="rId1"/>
  <headerFooter alignWithMargins="0">
    <oddFooter>&amp;L&amp;"Arial,Bold Italic"&amp;8&amp;F&amp;C&amp;"Arial,Bold Italic"&amp;8&amp;A&amp;"Arial,Regular"&amp;10
&amp;R&amp;"Arial,Bold Italic"&amp;8&amp;D
Pagina 1 / 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pageSetUpPr fitToPage="1"/>
  </sheetPr>
  <dimension ref="A1:O46"/>
  <sheetViews>
    <sheetView zoomScale="80" zoomScaleNormal="80" workbookViewId="0">
      <selection activeCell="B37" sqref="B37"/>
    </sheetView>
  </sheetViews>
  <sheetFormatPr defaultColWidth="9.1796875" defaultRowHeight="12.5" x14ac:dyDescent="0.25"/>
  <cols>
    <col min="1" max="1" width="8.54296875" style="351" customWidth="1"/>
    <col min="2" max="2" width="72.453125" style="351" bestFit="1" customWidth="1"/>
    <col min="3" max="3" width="27" style="351" bestFit="1" customWidth="1"/>
    <col min="4" max="4" width="3.7265625" style="351" customWidth="1"/>
    <col min="5" max="5" width="46.81640625" style="351" customWidth="1"/>
    <col min="6" max="6" width="29" style="351" customWidth="1"/>
    <col min="7" max="7" width="34" style="351" customWidth="1"/>
    <col min="8" max="8" width="3.453125" style="351" customWidth="1"/>
    <col min="9" max="9" width="31.81640625" style="351" customWidth="1"/>
    <col min="10" max="16384" width="9.1796875" style="351"/>
  </cols>
  <sheetData>
    <row r="1" spans="1:15" ht="18.5" thickBot="1" x14ac:dyDescent="0.45">
      <c r="A1" s="1051" t="str">
        <f>"TABEL 5E: Werkelijke ontvangsten uit periodieke distributienettarieven voor exogene en endogene kosten in boekjaar "&amp;TITELBLAD!E15&amp;" (gas - afname)"</f>
        <v>TABEL 5E: Werkelijke ontvangsten uit periodieke distributienettarieven voor exogene en endogene kosten in boekjaar 2017 (gas - afname)</v>
      </c>
      <c r="B1" s="1052"/>
      <c r="C1" s="1052"/>
      <c r="D1" s="1052"/>
      <c r="E1" s="1052"/>
      <c r="F1" s="1052"/>
      <c r="G1" s="1053"/>
      <c r="H1" s="349"/>
      <c r="I1" s="350"/>
      <c r="J1" s="350"/>
    </row>
    <row r="2" spans="1:15" x14ac:dyDescent="0.25">
      <c r="J2" s="585"/>
      <c r="K2" s="585"/>
      <c r="L2" s="585"/>
      <c r="M2" s="585"/>
      <c r="N2" s="585"/>
      <c r="O2" s="585"/>
    </row>
    <row r="3" spans="1:15" s="20" customFormat="1" x14ac:dyDescent="0.25">
      <c r="M3" s="394"/>
    </row>
    <row r="4" spans="1:15" s="20" customFormat="1" ht="13" x14ac:dyDescent="0.3">
      <c r="B4" s="110" t="s">
        <v>253</v>
      </c>
      <c r="M4" s="394"/>
    </row>
    <row r="5" spans="1:15" s="20" customFormat="1" x14ac:dyDescent="0.25">
      <c r="B5" s="1016" t="s">
        <v>353</v>
      </c>
      <c r="C5" s="1016"/>
      <c r="D5" s="1016"/>
      <c r="E5" s="1016"/>
      <c r="F5" s="1016"/>
      <c r="M5" s="394"/>
    </row>
    <row r="6" spans="1:15" s="20" customFormat="1" x14ac:dyDescent="0.25">
      <c r="B6" s="1016"/>
      <c r="C6" s="1016"/>
      <c r="D6" s="1016"/>
      <c r="E6" s="1016"/>
      <c r="F6" s="1016"/>
      <c r="M6" s="394"/>
    </row>
    <row r="7" spans="1:15" s="20" customFormat="1" x14ac:dyDescent="0.25">
      <c r="B7" s="1016"/>
      <c r="C7" s="1016"/>
      <c r="D7" s="1016"/>
      <c r="E7" s="1016"/>
      <c r="F7" s="1016"/>
      <c r="M7" s="394"/>
    </row>
    <row r="8" spans="1:15" s="20" customFormat="1" x14ac:dyDescent="0.25">
      <c r="B8" s="1016"/>
      <c r="C8" s="1016"/>
      <c r="D8" s="1016"/>
      <c r="E8" s="1016"/>
      <c r="F8" s="1016"/>
      <c r="M8" s="394"/>
    </row>
    <row r="9" spans="1:15" s="20" customFormat="1" x14ac:dyDescent="0.25">
      <c r="B9" s="1016"/>
      <c r="C9" s="1016"/>
      <c r="D9" s="1016"/>
      <c r="E9" s="1016"/>
      <c r="F9" s="1016"/>
      <c r="M9" s="394"/>
    </row>
    <row r="10" spans="1:15" s="20" customFormat="1" x14ac:dyDescent="0.25">
      <c r="B10" s="1016"/>
      <c r="C10" s="1016"/>
      <c r="D10" s="1016"/>
      <c r="E10" s="1016"/>
      <c r="F10" s="1016"/>
      <c r="M10" s="394"/>
    </row>
    <row r="11" spans="1:15" s="20" customFormat="1" x14ac:dyDescent="0.25">
      <c r="B11" s="1016"/>
      <c r="C11" s="1016"/>
      <c r="D11" s="1016"/>
      <c r="E11" s="1016"/>
      <c r="F11" s="1016"/>
      <c r="M11" s="394"/>
    </row>
    <row r="12" spans="1:15" s="20" customFormat="1" x14ac:dyDescent="0.25">
      <c r="B12" s="1016"/>
      <c r="C12" s="1016"/>
      <c r="D12" s="1016"/>
      <c r="E12" s="1016"/>
      <c r="F12" s="1016"/>
      <c r="M12" s="394"/>
    </row>
    <row r="13" spans="1:15" s="20" customFormat="1" x14ac:dyDescent="0.25">
      <c r="M13" s="394"/>
    </row>
    <row r="14" spans="1:15" x14ac:dyDescent="0.25">
      <c r="J14" s="585"/>
      <c r="K14" s="585" t="str">
        <f>+TITELBLAD!C12</f>
        <v>elektriciteit</v>
      </c>
      <c r="L14" s="585"/>
      <c r="M14" s="585"/>
      <c r="N14" s="585"/>
      <c r="O14" s="585"/>
    </row>
    <row r="15" spans="1:15" ht="15" customHeight="1" thickBot="1" x14ac:dyDescent="0.3">
      <c r="J15" s="585"/>
      <c r="K15" s="585" t="str">
        <f>+TITELBLAD!B18</f>
        <v>Rapportering over boekjaar:</v>
      </c>
      <c r="L15" s="585"/>
      <c r="M15" s="585"/>
      <c r="N15" s="585">
        <f>+TITELBLAD!E18</f>
        <v>2019</v>
      </c>
      <c r="O15" s="585" t="str">
        <f>+TITELBLAD!F18</f>
        <v>ex-ante</v>
      </c>
    </row>
    <row r="16" spans="1:15" ht="15" customHeight="1" x14ac:dyDescent="0.25">
      <c r="A16" s="1130"/>
      <c r="B16" s="1131"/>
      <c r="C16" s="1132"/>
      <c r="D16" s="352"/>
      <c r="E16" s="1139" t="str">
        <f>"Totale werkelijke ontvangsten uit periodieke distributienettarieven in boekjaar "&amp;TITELBLAD!E15&amp;" (gas)"</f>
        <v>Totale werkelijke ontvangsten uit periodieke distributienettarieven in boekjaar 2017 (gas)</v>
      </c>
      <c r="F16" s="1142" t="s">
        <v>228</v>
      </c>
      <c r="G16" s="1145" t="str">
        <f>"Werkelijke ontvangsten m.b.t. endogene kosten in boekjaar "&amp;TITELBLAD!E15&amp;" (gas)"</f>
        <v>Werkelijke ontvangsten m.b.t. endogene kosten in boekjaar 2017 (gas)</v>
      </c>
      <c r="I16" s="1127" t="str">
        <f>"Werkelijke ontvangsten m.b.t. exogene kosten in boekjaar "&amp;TITELBLAD!E15&amp;" (gas)"</f>
        <v>Werkelijke ontvangsten m.b.t. exogene kosten in boekjaar 2017 (gas)</v>
      </c>
      <c r="J16" s="585"/>
      <c r="K16" s="585"/>
      <c r="L16" s="585"/>
      <c r="M16" s="585"/>
      <c r="N16" s="585"/>
      <c r="O16" s="585"/>
    </row>
    <row r="17" spans="1:15" ht="21" customHeight="1" x14ac:dyDescent="0.25">
      <c r="A17" s="1133"/>
      <c r="B17" s="1134"/>
      <c r="C17" s="1135"/>
      <c r="D17" s="352"/>
      <c r="E17" s="1140"/>
      <c r="F17" s="1143"/>
      <c r="G17" s="1146"/>
      <c r="I17" s="1128"/>
      <c r="J17" s="585"/>
      <c r="K17" s="585"/>
      <c r="L17" s="585"/>
      <c r="M17" s="585"/>
      <c r="N17" s="585"/>
      <c r="O17" s="585"/>
    </row>
    <row r="18" spans="1:15" ht="21" customHeight="1" x14ac:dyDescent="0.25">
      <c r="A18" s="1133"/>
      <c r="B18" s="1134"/>
      <c r="C18" s="1135"/>
      <c r="D18" s="352"/>
      <c r="E18" s="1140"/>
      <c r="F18" s="1143"/>
      <c r="G18" s="1146"/>
      <c r="I18" s="1128"/>
    </row>
    <row r="19" spans="1:15" s="15" customFormat="1" ht="28.5" customHeight="1" thickBot="1" x14ac:dyDescent="0.3">
      <c r="A19" s="1133"/>
      <c r="B19" s="1134"/>
      <c r="C19" s="1135"/>
      <c r="D19" s="352"/>
      <c r="E19" s="1141"/>
      <c r="F19" s="1144"/>
      <c r="G19" s="1147"/>
      <c r="I19" s="1129"/>
    </row>
    <row r="20" spans="1:15" s="15" customFormat="1" ht="12" customHeight="1" thickBot="1" x14ac:dyDescent="0.3">
      <c r="A20" s="1136"/>
      <c r="B20" s="1137"/>
      <c r="C20" s="1138"/>
      <c r="D20" s="352"/>
      <c r="E20" s="353"/>
      <c r="F20" s="354"/>
      <c r="G20" s="355"/>
      <c r="I20" s="445"/>
    </row>
    <row r="21" spans="1:15" s="15" customFormat="1" ht="18.75" customHeight="1" x14ac:dyDescent="0.25">
      <c r="A21" s="356" t="s">
        <v>169</v>
      </c>
      <c r="B21" s="357"/>
      <c r="C21" s="358"/>
      <c r="D21" s="359"/>
      <c r="E21" s="565">
        <f>SUM(E23,E29,E26)</f>
        <v>0</v>
      </c>
      <c r="F21" s="566"/>
      <c r="G21" s="567">
        <f>SUM(G23,G29,G26)</f>
        <v>0</v>
      </c>
      <c r="I21" s="577">
        <f>SUM(I23,I29,I26)</f>
        <v>0</v>
      </c>
    </row>
    <row r="22" spans="1:15" s="16" customFormat="1" ht="18" customHeight="1" x14ac:dyDescent="0.3">
      <c r="A22" s="360"/>
      <c r="B22" s="357"/>
      <c r="C22" s="358"/>
      <c r="D22" s="359"/>
      <c r="E22" s="568"/>
      <c r="F22" s="569"/>
      <c r="G22" s="358"/>
      <c r="I22" s="578"/>
    </row>
    <row r="23" spans="1:15" s="15" customFormat="1" ht="18" customHeight="1" x14ac:dyDescent="0.25">
      <c r="A23" s="361" t="s">
        <v>170</v>
      </c>
      <c r="B23" s="362" t="s">
        <v>171</v>
      </c>
      <c r="C23" s="363"/>
      <c r="D23" s="364"/>
      <c r="E23" s="652">
        <v>0</v>
      </c>
      <c r="F23" s="657">
        <v>0</v>
      </c>
      <c r="G23" s="570">
        <f>E23*F23</f>
        <v>0</v>
      </c>
      <c r="I23" s="579">
        <f>E23-G23</f>
        <v>0</v>
      </c>
    </row>
    <row r="24" spans="1:15" s="15" customFormat="1" ht="18" customHeight="1" x14ac:dyDescent="0.25">
      <c r="A24" s="360"/>
      <c r="B24" s="365"/>
      <c r="C24" s="366"/>
      <c r="D24" s="367"/>
      <c r="E24" s="653"/>
      <c r="F24" s="658"/>
      <c r="G24" s="366"/>
      <c r="I24" s="580"/>
    </row>
    <row r="25" spans="1:15" s="15" customFormat="1" ht="18" customHeight="1" x14ac:dyDescent="0.25">
      <c r="A25" s="360"/>
      <c r="B25" s="357"/>
      <c r="C25" s="368"/>
      <c r="D25" s="369"/>
      <c r="E25" s="654"/>
      <c r="F25" s="659"/>
      <c r="G25" s="368"/>
      <c r="I25" s="581"/>
    </row>
    <row r="26" spans="1:15" s="15" customFormat="1" ht="19.5" customHeight="1" x14ac:dyDescent="0.25">
      <c r="A26" s="361" t="s">
        <v>172</v>
      </c>
      <c r="B26" s="362" t="s">
        <v>173</v>
      </c>
      <c r="C26" s="366"/>
      <c r="D26" s="367"/>
      <c r="E26" s="652">
        <v>0</v>
      </c>
      <c r="F26" s="657">
        <v>0</v>
      </c>
      <c r="G26" s="570">
        <f>E26*F26</f>
        <v>0</v>
      </c>
      <c r="I26" s="579">
        <f>E26-G26</f>
        <v>0</v>
      </c>
    </row>
    <row r="27" spans="1:15" s="15" customFormat="1" ht="14.25" customHeight="1" x14ac:dyDescent="0.25">
      <c r="A27" s="360"/>
      <c r="B27" s="357"/>
      <c r="C27" s="368"/>
      <c r="D27" s="369"/>
      <c r="E27" s="655"/>
      <c r="F27" s="659"/>
      <c r="G27" s="368"/>
      <c r="I27" s="581"/>
    </row>
    <row r="28" spans="1:15" s="15" customFormat="1" ht="14.25" customHeight="1" x14ac:dyDescent="0.25">
      <c r="A28" s="360"/>
      <c r="B28" s="357"/>
      <c r="C28" s="368"/>
      <c r="D28" s="369"/>
      <c r="E28" s="655"/>
      <c r="F28" s="659"/>
      <c r="G28" s="368"/>
      <c r="I28" s="581"/>
    </row>
    <row r="29" spans="1:15" s="15" customFormat="1" ht="18" customHeight="1" x14ac:dyDescent="0.25">
      <c r="A29" s="361" t="s">
        <v>174</v>
      </c>
      <c r="B29" s="370" t="s">
        <v>175</v>
      </c>
      <c r="C29" s="368"/>
      <c r="D29" s="369"/>
      <c r="E29" s="652">
        <v>0</v>
      </c>
      <c r="F29" s="657">
        <v>0</v>
      </c>
      <c r="G29" s="570">
        <f>E29*F29</f>
        <v>0</v>
      </c>
      <c r="I29" s="579">
        <f>E29-G29</f>
        <v>0</v>
      </c>
    </row>
    <row r="30" spans="1:15" s="15" customFormat="1" ht="21" customHeight="1" x14ac:dyDescent="0.25">
      <c r="A30" s="360"/>
      <c r="B30" s="365"/>
      <c r="C30" s="366"/>
      <c r="D30" s="367"/>
      <c r="E30" s="653"/>
      <c r="F30" s="658"/>
      <c r="G30" s="366"/>
      <c r="I30" s="580"/>
    </row>
    <row r="31" spans="1:15" s="15" customFormat="1" ht="18" customHeight="1" x14ac:dyDescent="0.25">
      <c r="A31" s="360"/>
      <c r="B31" s="357"/>
      <c r="C31" s="368"/>
      <c r="D31" s="369"/>
      <c r="E31" s="654"/>
      <c r="F31" s="659"/>
      <c r="G31" s="368"/>
      <c r="I31" s="581"/>
    </row>
    <row r="32" spans="1:15" s="15" customFormat="1" ht="18" customHeight="1" x14ac:dyDescent="0.25">
      <c r="A32" s="356" t="s">
        <v>176</v>
      </c>
      <c r="B32" s="357"/>
      <c r="C32" s="366"/>
      <c r="D32" s="367"/>
      <c r="E32" s="521">
        <v>0</v>
      </c>
      <c r="F32" s="661">
        <v>0</v>
      </c>
      <c r="G32" s="567">
        <f>E32*F32</f>
        <v>0</v>
      </c>
      <c r="I32" s="577">
        <f>E32-G32</f>
        <v>0</v>
      </c>
    </row>
    <row r="33" spans="1:9" s="15" customFormat="1" ht="18" customHeight="1" x14ac:dyDescent="0.25">
      <c r="A33" s="360"/>
      <c r="B33" s="357"/>
      <c r="C33" s="368"/>
      <c r="D33" s="369"/>
      <c r="E33" s="654"/>
      <c r="F33" s="659"/>
      <c r="G33" s="368"/>
      <c r="I33" s="581"/>
    </row>
    <row r="34" spans="1:9" s="15" customFormat="1" ht="18" customHeight="1" x14ac:dyDescent="0.25">
      <c r="A34" s="360"/>
      <c r="B34" s="357"/>
      <c r="C34" s="368"/>
      <c r="D34" s="369"/>
      <c r="E34" s="654"/>
      <c r="F34" s="659"/>
      <c r="G34" s="368"/>
      <c r="I34" s="581"/>
    </row>
    <row r="35" spans="1:9" s="15" customFormat="1" ht="20.25" customHeight="1" x14ac:dyDescent="0.25">
      <c r="A35" s="356" t="s">
        <v>231</v>
      </c>
      <c r="B35" s="357"/>
      <c r="C35" s="366"/>
      <c r="D35" s="367"/>
      <c r="E35" s="521">
        <v>0</v>
      </c>
      <c r="F35" s="661">
        <v>0</v>
      </c>
      <c r="G35" s="567">
        <f>E35*F35</f>
        <v>0</v>
      </c>
      <c r="I35" s="577">
        <f>E35-G35</f>
        <v>0</v>
      </c>
    </row>
    <row r="36" spans="1:9" s="15" customFormat="1" ht="18" customHeight="1" x14ac:dyDescent="0.25">
      <c r="A36" s="360"/>
      <c r="B36" s="357"/>
      <c r="C36" s="368"/>
      <c r="D36" s="369"/>
      <c r="E36" s="654"/>
      <c r="F36" s="659"/>
      <c r="G36" s="368"/>
      <c r="I36" s="581"/>
    </row>
    <row r="37" spans="1:9" s="15" customFormat="1" ht="18" customHeight="1" x14ac:dyDescent="0.25">
      <c r="A37" s="360"/>
      <c r="B37" s="357"/>
      <c r="C37" s="368"/>
      <c r="D37" s="369"/>
      <c r="E37" s="654"/>
      <c r="F37" s="659"/>
      <c r="G37" s="368"/>
      <c r="I37" s="581"/>
    </row>
    <row r="38" spans="1:9" s="15" customFormat="1" ht="17.25" customHeight="1" x14ac:dyDescent="0.25">
      <c r="A38" s="356" t="s">
        <v>232</v>
      </c>
      <c r="B38" s="357"/>
      <c r="C38" s="366"/>
      <c r="D38" s="367"/>
      <c r="E38" s="521">
        <v>0</v>
      </c>
      <c r="F38" s="661">
        <v>0</v>
      </c>
      <c r="G38" s="567">
        <f>E38*F38</f>
        <v>0</v>
      </c>
      <c r="I38" s="577">
        <f>E38-G38</f>
        <v>0</v>
      </c>
    </row>
    <row r="39" spans="1:9" s="15" customFormat="1" ht="18" customHeight="1" x14ac:dyDescent="0.25">
      <c r="A39" s="360"/>
      <c r="B39" s="357"/>
      <c r="C39" s="368"/>
      <c r="D39" s="369"/>
      <c r="E39" s="654"/>
      <c r="F39" s="659"/>
      <c r="G39" s="368"/>
      <c r="I39" s="581"/>
    </row>
    <row r="40" spans="1:9" s="15" customFormat="1" ht="18" customHeight="1" x14ac:dyDescent="0.25">
      <c r="A40" s="360"/>
      <c r="B40" s="357"/>
      <c r="C40" s="368"/>
      <c r="D40" s="369"/>
      <c r="E40" s="654"/>
      <c r="F40" s="659"/>
      <c r="G40" s="368"/>
      <c r="I40" s="581"/>
    </row>
    <row r="41" spans="1:9" s="15" customFormat="1" ht="22.5" customHeight="1" x14ac:dyDescent="0.25">
      <c r="A41" s="356" t="s">
        <v>233</v>
      </c>
      <c r="B41" s="357"/>
      <c r="C41" s="368"/>
      <c r="D41" s="369"/>
      <c r="E41" s="521">
        <v>0</v>
      </c>
      <c r="F41" s="661">
        <v>0</v>
      </c>
      <c r="G41" s="567">
        <f>E41*F41</f>
        <v>0</v>
      </c>
      <c r="I41" s="577">
        <f>E41-G41</f>
        <v>0</v>
      </c>
    </row>
    <row r="42" spans="1:9" s="15" customFormat="1" ht="18" customHeight="1" x14ac:dyDescent="0.25">
      <c r="A42" s="371"/>
      <c r="B42" s="362"/>
      <c r="C42" s="366"/>
      <c r="D42" s="367"/>
      <c r="E42" s="656"/>
      <c r="F42" s="660"/>
      <c r="G42" s="571"/>
      <c r="I42" s="582"/>
    </row>
    <row r="43" spans="1:9" s="15" customFormat="1" ht="14.25" customHeight="1" thickBot="1" x14ac:dyDescent="0.3">
      <c r="A43" s="371"/>
      <c r="B43" s="372"/>
      <c r="C43" s="373"/>
      <c r="D43" s="367"/>
      <c r="E43" s="572"/>
      <c r="F43" s="573"/>
      <c r="G43" s="373"/>
      <c r="I43" s="583"/>
    </row>
    <row r="44" spans="1:9" s="377" customFormat="1" ht="21" customHeight="1" thickBot="1" x14ac:dyDescent="0.3">
      <c r="A44" s="374"/>
      <c r="B44" s="375" t="s">
        <v>177</v>
      </c>
      <c r="C44" s="376"/>
      <c r="D44" s="367"/>
      <c r="E44" s="574">
        <f>SUM(E41,E38,E35,E32,E21)</f>
        <v>0</v>
      </c>
      <c r="F44" s="575"/>
      <c r="G44" s="576">
        <f>SUM(G41,G38,G35,G32,G21)</f>
        <v>0</v>
      </c>
      <c r="I44" s="584">
        <f>SUM(I41,I38,I35,I32,I21)</f>
        <v>0</v>
      </c>
    </row>
    <row r="46" spans="1:9" ht="13" x14ac:dyDescent="0.3">
      <c r="C46" s="378"/>
      <c r="E46" s="379"/>
      <c r="F46" s="379"/>
    </row>
  </sheetData>
  <mergeCells count="7">
    <mergeCell ref="I16:I19"/>
    <mergeCell ref="B5:F12"/>
    <mergeCell ref="A1:G1"/>
    <mergeCell ref="A16:C20"/>
    <mergeCell ref="E16:E19"/>
    <mergeCell ref="F16:F19"/>
    <mergeCell ref="G16:G19"/>
  </mergeCells>
  <conditionalFormatting sqref="I21:I44 E21:G44">
    <cfRule type="expression" dxfId="41" priority="1" stopIfTrue="1">
      <formula>$O$15="ex-ante"</formula>
    </cfRule>
    <cfRule type="expression" dxfId="40" priority="2" stopIfTrue="1">
      <formula>$K$14="elektriciteit"</formula>
    </cfRule>
  </conditionalFormatting>
  <pageMargins left="0.19685039370078741" right="0.19685039370078741" top="0.39370078740157483" bottom="0.39370078740157483" header="0.51181102362204722" footer="0.19685039370078741"/>
  <pageSetup paperSize="8" scale="81" orientation="landscape" r:id="rId1"/>
  <headerFooter alignWithMargins="0">
    <oddFooter>&amp;C&amp;8&amp;F&amp;R&amp;8&amp;A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6"/>
  <sheetViews>
    <sheetView zoomScale="80" zoomScaleNormal="80" zoomScaleSheetLayoutView="80" workbookViewId="0">
      <selection activeCell="C7" sqref="C7"/>
    </sheetView>
  </sheetViews>
  <sheetFormatPr defaultColWidth="11.453125" defaultRowHeight="12.5" x14ac:dyDescent="0.25"/>
  <cols>
    <col min="1" max="1" width="25.453125" style="187" customWidth="1"/>
    <col min="2" max="2" width="21.453125" style="187" customWidth="1"/>
    <col min="3" max="6" width="17.7265625" style="187" customWidth="1"/>
    <col min="7" max="7" width="2.26953125" style="187" customWidth="1"/>
    <col min="8" max="8" width="17.7265625" style="187" customWidth="1"/>
    <col min="9" max="9" width="2" style="187" customWidth="1"/>
    <col min="10" max="10" width="17.7265625" style="187" customWidth="1"/>
    <col min="11" max="11" width="28.7265625" style="187" bestFit="1" customWidth="1"/>
    <col min="12" max="12" width="14" style="187" customWidth="1"/>
    <col min="13" max="13" width="11.453125" style="187"/>
    <col min="14" max="14" width="12.26953125" style="187" bestFit="1" customWidth="1"/>
    <col min="15" max="16384" width="11.453125" style="187"/>
  </cols>
  <sheetData>
    <row r="1" spans="1:15" ht="21.75" customHeight="1" thickBot="1" x14ac:dyDescent="0.45">
      <c r="A1" s="1157" t="s">
        <v>259</v>
      </c>
      <c r="B1" s="1158"/>
      <c r="C1" s="1158"/>
      <c r="D1" s="1158"/>
      <c r="E1" s="1158"/>
      <c r="F1" s="1158"/>
      <c r="G1" s="1158"/>
      <c r="H1" s="1159"/>
      <c r="I1" s="50"/>
      <c r="J1" s="48"/>
      <c r="K1" s="46"/>
    </row>
    <row r="2" spans="1:15" x14ac:dyDescent="0.25">
      <c r="A2" s="188"/>
      <c r="B2" s="188"/>
      <c r="C2" s="188"/>
      <c r="D2" s="188"/>
      <c r="E2" s="188"/>
      <c r="F2" s="188"/>
      <c r="G2" s="188"/>
      <c r="H2" s="188"/>
      <c r="I2" s="50"/>
      <c r="J2" s="920"/>
      <c r="K2" s="491"/>
      <c r="L2" s="488"/>
      <c r="M2" s="488"/>
      <c r="N2" s="919"/>
      <c r="O2" s="919"/>
    </row>
    <row r="3" spans="1:15" x14ac:dyDescent="0.25">
      <c r="A3" s="188"/>
      <c r="B3" s="188"/>
      <c r="C3" s="188"/>
      <c r="D3" s="188"/>
      <c r="E3" s="188"/>
      <c r="F3" s="188"/>
      <c r="G3" s="188"/>
      <c r="H3" s="188"/>
      <c r="I3" s="50"/>
      <c r="J3" s="920"/>
      <c r="K3" s="491" t="str">
        <f>+TITELBLAD!B18</f>
        <v>Rapportering over boekjaar:</v>
      </c>
      <c r="L3" s="488">
        <f>+TITELBLAD!E18</f>
        <v>2019</v>
      </c>
      <c r="M3" s="488" t="str">
        <f>+TITELBLAD!F18</f>
        <v>ex-ante</v>
      </c>
      <c r="N3" s="919"/>
      <c r="O3" s="919"/>
    </row>
    <row r="4" spans="1:15" s="48" customFormat="1" ht="16.5" x14ac:dyDescent="0.35">
      <c r="A4" s="51"/>
      <c r="C4" s="1098" t="str">
        <f>+TITELBLAD!C7</f>
        <v>Naam distributienetbeheerder</v>
      </c>
      <c r="D4" s="1099"/>
      <c r="E4" s="1099"/>
      <c r="F4" s="1100"/>
      <c r="G4" s="50"/>
      <c r="I4" s="483"/>
      <c r="J4" s="919"/>
      <c r="K4" s="488"/>
      <c r="L4" s="483"/>
      <c r="M4" s="483"/>
      <c r="N4" s="920"/>
      <c r="O4" s="920"/>
    </row>
    <row r="5" spans="1:15" s="48" customFormat="1" ht="16.5" x14ac:dyDescent="0.35">
      <c r="A5" s="51"/>
      <c r="C5" s="1098" t="str">
        <f>+TITELBLAD!C12</f>
        <v>elektriciteit</v>
      </c>
      <c r="D5" s="1099"/>
      <c r="E5" s="1099"/>
      <c r="F5" s="1100"/>
      <c r="G5" s="50"/>
      <c r="I5" s="483"/>
      <c r="J5" s="920"/>
      <c r="K5" s="920"/>
      <c r="L5" s="920"/>
      <c r="M5" s="920"/>
      <c r="N5" s="920"/>
      <c r="O5" s="920"/>
    </row>
    <row r="6" spans="1:15" s="48" customFormat="1" ht="16.5" x14ac:dyDescent="0.35">
      <c r="A6" s="51"/>
      <c r="C6" s="1023" t="s">
        <v>30</v>
      </c>
      <c r="D6" s="1024"/>
      <c r="E6" s="1024"/>
      <c r="F6" s="1025"/>
      <c r="G6" s="50"/>
      <c r="J6" s="920"/>
      <c r="K6" s="920"/>
      <c r="L6" s="920"/>
      <c r="M6" s="920"/>
      <c r="N6" s="920"/>
      <c r="O6" s="920"/>
    </row>
    <row r="7" spans="1:15" s="48" customFormat="1" ht="71.25" customHeight="1" x14ac:dyDescent="0.25">
      <c r="A7" s="1160"/>
      <c r="B7" s="1161"/>
      <c r="C7" s="232">
        <v>2017</v>
      </c>
      <c r="D7" s="232">
        <v>2018</v>
      </c>
      <c r="E7" s="232">
        <v>2019</v>
      </c>
      <c r="F7" s="232">
        <v>2020</v>
      </c>
      <c r="G7" s="50"/>
      <c r="J7" s="920"/>
      <c r="K7" s="920"/>
      <c r="L7" s="920"/>
      <c r="M7" s="920"/>
      <c r="N7" s="920"/>
      <c r="O7" s="920"/>
    </row>
    <row r="8" spans="1:15" s="48" customFormat="1" ht="62.25" customHeight="1" x14ac:dyDescent="0.25">
      <c r="A8" s="1077" t="s">
        <v>327</v>
      </c>
      <c r="B8" s="1079"/>
      <c r="C8" s="736">
        <f>SUM(C9:C16)</f>
        <v>0</v>
      </c>
      <c r="D8" s="736">
        <f>SUM(D9:D16)</f>
        <v>0</v>
      </c>
      <c r="E8" s="736">
        <f>SUM(E9:E16)</f>
        <v>0</v>
      </c>
      <c r="F8" s="736">
        <f>SUM(F9:F16)</f>
        <v>0</v>
      </c>
      <c r="G8" s="50"/>
      <c r="J8" s="920"/>
      <c r="K8" s="920"/>
      <c r="L8" s="920"/>
      <c r="M8" s="920"/>
      <c r="N8" s="920"/>
      <c r="O8" s="920"/>
    </row>
    <row r="9" spans="1:15" s="48" customFormat="1" ht="22.5" customHeight="1" x14ac:dyDescent="0.25">
      <c r="A9" s="1148" t="s">
        <v>215</v>
      </c>
      <c r="B9" s="1149"/>
      <c r="C9" s="917">
        <v>0</v>
      </c>
      <c r="D9" s="917">
        <v>0</v>
      </c>
      <c r="E9" s="917">
        <v>0</v>
      </c>
      <c r="F9" s="917">
        <v>0</v>
      </c>
      <c r="G9" s="50"/>
      <c r="J9" s="920"/>
      <c r="K9" s="920"/>
      <c r="L9" s="920"/>
      <c r="M9" s="920"/>
      <c r="N9" s="920"/>
      <c r="O9" s="920"/>
    </row>
    <row r="10" spans="1:15" s="48" customFormat="1" ht="21" customHeight="1" x14ac:dyDescent="0.25">
      <c r="A10" s="1148" t="s">
        <v>216</v>
      </c>
      <c r="B10" s="1149"/>
      <c r="C10" s="917">
        <v>0</v>
      </c>
      <c r="D10" s="917">
        <v>0</v>
      </c>
      <c r="E10" s="917">
        <v>0</v>
      </c>
      <c r="F10" s="917">
        <v>0</v>
      </c>
      <c r="G10" s="50"/>
    </row>
    <row r="11" spans="1:15" s="48" customFormat="1" ht="21" customHeight="1" x14ac:dyDescent="0.25">
      <c r="A11" s="1148" t="s">
        <v>217</v>
      </c>
      <c r="B11" s="1149"/>
      <c r="C11" s="917">
        <v>0</v>
      </c>
      <c r="D11" s="917">
        <v>0</v>
      </c>
      <c r="E11" s="917">
        <v>0</v>
      </c>
      <c r="F11" s="917">
        <v>0</v>
      </c>
      <c r="G11" s="50"/>
    </row>
    <row r="12" spans="1:15" s="48" customFormat="1" ht="21.75" customHeight="1" x14ac:dyDescent="0.25">
      <c r="A12" s="1148" t="s">
        <v>218</v>
      </c>
      <c r="B12" s="1149"/>
      <c r="C12" s="917">
        <v>0</v>
      </c>
      <c r="D12" s="917">
        <v>0</v>
      </c>
      <c r="E12" s="917">
        <v>0</v>
      </c>
      <c r="F12" s="917">
        <v>0</v>
      </c>
      <c r="G12" s="50"/>
    </row>
    <row r="13" spans="1:15" s="48" customFormat="1" ht="35.25" customHeight="1" x14ac:dyDescent="0.25">
      <c r="A13" s="1148" t="s">
        <v>219</v>
      </c>
      <c r="B13" s="1149"/>
      <c r="C13" s="917">
        <v>0</v>
      </c>
      <c r="D13" s="917">
        <v>0</v>
      </c>
      <c r="E13" s="917">
        <v>0</v>
      </c>
      <c r="F13" s="917">
        <v>0</v>
      </c>
      <c r="G13" s="50"/>
    </row>
    <row r="14" spans="1:15" s="48" customFormat="1" ht="30.75" customHeight="1" x14ac:dyDescent="0.25">
      <c r="A14" s="1148" t="s">
        <v>220</v>
      </c>
      <c r="B14" s="1149"/>
      <c r="C14" s="917">
        <v>0</v>
      </c>
      <c r="D14" s="917">
        <v>0</v>
      </c>
      <c r="E14" s="917">
        <v>0</v>
      </c>
      <c r="F14" s="917">
        <v>0</v>
      </c>
      <c r="G14" s="50"/>
    </row>
    <row r="15" spans="1:15" s="48" customFormat="1" ht="33" customHeight="1" x14ac:dyDescent="0.25">
      <c r="A15" s="1148" t="s">
        <v>221</v>
      </c>
      <c r="B15" s="1149"/>
      <c r="C15" s="917">
        <v>0</v>
      </c>
      <c r="D15" s="917">
        <v>0</v>
      </c>
      <c r="E15" s="917">
        <v>0</v>
      </c>
      <c r="F15" s="917">
        <v>0</v>
      </c>
      <c r="G15" s="50"/>
    </row>
    <row r="16" spans="1:15" s="48" customFormat="1" ht="35.25" customHeight="1" x14ac:dyDescent="0.25">
      <c r="A16" s="1148" t="s">
        <v>222</v>
      </c>
      <c r="B16" s="1149"/>
      <c r="C16" s="917">
        <v>0</v>
      </c>
      <c r="D16" s="917">
        <v>0</v>
      </c>
      <c r="E16" s="917">
        <v>0</v>
      </c>
      <c r="F16" s="917">
        <v>0</v>
      </c>
      <c r="G16" s="50"/>
    </row>
    <row r="17" spans="1:7" s="48" customFormat="1" ht="10.5" customHeight="1" x14ac:dyDescent="0.25">
      <c r="A17" s="733"/>
      <c r="B17" s="734"/>
      <c r="C17" s="490"/>
      <c r="D17" s="490"/>
      <c r="E17" s="490"/>
      <c r="F17" s="490"/>
      <c r="G17" s="50"/>
    </row>
    <row r="18" spans="1:7" s="48" customFormat="1" ht="87" customHeight="1" x14ac:dyDescent="0.25">
      <c r="A18" s="1074" t="s">
        <v>328</v>
      </c>
      <c r="B18" s="1076"/>
      <c r="C18" s="489"/>
      <c r="D18" s="489"/>
      <c r="E18" s="489"/>
      <c r="F18" s="489"/>
      <c r="G18" s="50"/>
    </row>
    <row r="19" spans="1:7" s="48" customFormat="1" ht="24" customHeight="1" x14ac:dyDescent="0.25">
      <c r="A19" s="1148" t="s">
        <v>215</v>
      </c>
      <c r="B19" s="1149"/>
      <c r="C19" s="822">
        <v>0</v>
      </c>
      <c r="D19" s="822">
        <v>0</v>
      </c>
      <c r="E19" s="822">
        <v>0</v>
      </c>
      <c r="F19" s="822">
        <v>0</v>
      </c>
      <c r="G19" s="50"/>
    </row>
    <row r="20" spans="1:7" s="48" customFormat="1" ht="10.5" customHeight="1" x14ac:dyDescent="0.25">
      <c r="A20" s="1154"/>
      <c r="B20" s="1155"/>
      <c r="C20" s="489"/>
      <c r="D20" s="489"/>
      <c r="E20" s="489"/>
      <c r="F20" s="489"/>
      <c r="G20" s="50"/>
    </row>
    <row r="21" spans="1:7" s="48" customFormat="1" ht="62.25" customHeight="1" x14ac:dyDescent="0.25">
      <c r="A21" s="1077" t="s">
        <v>346</v>
      </c>
      <c r="B21" s="1079"/>
      <c r="C21" s="736"/>
      <c r="D21" s="736">
        <f>SUM(D22:D29)</f>
        <v>0</v>
      </c>
      <c r="E21" s="736">
        <f>SUM(E22:E29)</f>
        <v>0</v>
      </c>
      <c r="F21" s="736">
        <f>SUM(F22:F29)</f>
        <v>0</v>
      </c>
      <c r="G21" s="50"/>
    </row>
    <row r="22" spans="1:7" s="48" customFormat="1" ht="22.5" customHeight="1" x14ac:dyDescent="0.25">
      <c r="A22" s="1148" t="s">
        <v>215</v>
      </c>
      <c r="B22" s="1149"/>
      <c r="C22" s="490"/>
      <c r="D22" s="723">
        <v>0</v>
      </c>
      <c r="E22" s="723">
        <v>0</v>
      </c>
      <c r="F22" s="723">
        <v>0</v>
      </c>
      <c r="G22" s="50"/>
    </row>
    <row r="23" spans="1:7" s="48" customFormat="1" ht="21" customHeight="1" x14ac:dyDescent="0.25">
      <c r="A23" s="1148" t="s">
        <v>216</v>
      </c>
      <c r="B23" s="1149"/>
      <c r="C23" s="490"/>
      <c r="D23" s="723">
        <v>0</v>
      </c>
      <c r="E23" s="723">
        <v>0</v>
      </c>
      <c r="F23" s="723">
        <v>0</v>
      </c>
      <c r="G23" s="50"/>
    </row>
    <row r="24" spans="1:7" s="48" customFormat="1" ht="21" customHeight="1" x14ac:dyDescent="0.25">
      <c r="A24" s="1148" t="s">
        <v>217</v>
      </c>
      <c r="B24" s="1149"/>
      <c r="C24" s="490"/>
      <c r="D24" s="723">
        <v>0</v>
      </c>
      <c r="E24" s="723">
        <v>0</v>
      </c>
      <c r="F24" s="723">
        <v>0</v>
      </c>
      <c r="G24" s="50"/>
    </row>
    <row r="25" spans="1:7" s="48" customFormat="1" ht="21.75" customHeight="1" x14ac:dyDescent="0.25">
      <c r="A25" s="1148" t="s">
        <v>218</v>
      </c>
      <c r="B25" s="1149"/>
      <c r="C25" s="490"/>
      <c r="D25" s="723">
        <v>0</v>
      </c>
      <c r="E25" s="723">
        <v>0</v>
      </c>
      <c r="F25" s="723">
        <v>0</v>
      </c>
      <c r="G25" s="50"/>
    </row>
    <row r="26" spans="1:7" s="48" customFormat="1" ht="35.25" customHeight="1" x14ac:dyDescent="0.25">
      <c r="A26" s="1148" t="s">
        <v>219</v>
      </c>
      <c r="B26" s="1149"/>
      <c r="C26" s="490"/>
      <c r="D26" s="723">
        <v>0</v>
      </c>
      <c r="E26" s="723">
        <v>0</v>
      </c>
      <c r="F26" s="723">
        <v>0</v>
      </c>
      <c r="G26" s="50"/>
    </row>
    <row r="27" spans="1:7" s="48" customFormat="1" ht="30.75" customHeight="1" x14ac:dyDescent="0.25">
      <c r="A27" s="1148" t="s">
        <v>220</v>
      </c>
      <c r="B27" s="1149"/>
      <c r="C27" s="490"/>
      <c r="D27" s="723">
        <v>0</v>
      </c>
      <c r="E27" s="723">
        <v>0</v>
      </c>
      <c r="F27" s="723">
        <v>0</v>
      </c>
      <c r="G27" s="50"/>
    </row>
    <row r="28" spans="1:7" s="48" customFormat="1" ht="33" customHeight="1" x14ac:dyDescent="0.25">
      <c r="A28" s="1148" t="s">
        <v>221</v>
      </c>
      <c r="B28" s="1149"/>
      <c r="C28" s="490"/>
      <c r="D28" s="723">
        <v>0</v>
      </c>
      <c r="E28" s="723">
        <v>0</v>
      </c>
      <c r="F28" s="723">
        <v>0</v>
      </c>
      <c r="G28" s="50"/>
    </row>
    <row r="29" spans="1:7" s="48" customFormat="1" ht="35.25" customHeight="1" x14ac:dyDescent="0.25">
      <c r="A29" s="1148" t="s">
        <v>222</v>
      </c>
      <c r="B29" s="1149"/>
      <c r="C29" s="490"/>
      <c r="D29" s="723">
        <v>0</v>
      </c>
      <c r="E29" s="723">
        <v>0</v>
      </c>
      <c r="F29" s="723">
        <v>0</v>
      </c>
      <c r="G29" s="50"/>
    </row>
    <row r="30" spans="1:7" s="48" customFormat="1" ht="10.5" customHeight="1" x14ac:dyDescent="0.25">
      <c r="A30" s="1154"/>
      <c r="B30" s="1155"/>
      <c r="C30" s="489"/>
      <c r="D30" s="489"/>
      <c r="E30" s="489"/>
      <c r="F30" s="489"/>
      <c r="G30" s="50"/>
    </row>
    <row r="31" spans="1:7" s="48" customFormat="1" ht="62.25" customHeight="1" x14ac:dyDescent="0.25">
      <c r="A31" s="1077" t="s">
        <v>359</v>
      </c>
      <c r="B31" s="1079"/>
      <c r="C31" s="736"/>
      <c r="D31" s="736">
        <f>SUM(D32:D39)</f>
        <v>0</v>
      </c>
      <c r="E31" s="736">
        <f>SUM(E32:E39)</f>
        <v>0</v>
      </c>
      <c r="F31" s="736">
        <f>SUM(F32:F39)</f>
        <v>0</v>
      </c>
      <c r="G31" s="50"/>
    </row>
    <row r="32" spans="1:7" s="48" customFormat="1" ht="22.5" customHeight="1" x14ac:dyDescent="0.25">
      <c r="A32" s="1148" t="s">
        <v>215</v>
      </c>
      <c r="B32" s="1149"/>
      <c r="C32" s="490"/>
      <c r="D32" s="723">
        <v>0</v>
      </c>
      <c r="E32" s="723">
        <v>0</v>
      </c>
      <c r="F32" s="723">
        <v>0</v>
      </c>
      <c r="G32" s="50"/>
    </row>
    <row r="33" spans="1:7" s="48" customFormat="1" ht="21" customHeight="1" x14ac:dyDescent="0.25">
      <c r="A33" s="1148" t="s">
        <v>216</v>
      </c>
      <c r="B33" s="1149"/>
      <c r="C33" s="490"/>
      <c r="D33" s="723">
        <v>0</v>
      </c>
      <c r="E33" s="723">
        <v>0</v>
      </c>
      <c r="F33" s="723">
        <v>0</v>
      </c>
      <c r="G33" s="50"/>
    </row>
    <row r="34" spans="1:7" s="48" customFormat="1" ht="21" customHeight="1" x14ac:dyDescent="0.25">
      <c r="A34" s="1148" t="s">
        <v>217</v>
      </c>
      <c r="B34" s="1149"/>
      <c r="C34" s="490"/>
      <c r="D34" s="723">
        <v>0</v>
      </c>
      <c r="E34" s="723">
        <v>0</v>
      </c>
      <c r="F34" s="723">
        <v>0</v>
      </c>
      <c r="G34" s="50"/>
    </row>
    <row r="35" spans="1:7" s="48" customFormat="1" ht="21.75" customHeight="1" x14ac:dyDescent="0.25">
      <c r="A35" s="1148" t="s">
        <v>218</v>
      </c>
      <c r="B35" s="1149"/>
      <c r="C35" s="490"/>
      <c r="D35" s="723">
        <v>0</v>
      </c>
      <c r="E35" s="723">
        <v>0</v>
      </c>
      <c r="F35" s="723">
        <v>0</v>
      </c>
      <c r="G35" s="50"/>
    </row>
    <row r="36" spans="1:7" s="48" customFormat="1" ht="35.25" customHeight="1" x14ac:dyDescent="0.25">
      <c r="A36" s="1148" t="s">
        <v>219</v>
      </c>
      <c r="B36" s="1149"/>
      <c r="C36" s="490"/>
      <c r="D36" s="723">
        <v>0</v>
      </c>
      <c r="E36" s="723">
        <v>0</v>
      </c>
      <c r="F36" s="723">
        <v>0</v>
      </c>
      <c r="G36" s="50"/>
    </row>
    <row r="37" spans="1:7" s="48" customFormat="1" ht="30.75" customHeight="1" x14ac:dyDescent="0.25">
      <c r="A37" s="1148" t="s">
        <v>220</v>
      </c>
      <c r="B37" s="1149"/>
      <c r="C37" s="490"/>
      <c r="D37" s="723">
        <v>0</v>
      </c>
      <c r="E37" s="723">
        <v>0</v>
      </c>
      <c r="F37" s="723">
        <v>0</v>
      </c>
      <c r="G37" s="50"/>
    </row>
    <row r="38" spans="1:7" s="48" customFormat="1" ht="33" customHeight="1" x14ac:dyDescent="0.25">
      <c r="A38" s="1148" t="s">
        <v>221</v>
      </c>
      <c r="B38" s="1149"/>
      <c r="C38" s="490"/>
      <c r="D38" s="723">
        <v>0</v>
      </c>
      <c r="E38" s="723">
        <v>0</v>
      </c>
      <c r="F38" s="723">
        <v>0</v>
      </c>
      <c r="G38" s="50"/>
    </row>
    <row r="39" spans="1:7" s="48" customFormat="1" ht="35.25" customHeight="1" x14ac:dyDescent="0.25">
      <c r="A39" s="1148" t="s">
        <v>222</v>
      </c>
      <c r="B39" s="1149"/>
      <c r="C39" s="490"/>
      <c r="D39" s="723">
        <v>0</v>
      </c>
      <c r="E39" s="723">
        <v>0</v>
      </c>
      <c r="F39" s="723">
        <v>0</v>
      </c>
      <c r="G39" s="50"/>
    </row>
    <row r="40" spans="1:7" s="48" customFormat="1" ht="10.5" customHeight="1" x14ac:dyDescent="0.25">
      <c r="A40" s="866"/>
      <c r="B40" s="867"/>
      <c r="C40" s="489"/>
      <c r="D40" s="489"/>
      <c r="E40" s="489"/>
      <c r="F40" s="489"/>
      <c r="G40" s="50"/>
    </row>
    <row r="41" spans="1:7" s="48" customFormat="1" ht="64.5" customHeight="1" x14ac:dyDescent="0.25">
      <c r="A41" s="1074" t="s">
        <v>330</v>
      </c>
      <c r="B41" s="1076"/>
      <c r="C41" s="914">
        <v>0</v>
      </c>
      <c r="D41" s="914">
        <v>0</v>
      </c>
      <c r="E41" s="914">
        <v>0</v>
      </c>
      <c r="F41" s="914">
        <v>0</v>
      </c>
      <c r="G41" s="50"/>
    </row>
    <row r="42" spans="1:7" s="48" customFormat="1" ht="33" customHeight="1" x14ac:dyDescent="0.25">
      <c r="A42" s="1074" t="s">
        <v>329</v>
      </c>
      <c r="B42" s="1076"/>
      <c r="C42" s="914">
        <v>0</v>
      </c>
      <c r="D42" s="914">
        <v>0</v>
      </c>
      <c r="E42" s="914">
        <v>0</v>
      </c>
      <c r="F42" s="914">
        <v>0</v>
      </c>
      <c r="G42" s="50"/>
    </row>
    <row r="43" spans="1:7" s="48" customFormat="1" ht="36.75" customHeight="1" x14ac:dyDescent="0.25">
      <c r="A43" s="1074" t="s">
        <v>260</v>
      </c>
      <c r="B43" s="1076"/>
      <c r="C43" s="823"/>
      <c r="D43" s="821">
        <v>0</v>
      </c>
      <c r="E43" s="823">
        <f>+D43</f>
        <v>0</v>
      </c>
      <c r="F43" s="823">
        <f>+E43</f>
        <v>0</v>
      </c>
      <c r="G43" s="50"/>
    </row>
    <row r="44" spans="1:7" s="48" customFormat="1" ht="21" customHeight="1" x14ac:dyDescent="0.25">
      <c r="A44" s="1152" t="s">
        <v>261</v>
      </c>
      <c r="B44" s="1153"/>
      <c r="C44" s="490"/>
      <c r="D44" s="490">
        <v>0</v>
      </c>
      <c r="E44" s="490">
        <v>0</v>
      </c>
      <c r="F44" s="490">
        <v>0</v>
      </c>
      <c r="G44" s="50"/>
    </row>
    <row r="45" spans="1:7" s="48" customFormat="1" ht="14.25" customHeight="1" x14ac:dyDescent="0.25">
      <c r="A45" s="1154"/>
      <c r="B45" s="1155"/>
      <c r="C45" s="489"/>
      <c r="D45" s="489"/>
      <c r="E45" s="489"/>
      <c r="F45" s="489"/>
      <c r="G45" s="50"/>
    </row>
    <row r="46" spans="1:7" s="48" customFormat="1" ht="29.25" customHeight="1" x14ac:dyDescent="0.25">
      <c r="A46" s="806"/>
      <c r="B46" s="807"/>
      <c r="C46" s="824">
        <f>+C7</f>
        <v>2017</v>
      </c>
      <c r="D46" s="824">
        <f>+D7</f>
        <v>2018</v>
      </c>
      <c r="E46" s="824">
        <f>+E7</f>
        <v>2019</v>
      </c>
      <c r="F46" s="824">
        <f>+F7</f>
        <v>2020</v>
      </c>
      <c r="G46" s="50"/>
    </row>
    <row r="47" spans="1:7" s="48" customFormat="1" ht="24" customHeight="1" x14ac:dyDescent="0.25">
      <c r="A47" s="1089" t="s">
        <v>331</v>
      </c>
      <c r="B47" s="1091"/>
      <c r="C47" s="489">
        <f>SUM(C48:C55)</f>
        <v>0</v>
      </c>
      <c r="D47" s="442">
        <f>SUM(D48:D55)</f>
        <v>0</v>
      </c>
      <c r="E47" s="442">
        <f>SUM(E48:E55)</f>
        <v>0</v>
      </c>
      <c r="F47" s="442">
        <f>SUM(F48:F55)</f>
        <v>0</v>
      </c>
      <c r="G47" s="50"/>
    </row>
    <row r="48" spans="1:7" s="48" customFormat="1" ht="32.25" customHeight="1" x14ac:dyDescent="0.25">
      <c r="A48" s="1150" t="s">
        <v>215</v>
      </c>
      <c r="B48" s="1151"/>
      <c r="C48" s="915">
        <f>(C9-C19)*(((1+C42)/(1+C41))-1)</f>
        <v>0</v>
      </c>
      <c r="D48" s="916">
        <f>(D9-D19-D22+D32)*(((1+$D$42-$D$43+$D$44)/(1+$D$41-$D$43+$D$44))-1)</f>
        <v>0</v>
      </c>
      <c r="E48" s="916">
        <f>(E9-E19-E22+E32)*(((1+$E$42-$E$43+$E$44)/(1+$E$41-$E$43+$E$44))-1)</f>
        <v>0</v>
      </c>
      <c r="F48" s="916">
        <f>(F9-F19-F22+F32)*(((1+$F$42-$F$43+$F$44)/(1+$F$41-$F$43+$F$44))-1)</f>
        <v>0</v>
      </c>
      <c r="G48" s="50"/>
    </row>
    <row r="49" spans="1:27" s="48" customFormat="1" ht="30.75" customHeight="1" x14ac:dyDescent="0.25">
      <c r="A49" s="1150" t="s">
        <v>216</v>
      </c>
      <c r="B49" s="1151"/>
      <c r="C49" s="915">
        <f>+C10*(((1+$C$42)/(1+$C$41))-1)</f>
        <v>0</v>
      </c>
      <c r="D49" s="916">
        <f>(D10-D23+D33)*(((1+$D$42-$D$43+$D$44)/(1+$D$41-$D$43+$D$44))-1)</f>
        <v>0</v>
      </c>
      <c r="E49" s="916">
        <f>(E10-E23+E33)*(((1+$E$42-$E$43+$E$44)/(1+$E$41-$E$43+$E$44))-1)</f>
        <v>0</v>
      </c>
      <c r="F49" s="916">
        <f>(F10-F23+F33)*(((1+$F$42-$F$43+$F$44)/(1+$F$41-$F$43+$F$44))-1)</f>
        <v>0</v>
      </c>
      <c r="G49" s="50"/>
    </row>
    <row r="50" spans="1:27" s="48" customFormat="1" ht="21" customHeight="1" x14ac:dyDescent="0.25">
      <c r="A50" s="1150" t="s">
        <v>217</v>
      </c>
      <c r="B50" s="1151"/>
      <c r="C50" s="915">
        <f t="shared" ref="C50:C55" si="0">+C11*(((1+$C$42)/(1+$C$41))-1)</f>
        <v>0</v>
      </c>
      <c r="D50" s="916">
        <f t="shared" ref="D50:D55" si="1">(D11-D24+D34)*(((1+$D$42-$D$43+$D$44)/(1+$D$41-$D$43+$D$44))-1)</f>
        <v>0</v>
      </c>
      <c r="E50" s="916">
        <f t="shared" ref="E50:E55" si="2">(E11-E24+E34)*(((1+$E$42-$E$43+$E$44)/(1+$E$41-$E$43+$E$44))-1)</f>
        <v>0</v>
      </c>
      <c r="F50" s="916">
        <f t="shared" ref="F50:F55" si="3">(F11-F24+F34)*(((1+$F$42-$F$43+$F$44)/(1+$F$41-$F$43+$F$44))-1)</f>
        <v>0</v>
      </c>
      <c r="G50" s="50"/>
    </row>
    <row r="51" spans="1:27" s="48" customFormat="1" ht="22.5" customHeight="1" x14ac:dyDescent="0.25">
      <c r="A51" s="1150" t="s">
        <v>218</v>
      </c>
      <c r="B51" s="1151"/>
      <c r="C51" s="915">
        <f t="shared" si="0"/>
        <v>0</v>
      </c>
      <c r="D51" s="916">
        <f t="shared" si="1"/>
        <v>0</v>
      </c>
      <c r="E51" s="916">
        <f t="shared" si="2"/>
        <v>0</v>
      </c>
      <c r="F51" s="916">
        <f t="shared" si="3"/>
        <v>0</v>
      </c>
      <c r="G51" s="50"/>
    </row>
    <row r="52" spans="1:27" s="48" customFormat="1" ht="35.25" customHeight="1" x14ac:dyDescent="0.25">
      <c r="A52" s="1150" t="s">
        <v>219</v>
      </c>
      <c r="B52" s="1151"/>
      <c r="C52" s="915">
        <f t="shared" si="0"/>
        <v>0</v>
      </c>
      <c r="D52" s="916">
        <f t="shared" si="1"/>
        <v>0</v>
      </c>
      <c r="E52" s="916">
        <f t="shared" si="2"/>
        <v>0</v>
      </c>
      <c r="F52" s="916">
        <f t="shared" si="3"/>
        <v>0</v>
      </c>
      <c r="G52" s="50"/>
    </row>
    <row r="53" spans="1:27" s="48" customFormat="1" ht="30.75" customHeight="1" x14ac:dyDescent="0.25">
      <c r="A53" s="1150" t="s">
        <v>220</v>
      </c>
      <c r="B53" s="1151"/>
      <c r="C53" s="915">
        <f t="shared" si="0"/>
        <v>0</v>
      </c>
      <c r="D53" s="916">
        <f t="shared" si="1"/>
        <v>0</v>
      </c>
      <c r="E53" s="916">
        <f t="shared" si="2"/>
        <v>0</v>
      </c>
      <c r="F53" s="916">
        <f t="shared" si="3"/>
        <v>0</v>
      </c>
      <c r="G53" s="50"/>
    </row>
    <row r="54" spans="1:27" s="48" customFormat="1" ht="33" customHeight="1" x14ac:dyDescent="0.25">
      <c r="A54" s="1150" t="s">
        <v>221</v>
      </c>
      <c r="B54" s="1151"/>
      <c r="C54" s="915">
        <f t="shared" si="0"/>
        <v>0</v>
      </c>
      <c r="D54" s="916">
        <f t="shared" si="1"/>
        <v>0</v>
      </c>
      <c r="E54" s="916">
        <f t="shared" si="2"/>
        <v>0</v>
      </c>
      <c r="F54" s="916">
        <f t="shared" si="3"/>
        <v>0</v>
      </c>
      <c r="G54" s="50"/>
    </row>
    <row r="55" spans="1:27" s="48" customFormat="1" ht="35.25" customHeight="1" x14ac:dyDescent="0.25">
      <c r="A55" s="1150" t="s">
        <v>222</v>
      </c>
      <c r="B55" s="1151"/>
      <c r="C55" s="915">
        <f t="shared" si="0"/>
        <v>0</v>
      </c>
      <c r="D55" s="916">
        <f t="shared" si="1"/>
        <v>0</v>
      </c>
      <c r="E55" s="916">
        <f t="shared" si="2"/>
        <v>0</v>
      </c>
      <c r="F55" s="916">
        <f t="shared" si="3"/>
        <v>0</v>
      </c>
      <c r="G55" s="50"/>
    </row>
    <row r="56" spans="1:27" s="48" customFormat="1" ht="13" x14ac:dyDescent="0.3">
      <c r="A56" s="51"/>
      <c r="C56" s="194" t="s">
        <v>338</v>
      </c>
      <c r="I56" s="50"/>
    </row>
    <row r="57" spans="1:27" s="48" customFormat="1" ht="13" x14ac:dyDescent="0.3">
      <c r="A57" s="51"/>
      <c r="C57" s="196" t="s">
        <v>263</v>
      </c>
      <c r="I57" s="50"/>
    </row>
    <row r="58" spans="1:27" s="48" customFormat="1" ht="13" x14ac:dyDescent="0.25">
      <c r="A58" s="51"/>
      <c r="C58" s="50"/>
      <c r="I58" s="50"/>
    </row>
    <row r="59" spans="1:27" ht="14.25" customHeight="1" thickBot="1" x14ac:dyDescent="0.45">
      <c r="A59" s="233"/>
      <c r="B59" s="234"/>
      <c r="C59" s="234"/>
      <c r="D59" s="234"/>
      <c r="E59" s="234"/>
      <c r="F59" s="234"/>
      <c r="G59" s="234"/>
      <c r="H59" s="234"/>
      <c r="I59" s="189"/>
      <c r="J59" s="189"/>
    </row>
    <row r="60" spans="1:27" s="190" customFormat="1" ht="24" customHeight="1" thickBot="1" x14ac:dyDescent="0.4">
      <c r="A60" s="1040" t="s">
        <v>271</v>
      </c>
      <c r="B60" s="1041"/>
      <c r="C60" s="1041"/>
      <c r="D60" s="1041"/>
      <c r="E60" s="1041"/>
      <c r="F60" s="1041"/>
      <c r="G60" s="1041"/>
      <c r="H60" s="1042"/>
      <c r="I60" s="189"/>
      <c r="J60" s="189"/>
      <c r="K60" s="187"/>
      <c r="L60" s="187"/>
      <c r="M60" s="187"/>
      <c r="N60" s="187"/>
      <c r="O60" s="187"/>
      <c r="P60" s="187"/>
      <c r="Q60" s="187"/>
      <c r="R60" s="187"/>
      <c r="S60" s="187"/>
      <c r="T60" s="187"/>
      <c r="U60" s="187"/>
      <c r="V60" s="187"/>
      <c r="W60" s="187"/>
      <c r="X60" s="187"/>
      <c r="Y60" s="187"/>
      <c r="Z60" s="187"/>
      <c r="AA60" s="187"/>
    </row>
    <row r="61" spans="1:27" ht="13" thickBot="1" x14ac:dyDescent="0.3"/>
    <row r="62" spans="1:27" s="190" customFormat="1" ht="17" thickBot="1" x14ac:dyDescent="0.4">
      <c r="A62" s="187"/>
      <c r="B62" s="187"/>
      <c r="C62" s="1043" t="s">
        <v>43</v>
      </c>
      <c r="D62" s="1044"/>
      <c r="E62" s="1044"/>
      <c r="F62" s="1045"/>
      <c r="G62" s="187"/>
      <c r="H62" s="187"/>
      <c r="I62" s="187"/>
      <c r="J62" s="187"/>
      <c r="K62" s="187"/>
      <c r="L62" s="187"/>
      <c r="M62" s="187"/>
      <c r="N62" s="187"/>
      <c r="O62" s="187"/>
      <c r="P62" s="187"/>
      <c r="Q62" s="187"/>
      <c r="R62" s="187"/>
      <c r="S62" s="187"/>
      <c r="T62" s="187"/>
      <c r="U62" s="187"/>
      <c r="V62" s="187"/>
      <c r="W62" s="187"/>
      <c r="X62" s="187"/>
      <c r="Y62" s="187"/>
      <c r="Z62" s="187"/>
      <c r="AA62" s="187"/>
    </row>
    <row r="63" spans="1:27" s="190" customFormat="1" ht="13.5" thickBot="1" x14ac:dyDescent="0.35">
      <c r="A63" s="187"/>
      <c r="B63" s="187"/>
      <c r="C63" s="191">
        <f>+C7</f>
        <v>2017</v>
      </c>
      <c r="D63" s="192">
        <f>+D7</f>
        <v>2018</v>
      </c>
      <c r="E63" s="192">
        <f>+E7</f>
        <v>2019</v>
      </c>
      <c r="F63" s="192">
        <f>+F7</f>
        <v>2020</v>
      </c>
      <c r="G63" s="187"/>
      <c r="H63" s="187"/>
      <c r="I63" s="187"/>
      <c r="J63" s="187"/>
      <c r="K63" s="187"/>
      <c r="L63" s="187"/>
      <c r="M63" s="187"/>
      <c r="N63" s="187"/>
      <c r="O63" s="187"/>
      <c r="P63" s="187"/>
      <c r="Q63" s="187"/>
      <c r="R63" s="187"/>
      <c r="S63" s="187"/>
      <c r="T63" s="187"/>
      <c r="U63" s="187"/>
      <c r="V63" s="187"/>
      <c r="W63" s="187"/>
      <c r="X63" s="187"/>
      <c r="Y63" s="187"/>
      <c r="Z63" s="187"/>
      <c r="AA63" s="187"/>
    </row>
    <row r="64" spans="1:27" s="190" customFormat="1" x14ac:dyDescent="0.25">
      <c r="A64" s="187"/>
      <c r="B64" s="187"/>
      <c r="C64" s="467">
        <v>0</v>
      </c>
      <c r="D64" s="467">
        <v>0</v>
      </c>
      <c r="E64" s="467">
        <v>0</v>
      </c>
      <c r="F64" s="467">
        <v>0</v>
      </c>
      <c r="G64" s="187"/>
      <c r="H64" s="187"/>
      <c r="I64" s="187"/>
      <c r="J64" s="187"/>
      <c r="K64" s="187"/>
      <c r="L64" s="187"/>
      <c r="M64" s="187"/>
      <c r="N64" s="187"/>
      <c r="O64" s="187"/>
      <c r="P64" s="187"/>
      <c r="Q64" s="187"/>
      <c r="R64" s="187"/>
      <c r="S64" s="187"/>
      <c r="T64" s="187"/>
      <c r="U64" s="187"/>
      <c r="V64" s="187"/>
      <c r="W64" s="187"/>
      <c r="X64" s="187"/>
      <c r="Y64" s="187"/>
      <c r="Z64" s="187"/>
      <c r="AA64" s="187"/>
    </row>
    <row r="65" spans="1:27" ht="13" x14ac:dyDescent="0.3">
      <c r="C65" s="194" t="s">
        <v>338</v>
      </c>
      <c r="F65" s="195"/>
    </row>
    <row r="66" spans="1:27" ht="13" x14ac:dyDescent="0.3">
      <c r="C66" s="196" t="s">
        <v>263</v>
      </c>
    </row>
    <row r="67" spans="1:27" ht="13" x14ac:dyDescent="0.3">
      <c r="C67" s="197"/>
    </row>
    <row r="68" spans="1:27" ht="13.5" thickBot="1" x14ac:dyDescent="0.35">
      <c r="C68" s="197"/>
    </row>
    <row r="69" spans="1:27" s="739" customFormat="1" ht="20.25" customHeight="1" thickBot="1" x14ac:dyDescent="0.3">
      <c r="A69" s="1046" t="s">
        <v>29</v>
      </c>
      <c r="B69" s="1047"/>
      <c r="C69" s="1047"/>
      <c r="D69" s="1047"/>
      <c r="E69" s="1047"/>
      <c r="F69" s="1047"/>
      <c r="G69" s="1047"/>
      <c r="H69" s="1048"/>
      <c r="I69" s="1156"/>
      <c r="J69" s="1156"/>
    </row>
    <row r="71" spans="1:27" ht="13" x14ac:dyDescent="0.3">
      <c r="C71" s="194" t="s">
        <v>338</v>
      </c>
    </row>
    <row r="72" spans="1:27" ht="13" x14ac:dyDescent="0.3">
      <c r="C72" s="196" t="s">
        <v>263</v>
      </c>
    </row>
    <row r="73" spans="1:27" ht="16.5" x14ac:dyDescent="0.35">
      <c r="C73" s="1023" t="s">
        <v>30</v>
      </c>
      <c r="D73" s="1024"/>
      <c r="E73" s="1024"/>
      <c r="F73" s="1025"/>
      <c r="H73" s="200" t="s">
        <v>31</v>
      </c>
    </row>
    <row r="74" spans="1:27" ht="13.5" thickBot="1" x14ac:dyDescent="0.35">
      <c r="A74" s="1035"/>
      <c r="B74" s="1035"/>
      <c r="C74" s="201">
        <f>C63</f>
        <v>2017</v>
      </c>
      <c r="D74" s="202">
        <f>D63</f>
        <v>2018</v>
      </c>
      <c r="E74" s="202">
        <f>E63</f>
        <v>2019</v>
      </c>
      <c r="F74" s="202">
        <f>F63</f>
        <v>2020</v>
      </c>
      <c r="H74" s="203"/>
    </row>
    <row r="75" spans="1:27" s="190" customFormat="1" ht="13" thickBot="1" x14ac:dyDescent="0.3">
      <c r="A75" s="1026" t="s">
        <v>32</v>
      </c>
      <c r="B75" s="204">
        <f>C63</f>
        <v>2017</v>
      </c>
      <c r="C75" s="728">
        <v>0</v>
      </c>
      <c r="D75" s="205"/>
      <c r="E75" s="205"/>
      <c r="F75" s="206"/>
      <c r="G75" s="207"/>
      <c r="H75" s="208">
        <f>SUM(C75:F75)</f>
        <v>0</v>
      </c>
      <c r="I75" s="187"/>
      <c r="J75" s="187"/>
      <c r="K75" s="187"/>
      <c r="L75" s="187"/>
      <c r="M75" s="187"/>
      <c r="N75" s="187"/>
      <c r="O75" s="187"/>
      <c r="P75" s="187"/>
      <c r="Q75" s="187"/>
      <c r="R75" s="187"/>
      <c r="S75" s="187"/>
      <c r="T75" s="187"/>
      <c r="U75" s="187"/>
      <c r="V75" s="187"/>
      <c r="W75" s="187"/>
      <c r="X75" s="187"/>
      <c r="Y75" s="187"/>
      <c r="Z75" s="187"/>
      <c r="AA75" s="187"/>
    </row>
    <row r="76" spans="1:27" s="190" customFormat="1" ht="13" thickBot="1" x14ac:dyDescent="0.3">
      <c r="A76" s="1108"/>
      <c r="B76" s="726">
        <f>D63</f>
        <v>2018</v>
      </c>
      <c r="C76" s="468">
        <f>+C64-C75</f>
        <v>0</v>
      </c>
      <c r="D76" s="669">
        <v>0</v>
      </c>
      <c r="E76" s="210"/>
      <c r="F76" s="211"/>
      <c r="G76" s="207"/>
      <c r="H76" s="208">
        <f>SUM(C76:F76)</f>
        <v>0</v>
      </c>
      <c r="I76" s="187"/>
      <c r="J76" s="187"/>
      <c r="K76" s="187"/>
      <c r="L76" s="187"/>
      <c r="M76" s="187"/>
      <c r="N76" s="187"/>
      <c r="O76" s="187"/>
      <c r="P76" s="187"/>
      <c r="Q76" s="187"/>
      <c r="R76" s="187"/>
      <c r="S76" s="187"/>
      <c r="T76" s="187"/>
      <c r="U76" s="187"/>
      <c r="V76" s="187"/>
      <c r="W76" s="187"/>
      <c r="X76" s="187"/>
      <c r="Y76" s="187"/>
      <c r="Z76" s="187"/>
      <c r="AA76" s="187"/>
    </row>
    <row r="77" spans="1:27" s="190" customFormat="1" ht="13" thickBot="1" x14ac:dyDescent="0.3">
      <c r="A77" s="1108"/>
      <c r="B77" s="726">
        <f>E63</f>
        <v>2019</v>
      </c>
      <c r="C77" s="729"/>
      <c r="D77" s="468">
        <f>+D64-D76</f>
        <v>0</v>
      </c>
      <c r="E77" s="669">
        <v>0</v>
      </c>
      <c r="F77" s="211"/>
      <c r="G77" s="207"/>
      <c r="H77" s="208">
        <f>SUM(C77:F77)</f>
        <v>0</v>
      </c>
      <c r="I77" s="187"/>
      <c r="J77" s="187"/>
      <c r="K77" s="187"/>
      <c r="L77" s="187"/>
      <c r="M77" s="187"/>
      <c r="N77" s="187"/>
      <c r="O77" s="187"/>
      <c r="P77" s="187"/>
      <c r="Q77" s="187"/>
      <c r="R77" s="187"/>
      <c r="S77" s="187"/>
      <c r="T77" s="187"/>
      <c r="U77" s="187"/>
      <c r="V77" s="187"/>
      <c r="W77" s="187"/>
      <c r="X77" s="187"/>
      <c r="Y77" s="187"/>
      <c r="Z77" s="187"/>
      <c r="AA77" s="187"/>
    </row>
    <row r="78" spans="1:27" s="190" customFormat="1" ht="13" thickBot="1" x14ac:dyDescent="0.3">
      <c r="A78" s="1108"/>
      <c r="B78" s="726">
        <f>F63</f>
        <v>2020</v>
      </c>
      <c r="C78" s="729"/>
      <c r="D78" s="210"/>
      <c r="E78" s="468">
        <f>+E64-E77</f>
        <v>0</v>
      </c>
      <c r="F78" s="730">
        <v>0</v>
      </c>
      <c r="G78" s="207"/>
      <c r="H78" s="208">
        <f>SUM(C78:F78)</f>
        <v>0</v>
      </c>
      <c r="I78" s="187"/>
      <c r="J78" s="187"/>
      <c r="K78" s="187"/>
      <c r="L78" s="187"/>
      <c r="M78" s="187"/>
      <c r="N78" s="187"/>
      <c r="O78" s="187"/>
      <c r="P78" s="187"/>
      <c r="Q78" s="187"/>
      <c r="R78" s="187"/>
      <c r="S78" s="187"/>
      <c r="T78" s="187"/>
      <c r="U78" s="187"/>
      <c r="V78" s="187"/>
      <c r="W78" s="187"/>
      <c r="X78" s="187"/>
      <c r="Y78" s="187"/>
      <c r="Z78" s="187"/>
      <c r="AA78" s="187"/>
    </row>
    <row r="79" spans="1:27" s="199" customFormat="1" ht="15.5" x14ac:dyDescent="0.35">
      <c r="A79" s="1109"/>
      <c r="B79" s="727" t="s">
        <v>33</v>
      </c>
      <c r="C79" s="213">
        <f>SUM(C75:C78)</f>
        <v>0</v>
      </c>
      <c r="D79" s="213">
        <f>SUM(D75:D78)</f>
        <v>0</v>
      </c>
      <c r="E79" s="213">
        <f>SUM(E75:E78)</f>
        <v>0</v>
      </c>
      <c r="F79" s="731">
        <f>SUM(F75:F78)</f>
        <v>0</v>
      </c>
      <c r="G79" s="215"/>
      <c r="H79" s="216">
        <f>SUM(H75:H78)</f>
        <v>0</v>
      </c>
      <c r="I79" s="198"/>
      <c r="J79" s="198"/>
      <c r="K79" s="198"/>
      <c r="L79" s="198"/>
      <c r="M79" s="198"/>
      <c r="N79" s="198"/>
      <c r="O79" s="198"/>
      <c r="P79" s="198"/>
      <c r="Q79" s="198"/>
      <c r="R79" s="198"/>
      <c r="S79" s="198"/>
      <c r="T79" s="198"/>
      <c r="U79" s="198"/>
      <c r="V79" s="198"/>
      <c r="W79" s="198"/>
      <c r="X79" s="198"/>
      <c r="Y79" s="198"/>
      <c r="Z79" s="198"/>
      <c r="AA79" s="198"/>
    </row>
    <row r="80" spans="1:27" s="196" customFormat="1" ht="13" x14ac:dyDescent="0.3">
      <c r="A80" s="217" t="s">
        <v>58</v>
      </c>
      <c r="C80" s="218">
        <f>+C79+C90</f>
        <v>0</v>
      </c>
      <c r="D80" s="218">
        <f>+D79+D90</f>
        <v>0</v>
      </c>
      <c r="E80" s="218">
        <f>+E79+E90</f>
        <v>0</v>
      </c>
      <c r="F80" s="218">
        <f>+F79+F90</f>
        <v>0</v>
      </c>
      <c r="G80" s="218"/>
      <c r="H80" s="218">
        <f>+H79+H90</f>
        <v>0</v>
      </c>
      <c r="I80" s="218"/>
    </row>
    <row r="81" spans="1:27" s="219" customFormat="1" ht="13" x14ac:dyDescent="0.3">
      <c r="A81" s="196"/>
      <c r="B81" s="196"/>
      <c r="C81" s="218"/>
      <c r="D81" s="218"/>
      <c r="E81" s="218"/>
      <c r="F81" s="218"/>
      <c r="G81" s="196"/>
      <c r="H81" s="196"/>
      <c r="I81" s="196"/>
      <c r="J81" s="196"/>
      <c r="K81" s="196"/>
      <c r="L81" s="196"/>
      <c r="M81" s="196"/>
      <c r="N81" s="196"/>
      <c r="O81" s="196"/>
      <c r="P81" s="196"/>
      <c r="Q81" s="196"/>
      <c r="R81" s="196"/>
      <c r="S81" s="196"/>
      <c r="T81" s="196"/>
      <c r="U81" s="196"/>
      <c r="V81" s="196"/>
      <c r="W81" s="196"/>
      <c r="X81" s="196"/>
      <c r="Y81" s="196"/>
      <c r="Z81" s="196"/>
      <c r="AA81" s="196"/>
    </row>
    <row r="82" spans="1:27" s="196" customFormat="1" ht="13" x14ac:dyDescent="0.3">
      <c r="C82" s="194" t="s">
        <v>340</v>
      </c>
      <c r="D82" s="218"/>
      <c r="E82" s="218"/>
      <c r="F82" s="218"/>
      <c r="G82" s="218"/>
      <c r="H82" s="218"/>
    </row>
    <row r="83" spans="1:27" ht="13" x14ac:dyDescent="0.3">
      <c r="C83" s="194" t="s">
        <v>341</v>
      </c>
    </row>
    <row r="84" spans="1:27" s="190" customFormat="1" ht="16.5" x14ac:dyDescent="0.35">
      <c r="A84" s="187"/>
      <c r="B84" s="187"/>
      <c r="C84" s="1029" t="s">
        <v>30</v>
      </c>
      <c r="D84" s="1030"/>
      <c r="E84" s="1030"/>
      <c r="F84" s="1031"/>
      <c r="G84" s="187"/>
      <c r="H84" s="200" t="s">
        <v>31</v>
      </c>
      <c r="I84" s="187"/>
      <c r="J84" s="200" t="s">
        <v>31</v>
      </c>
      <c r="K84" s="187"/>
      <c r="L84" s="187"/>
      <c r="M84" s="187"/>
      <c r="N84" s="187"/>
      <c r="O84" s="187"/>
      <c r="P84" s="187"/>
      <c r="Q84" s="187"/>
      <c r="R84" s="187"/>
      <c r="S84" s="187"/>
      <c r="T84" s="187"/>
      <c r="U84" s="187"/>
      <c r="V84" s="187"/>
      <c r="W84" s="187"/>
      <c r="X84" s="187"/>
      <c r="Y84" s="187"/>
      <c r="Z84" s="187"/>
      <c r="AA84" s="187"/>
    </row>
    <row r="85" spans="1:27" s="190" customFormat="1" x14ac:dyDescent="0.25">
      <c r="A85" s="187"/>
      <c r="B85" s="187"/>
      <c r="C85" s="202">
        <f>+C74</f>
        <v>2017</v>
      </c>
      <c r="D85" s="202">
        <f>+D74</f>
        <v>2018</v>
      </c>
      <c r="E85" s="202">
        <f>+E74</f>
        <v>2019</v>
      </c>
      <c r="F85" s="202">
        <f>+F74</f>
        <v>2020</v>
      </c>
      <c r="G85" s="187"/>
      <c r="H85" s="203" t="s">
        <v>34</v>
      </c>
      <c r="I85" s="187"/>
      <c r="J85" s="203" t="s">
        <v>35</v>
      </c>
      <c r="K85" s="187"/>
      <c r="L85" s="187"/>
      <c r="M85" s="187"/>
      <c r="N85" s="187"/>
      <c r="O85" s="187"/>
      <c r="P85" s="187"/>
      <c r="Q85" s="187"/>
      <c r="R85" s="187"/>
      <c r="S85" s="187"/>
      <c r="T85" s="187"/>
      <c r="U85" s="187"/>
      <c r="V85" s="187"/>
      <c r="W85" s="187"/>
      <c r="X85" s="187"/>
      <c r="Y85" s="187"/>
      <c r="Z85" s="187"/>
      <c r="AA85" s="187"/>
    </row>
    <row r="86" spans="1:27" s="190" customFormat="1" ht="12.75" customHeight="1" x14ac:dyDescent="0.3">
      <c r="A86" s="1032" t="s">
        <v>224</v>
      </c>
      <c r="B86" s="668">
        <f>+B75</f>
        <v>2017</v>
      </c>
      <c r="C86" s="732"/>
      <c r="D86" s="221"/>
      <c r="E86" s="221"/>
      <c r="F86" s="224"/>
      <c r="G86" s="207"/>
      <c r="H86" s="208">
        <f>SUM(C86:F86)</f>
        <v>0</v>
      </c>
      <c r="I86" s="207"/>
      <c r="J86" s="223">
        <f>SUM(H75,H86)</f>
        <v>0</v>
      </c>
      <c r="K86" s="187"/>
      <c r="L86" s="187"/>
      <c r="M86" s="187"/>
      <c r="N86" s="187"/>
      <c r="O86" s="187"/>
      <c r="P86" s="187"/>
      <c r="Q86" s="187"/>
      <c r="R86" s="187"/>
      <c r="S86" s="187"/>
      <c r="T86" s="187"/>
      <c r="U86" s="187"/>
      <c r="V86" s="187"/>
      <c r="W86" s="187"/>
      <c r="X86" s="187"/>
      <c r="Y86" s="187"/>
      <c r="Z86" s="187"/>
      <c r="AA86" s="187"/>
    </row>
    <row r="87" spans="1:27" s="190" customFormat="1" ht="12.75" customHeight="1" x14ac:dyDescent="0.3">
      <c r="A87" s="1033"/>
      <c r="B87" s="220">
        <f>+B76</f>
        <v>2018</v>
      </c>
      <c r="C87" s="469">
        <v>0</v>
      </c>
      <c r="D87" s="221"/>
      <c r="E87" s="221"/>
      <c r="F87" s="224"/>
      <c r="G87" s="207"/>
      <c r="H87" s="208">
        <f>SUM(C87:F87)</f>
        <v>0</v>
      </c>
      <c r="I87" s="207"/>
      <c r="J87" s="223">
        <f>SUM(H76,H87)</f>
        <v>0</v>
      </c>
      <c r="K87" s="187"/>
      <c r="L87" s="187"/>
      <c r="M87" s="187"/>
      <c r="N87" s="187"/>
      <c r="O87" s="187"/>
      <c r="P87" s="187"/>
      <c r="Q87" s="187"/>
      <c r="R87" s="187"/>
      <c r="S87" s="187"/>
      <c r="T87" s="187"/>
      <c r="U87" s="187"/>
      <c r="V87" s="187"/>
      <c r="W87" s="187"/>
      <c r="X87" s="187"/>
      <c r="Y87" s="187"/>
      <c r="Z87" s="187"/>
      <c r="AA87" s="187"/>
    </row>
    <row r="88" spans="1:27" s="190" customFormat="1" ht="12.75" customHeight="1" x14ac:dyDescent="0.3">
      <c r="A88" s="1033" t="s">
        <v>36</v>
      </c>
      <c r="B88" s="220">
        <f>+B77</f>
        <v>2019</v>
      </c>
      <c r="C88" s="469">
        <v>0</v>
      </c>
      <c r="D88" s="469">
        <v>0</v>
      </c>
      <c r="E88" s="221"/>
      <c r="F88" s="224"/>
      <c r="G88" s="207"/>
      <c r="H88" s="208">
        <f>SUM(C88:F88)</f>
        <v>0</v>
      </c>
      <c r="I88" s="207"/>
      <c r="J88" s="223">
        <f>SUM(H77,H88)</f>
        <v>0</v>
      </c>
      <c r="K88" s="187"/>
      <c r="L88" s="187"/>
      <c r="M88" s="187"/>
      <c r="N88" s="187"/>
      <c r="O88" s="187"/>
      <c r="P88" s="187"/>
      <c r="Q88" s="187"/>
      <c r="R88" s="187"/>
      <c r="S88" s="187"/>
      <c r="T88" s="187"/>
      <c r="U88" s="187"/>
      <c r="V88" s="187"/>
      <c r="W88" s="187"/>
      <c r="X88" s="187"/>
      <c r="Y88" s="187"/>
      <c r="Z88" s="187"/>
      <c r="AA88" s="187"/>
    </row>
    <row r="89" spans="1:27" s="190" customFormat="1" ht="12.75" customHeight="1" x14ac:dyDescent="0.3">
      <c r="A89" s="1033"/>
      <c r="B89" s="220">
        <f>+B78</f>
        <v>2020</v>
      </c>
      <c r="C89" s="469">
        <v>0</v>
      </c>
      <c r="D89" s="469">
        <v>0</v>
      </c>
      <c r="E89" s="469">
        <v>0</v>
      </c>
      <c r="F89" s="224"/>
      <c r="G89" s="207"/>
      <c r="H89" s="208">
        <f>SUM(C89:F89)</f>
        <v>0</v>
      </c>
      <c r="I89" s="207"/>
      <c r="J89" s="223">
        <f>SUM(H78,H89)</f>
        <v>0</v>
      </c>
      <c r="K89" s="197" t="s">
        <v>38</v>
      </c>
      <c r="L89" s="187"/>
      <c r="M89" s="187"/>
      <c r="N89" s="187"/>
      <c r="O89" s="187"/>
      <c r="P89" s="187"/>
      <c r="Q89" s="187"/>
      <c r="R89" s="187"/>
      <c r="S89" s="187"/>
      <c r="T89" s="187"/>
      <c r="U89" s="187"/>
      <c r="V89" s="187"/>
      <c r="W89" s="187"/>
      <c r="X89" s="187"/>
      <c r="Y89" s="187"/>
      <c r="Z89" s="187"/>
      <c r="AA89" s="187"/>
    </row>
    <row r="90" spans="1:27" s="199" customFormat="1" ht="16.5" customHeight="1" x14ac:dyDescent="0.35">
      <c r="A90" s="1034"/>
      <c r="B90" s="212" t="s">
        <v>33</v>
      </c>
      <c r="C90" s="225">
        <f>SUM(C86:C89)</f>
        <v>0</v>
      </c>
      <c r="D90" s="225">
        <f>SUM(D86:D89)</f>
        <v>0</v>
      </c>
      <c r="E90" s="225">
        <f>SUM(E86:E89)</f>
        <v>0</v>
      </c>
      <c r="F90" s="225">
        <f>SUM(F86:F89)</f>
        <v>0</v>
      </c>
      <c r="G90" s="207"/>
      <c r="H90" s="216">
        <f>SUM(H86:H89)</f>
        <v>0</v>
      </c>
      <c r="I90" s="215"/>
      <c r="J90" s="216">
        <f>SUM(J86:J89)</f>
        <v>0</v>
      </c>
      <c r="K90" s="198"/>
      <c r="L90" s="198"/>
      <c r="M90" s="198"/>
      <c r="N90" s="198"/>
      <c r="O90" s="198"/>
      <c r="P90" s="198"/>
      <c r="Q90" s="198"/>
      <c r="R90" s="198"/>
      <c r="S90" s="198"/>
      <c r="T90" s="198"/>
      <c r="U90" s="198"/>
      <c r="V90" s="198"/>
      <c r="W90" s="198"/>
      <c r="X90" s="198"/>
      <c r="Y90" s="198"/>
      <c r="Z90" s="198"/>
      <c r="AA90" s="198"/>
    </row>
    <row r="91" spans="1:27" x14ac:dyDescent="0.25">
      <c r="G91" s="207"/>
    </row>
    <row r="92" spans="1:27" x14ac:dyDescent="0.25">
      <c r="G92" s="207"/>
    </row>
    <row r="93" spans="1:27" ht="13" thickBot="1" x14ac:dyDescent="0.3">
      <c r="G93" s="207"/>
    </row>
    <row r="94" spans="1:27" s="740" customFormat="1" ht="21.75" customHeight="1" thickBot="1" x14ac:dyDescent="0.3">
      <c r="A94" s="1037" t="s">
        <v>40</v>
      </c>
      <c r="B94" s="1038"/>
      <c r="C94" s="1038"/>
      <c r="D94" s="1038"/>
      <c r="E94" s="1038"/>
      <c r="F94" s="1038"/>
      <c r="G94" s="1038"/>
      <c r="H94" s="1039"/>
      <c r="J94" s="739"/>
      <c r="K94" s="739"/>
      <c r="L94" s="739"/>
      <c r="M94" s="739"/>
      <c r="N94" s="739"/>
      <c r="O94" s="739"/>
      <c r="P94" s="739"/>
      <c r="Q94" s="739"/>
      <c r="R94" s="739"/>
      <c r="S94" s="739"/>
      <c r="T94" s="739"/>
      <c r="U94" s="739"/>
      <c r="V94" s="739"/>
      <c r="W94" s="739"/>
      <c r="X94" s="739"/>
      <c r="Y94" s="739"/>
      <c r="Z94" s="739"/>
      <c r="AA94" s="739"/>
    </row>
    <row r="96" spans="1:27" ht="13" x14ac:dyDescent="0.3">
      <c r="C96" s="194" t="s">
        <v>342</v>
      </c>
    </row>
    <row r="97" spans="1:8" ht="13" x14ac:dyDescent="0.3">
      <c r="C97" s="194" t="s">
        <v>42</v>
      </c>
    </row>
    <row r="98" spans="1:8" ht="16.5" x14ac:dyDescent="0.35">
      <c r="C98" s="1023" t="s">
        <v>41</v>
      </c>
      <c r="D98" s="1024"/>
      <c r="E98" s="1024"/>
      <c r="F98" s="1025"/>
    </row>
    <row r="99" spans="1:8" x14ac:dyDescent="0.25">
      <c r="C99" s="202">
        <f>+C85</f>
        <v>2017</v>
      </c>
      <c r="D99" s="202">
        <f>+D85</f>
        <v>2018</v>
      </c>
      <c r="E99" s="202">
        <f>+E85</f>
        <v>2019</v>
      </c>
      <c r="F99" s="202">
        <f>+F85</f>
        <v>2020</v>
      </c>
      <c r="H99" s="226" t="s">
        <v>31</v>
      </c>
    </row>
    <row r="100" spans="1:8" ht="13.5" customHeight="1" x14ac:dyDescent="0.25">
      <c r="A100" s="1026" t="s">
        <v>264</v>
      </c>
      <c r="B100" s="674">
        <f>+B86</f>
        <v>2017</v>
      </c>
      <c r="C100" s="470">
        <f>+C75</f>
        <v>0</v>
      </c>
      <c r="D100" s="227"/>
      <c r="E100" s="221"/>
      <c r="F100" s="224"/>
      <c r="H100" s="228">
        <f>SUM(C100:F100)</f>
        <v>0</v>
      </c>
    </row>
    <row r="101" spans="1:8" ht="13.5" customHeight="1" x14ac:dyDescent="0.25">
      <c r="A101" s="1027"/>
      <c r="B101" s="202">
        <f>+B87</f>
        <v>2018</v>
      </c>
      <c r="C101" s="470">
        <f>+C100+C87+C76</f>
        <v>0</v>
      </c>
      <c r="D101" s="470">
        <f>+D76</f>
        <v>0</v>
      </c>
      <c r="E101" s="229"/>
      <c r="F101" s="230"/>
      <c r="H101" s="228">
        <f>SUM(C101:F101)</f>
        <v>0</v>
      </c>
    </row>
    <row r="102" spans="1:8" ht="16.5" customHeight="1" x14ac:dyDescent="0.25">
      <c r="A102" s="1027"/>
      <c r="B102" s="202">
        <f>+B88</f>
        <v>2019</v>
      </c>
      <c r="C102" s="470">
        <f>+C101+C88+C77</f>
        <v>0</v>
      </c>
      <c r="D102" s="470">
        <f>+D101+D88+D77</f>
        <v>0</v>
      </c>
      <c r="E102" s="470">
        <f>+E77</f>
        <v>0</v>
      </c>
      <c r="F102" s="230"/>
      <c r="H102" s="228">
        <f>SUM(C102:F102)</f>
        <v>0</v>
      </c>
    </row>
    <row r="103" spans="1:8" ht="15.75" customHeight="1" x14ac:dyDescent="0.25">
      <c r="A103" s="1028"/>
      <c r="B103" s="202">
        <f>+B89</f>
        <v>2020</v>
      </c>
      <c r="C103" s="470">
        <f>+C102+C89+C78</f>
        <v>0</v>
      </c>
      <c r="D103" s="470">
        <f>+D102+D89+D78</f>
        <v>0</v>
      </c>
      <c r="E103" s="470">
        <f>+E102+E89+E78</f>
        <v>0</v>
      </c>
      <c r="F103" s="470">
        <f>+F78</f>
        <v>0</v>
      </c>
      <c r="H103" s="228">
        <f>SUM(C103:F103)</f>
        <v>0</v>
      </c>
    </row>
    <row r="104" spans="1:8" ht="14.5" x14ac:dyDescent="0.35">
      <c r="A104" s="231"/>
      <c r="C104" s="194"/>
    </row>
    <row r="105" spans="1:8" ht="13" x14ac:dyDescent="0.3">
      <c r="C105" s="194"/>
    </row>
    <row r="106" spans="1:8" ht="13" x14ac:dyDescent="0.3">
      <c r="C106" s="194"/>
    </row>
  </sheetData>
  <mergeCells count="62">
    <mergeCell ref="A38:B38"/>
    <mergeCell ref="A39:B39"/>
    <mergeCell ref="A47:B47"/>
    <mergeCell ref="A45:B45"/>
    <mergeCell ref="A1:H1"/>
    <mergeCell ref="A7:B7"/>
    <mergeCell ref="A8:B8"/>
    <mergeCell ref="C4:F4"/>
    <mergeCell ref="A18:B18"/>
    <mergeCell ref="A19:B19"/>
    <mergeCell ref="A16:B16"/>
    <mergeCell ref="C5:F5"/>
    <mergeCell ref="A14:B14"/>
    <mergeCell ref="A9:B9"/>
    <mergeCell ref="A10:B10"/>
    <mergeCell ref="A21:B21"/>
    <mergeCell ref="I69:J69"/>
    <mergeCell ref="A43:B43"/>
    <mergeCell ref="A42:B42"/>
    <mergeCell ref="A41:B41"/>
    <mergeCell ref="A52:B52"/>
    <mergeCell ref="A50:B50"/>
    <mergeCell ref="A49:B49"/>
    <mergeCell ref="A48:B48"/>
    <mergeCell ref="A51:B51"/>
    <mergeCell ref="A53:B53"/>
    <mergeCell ref="A54:B54"/>
    <mergeCell ref="A60:H60"/>
    <mergeCell ref="A69:H69"/>
    <mergeCell ref="C62:F62"/>
    <mergeCell ref="A11:B11"/>
    <mergeCell ref="A28:B28"/>
    <mergeCell ref="A15:B15"/>
    <mergeCell ref="A36:B36"/>
    <mergeCell ref="A37:B37"/>
    <mergeCell ref="A29:B29"/>
    <mergeCell ref="A25:B25"/>
    <mergeCell ref="A12:B12"/>
    <mergeCell ref="A26:B26"/>
    <mergeCell ref="A27:B27"/>
    <mergeCell ref="A30:B30"/>
    <mergeCell ref="A23:B23"/>
    <mergeCell ref="A24:B24"/>
    <mergeCell ref="A20:B20"/>
    <mergeCell ref="A31:B31"/>
    <mergeCell ref="A32:B32"/>
    <mergeCell ref="A33:B33"/>
    <mergeCell ref="A34:B34"/>
    <mergeCell ref="A35:B35"/>
    <mergeCell ref="A100:A103"/>
    <mergeCell ref="C6:F6"/>
    <mergeCell ref="A13:B13"/>
    <mergeCell ref="A74:B74"/>
    <mergeCell ref="A75:A79"/>
    <mergeCell ref="A22:B22"/>
    <mergeCell ref="C98:F98"/>
    <mergeCell ref="A55:B55"/>
    <mergeCell ref="A44:B44"/>
    <mergeCell ref="A94:H94"/>
    <mergeCell ref="A86:A90"/>
    <mergeCell ref="C84:F84"/>
    <mergeCell ref="C73:F73"/>
  </mergeCells>
  <conditionalFormatting sqref="C52:F53">
    <cfRule type="expression" dxfId="39" priority="18" stopIfTrue="1">
      <formula>$C$5="gas"</formula>
    </cfRule>
  </conditionalFormatting>
  <conditionalFormatting sqref="C54:F54">
    <cfRule type="expression" dxfId="38" priority="17" stopIfTrue="1">
      <formula>$C$5="elektriciteit"</formula>
    </cfRule>
  </conditionalFormatting>
  <conditionalFormatting sqref="C26:F27">
    <cfRule type="expression" dxfId="37" priority="15" stopIfTrue="1">
      <formula>$C$5="gas"</formula>
    </cfRule>
  </conditionalFormatting>
  <conditionalFormatting sqref="C28:F28">
    <cfRule type="expression" dxfId="36" priority="14" stopIfTrue="1">
      <formula>$C$5="elektriciteit"</formula>
    </cfRule>
  </conditionalFormatting>
  <conditionalFormatting sqref="C36:F37">
    <cfRule type="expression" dxfId="35" priority="13" stopIfTrue="1">
      <formula>$C$5="gas"</formula>
    </cfRule>
  </conditionalFormatting>
  <conditionalFormatting sqref="C38:F38">
    <cfRule type="expression" dxfId="34" priority="12" stopIfTrue="1">
      <formula>$C$5="elektriciteit"</formula>
    </cfRule>
  </conditionalFormatting>
  <conditionalFormatting sqref="C13:C14">
    <cfRule type="expression" dxfId="33" priority="11" stopIfTrue="1">
      <formula>$C$5="gas"</formula>
    </cfRule>
  </conditionalFormatting>
  <conditionalFormatting sqref="C15">
    <cfRule type="expression" dxfId="32" priority="10" stopIfTrue="1">
      <formula>$C$5="elektriciteit"</formula>
    </cfRule>
  </conditionalFormatting>
  <conditionalFormatting sqref="D13:F14">
    <cfRule type="expression" dxfId="31" priority="9" stopIfTrue="1">
      <formula>$C$5="gas"</formula>
    </cfRule>
  </conditionalFormatting>
  <conditionalFormatting sqref="D15:F15">
    <cfRule type="expression" dxfId="30" priority="8" stopIfTrue="1">
      <formula>$C$5="elektriciteit"</formula>
    </cfRule>
  </conditionalFormatting>
  <conditionalFormatting sqref="C7:C55">
    <cfRule type="expression" dxfId="29" priority="4" stopIfTrue="1">
      <formula>OR($C$7&gt;$L$3,$L$3&amp;$M$3=$C$7&amp;"ex-ante")</formula>
    </cfRule>
  </conditionalFormatting>
  <conditionalFormatting sqref="D7:D55">
    <cfRule type="expression" dxfId="28" priority="3" stopIfTrue="1">
      <formula>OR($D$7&gt;$L$3,$L$3&amp;$M$3=$D$7&amp;"ex-ante")</formula>
    </cfRule>
  </conditionalFormatting>
  <conditionalFormatting sqref="E7:E55">
    <cfRule type="expression" dxfId="27" priority="2" stopIfTrue="1">
      <formula>OR($E$7&gt;$L$3,$L$3&amp;$M$3=$E$7&amp;"ex-ante")</formula>
    </cfRule>
  </conditionalFormatting>
  <conditionalFormatting sqref="F7:F55">
    <cfRule type="expression" dxfId="26" priority="1" stopIfTrue="1">
      <formula>OR($F$7&gt;$L$3,$L$3&amp;$M$3=$F$7&amp;"ex-ante")</formula>
    </cfRule>
  </conditionalFormatting>
  <pageMargins left="0.78740157480314965" right="0.78740157480314965" top="0.98425196850393704" bottom="0.98425196850393704" header="0.51181102362204722" footer="0.51181102362204722"/>
  <pageSetup paperSize="8" scale="34" orientation="landscape" r:id="rId1"/>
  <headerFooter alignWithMargins="0">
    <oddFooter>&amp;CPage &amp;P</oddFooter>
  </headerFooter>
  <ignoredErrors>
    <ignoredError sqref="C47" evalError="1"/>
    <ignoredError sqref="H85 J85"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Q391"/>
  <sheetViews>
    <sheetView topLeftCell="A70" zoomScale="80" zoomScaleNormal="80" workbookViewId="0">
      <selection activeCell="G78" sqref="G78:I78"/>
    </sheetView>
  </sheetViews>
  <sheetFormatPr defaultColWidth="9.1796875" defaultRowHeight="12.5" x14ac:dyDescent="0.25"/>
  <cols>
    <col min="1" max="1" width="4.1796875" style="20" customWidth="1"/>
    <col min="2" max="2" width="14.26953125" style="20" customWidth="1"/>
    <col min="3" max="3" width="14" style="20" customWidth="1"/>
    <col min="4" max="4" width="11.7265625" style="20" customWidth="1"/>
    <col min="5" max="5" width="24.26953125" style="20" customWidth="1"/>
    <col min="6" max="6" width="8.81640625" style="20" customWidth="1"/>
    <col min="7" max="7" width="50" style="20" customWidth="1"/>
    <col min="8" max="9" width="41.81640625" style="20" customWidth="1"/>
    <col min="10" max="10" width="42" style="20" customWidth="1"/>
    <col min="11" max="11" width="28.7265625" style="610" customWidth="1"/>
    <col min="12" max="12" width="43.453125" style="20" customWidth="1"/>
    <col min="13" max="13" width="9.1796875" style="20"/>
    <col min="14" max="14" width="19.1796875" style="20" customWidth="1"/>
    <col min="15" max="16384" width="9.1796875" style="20"/>
  </cols>
  <sheetData>
    <row r="1" spans="1:17" ht="18.75" customHeight="1" thickBot="1" x14ac:dyDescent="0.45">
      <c r="A1" s="990" t="s">
        <v>308</v>
      </c>
      <c r="B1" s="991"/>
      <c r="C1" s="991"/>
      <c r="D1" s="991"/>
      <c r="E1" s="991"/>
      <c r="F1" s="991"/>
      <c r="G1" s="991"/>
      <c r="H1" s="991"/>
      <c r="I1" s="991"/>
      <c r="J1" s="992"/>
      <c r="M1" s="106"/>
      <c r="N1" s="106"/>
      <c r="O1" s="106"/>
      <c r="P1" s="106"/>
      <c r="Q1" s="106"/>
    </row>
    <row r="2" spans="1:17" ht="15.5" x14ac:dyDescent="0.35">
      <c r="B2" s="394" t="str">
        <f>+TITELBLAD!B18</f>
        <v>Rapportering over boekjaar:</v>
      </c>
      <c r="C2" s="394"/>
      <c r="D2" s="394">
        <f>+TITELBLAD!E18</f>
        <v>2019</v>
      </c>
      <c r="E2" s="394" t="str">
        <f>+TITELBLAD!F18</f>
        <v>ex-ante</v>
      </c>
      <c r="H2" s="194"/>
      <c r="I2" s="188"/>
      <c r="J2" s="188"/>
      <c r="K2" s="106">
        <f>+TITELBLAD!E18</f>
        <v>2019</v>
      </c>
      <c r="L2" s="593" t="str">
        <f>+TITELBLAD!F18</f>
        <v>ex-ante</v>
      </c>
    </row>
    <row r="3" spans="1:17" ht="13.5" thickBot="1" x14ac:dyDescent="0.35">
      <c r="B3" s="107" t="s">
        <v>26</v>
      </c>
      <c r="H3" s="194"/>
      <c r="I3" s="188"/>
      <c r="J3" s="188"/>
      <c r="K3" s="233"/>
      <c r="L3" s="491"/>
    </row>
    <row r="4" spans="1:17" ht="16.5" customHeight="1" thickBot="1" x14ac:dyDescent="0.35">
      <c r="B4" s="1162" t="str">
        <f>+TITELBLAD!C7</f>
        <v>Naam distributienetbeheerder</v>
      </c>
      <c r="C4" s="1163"/>
      <c r="D4" s="1163"/>
      <c r="E4" s="1164"/>
      <c r="H4" s="194"/>
      <c r="I4" s="188"/>
      <c r="J4" s="188"/>
      <c r="K4" s="233"/>
      <c r="L4" s="188"/>
    </row>
    <row r="5" spans="1:17" ht="13" x14ac:dyDescent="0.3">
      <c r="H5" s="194"/>
      <c r="I5" s="188"/>
      <c r="J5" s="188"/>
      <c r="K5" s="233"/>
      <c r="L5" s="188"/>
    </row>
    <row r="6" spans="1:17" ht="13.5" thickBot="1" x14ac:dyDescent="0.35">
      <c r="B6" s="107" t="s">
        <v>27</v>
      </c>
      <c r="H6" s="194"/>
      <c r="I6" s="188"/>
      <c r="J6" s="188"/>
      <c r="K6" s="233"/>
      <c r="L6" s="188"/>
    </row>
    <row r="7" spans="1:17" ht="17.25" customHeight="1" thickBot="1" x14ac:dyDescent="0.35">
      <c r="B7" s="1165" t="str">
        <f>+TITELBLAD!C12</f>
        <v>elektriciteit</v>
      </c>
      <c r="C7" s="1166"/>
      <c r="D7" s="1166"/>
      <c r="E7" s="1167"/>
      <c r="H7" s="194"/>
      <c r="I7" s="188"/>
      <c r="J7" s="188"/>
      <c r="K7" s="233"/>
      <c r="L7" s="188"/>
    </row>
    <row r="8" spans="1:17" ht="13" x14ac:dyDescent="0.3">
      <c r="H8" s="194"/>
      <c r="I8" s="188"/>
      <c r="J8" s="188"/>
      <c r="K8" s="233"/>
      <c r="L8" s="188"/>
    </row>
    <row r="11" spans="1:17" ht="13" x14ac:dyDescent="0.3">
      <c r="G11" s="434" t="s">
        <v>338</v>
      </c>
      <c r="H11" s="383"/>
      <c r="I11" s="382"/>
    </row>
    <row r="12" spans="1:17" ht="13" x14ac:dyDescent="0.3">
      <c r="G12" s="197" t="s">
        <v>263</v>
      </c>
      <c r="H12" s="383"/>
      <c r="I12" s="382"/>
    </row>
    <row r="13" spans="1:17" s="48" customFormat="1" ht="60" customHeight="1" x14ac:dyDescent="0.25">
      <c r="B13" s="1060" t="s">
        <v>265</v>
      </c>
      <c r="C13" s="1061"/>
      <c r="D13" s="1061"/>
      <c r="E13" s="1062"/>
      <c r="F13" s="162"/>
      <c r="G13" s="675">
        <v>2017</v>
      </c>
      <c r="H13" s="675">
        <f>+G13+1</f>
        <v>2018</v>
      </c>
      <c r="I13" s="675">
        <f>+H13+1</f>
        <v>2019</v>
      </c>
      <c r="J13" s="675">
        <f>+I13+1</f>
        <v>2020</v>
      </c>
      <c r="K13" s="610"/>
      <c r="L13" s="675" t="s">
        <v>31</v>
      </c>
    </row>
    <row r="14" spans="1:17" s="130" customFormat="1" ht="12" customHeight="1" x14ac:dyDescent="0.25">
      <c r="B14" s="384"/>
      <c r="C14" s="384"/>
      <c r="D14" s="384"/>
      <c r="E14" s="384"/>
      <c r="F14" s="385"/>
      <c r="G14" s="386"/>
      <c r="H14" s="387"/>
      <c r="I14" s="387"/>
      <c r="K14" s="610"/>
    </row>
    <row r="15" spans="1:17" s="685" customFormat="1" ht="28.5" customHeight="1" x14ac:dyDescent="0.25">
      <c r="B15" s="1081" t="s">
        <v>131</v>
      </c>
      <c r="C15" s="1081"/>
      <c r="D15" s="1081"/>
      <c r="E15" s="1081"/>
      <c r="F15" s="688"/>
      <c r="G15" s="850">
        <f>+T6A!C48</f>
        <v>0</v>
      </c>
      <c r="H15" s="840">
        <f>+T6A!D48</f>
        <v>0</v>
      </c>
      <c r="I15" s="840">
        <f>+T6A!E48</f>
        <v>0</v>
      </c>
      <c r="J15" s="840">
        <f>+T6A!F48</f>
        <v>0</v>
      </c>
      <c r="K15" s="610"/>
      <c r="L15" s="851">
        <f>SUM(G15:J15)</f>
        <v>0</v>
      </c>
    </row>
    <row r="16" spans="1:17" s="685" customFormat="1" ht="26.25" customHeight="1" x14ac:dyDescent="0.25">
      <c r="B16" s="1081" t="s">
        <v>132</v>
      </c>
      <c r="C16" s="1081"/>
      <c r="D16" s="1081"/>
      <c r="E16" s="1081"/>
      <c r="F16" s="688"/>
      <c r="G16" s="850">
        <f>+T6A!C49</f>
        <v>0</v>
      </c>
      <c r="H16" s="840">
        <f>+T6A!D49</f>
        <v>0</v>
      </c>
      <c r="I16" s="840">
        <f>+T6A!E49</f>
        <v>0</v>
      </c>
      <c r="J16" s="840">
        <f>+T6A!F49</f>
        <v>0</v>
      </c>
      <c r="K16" s="610"/>
      <c r="L16" s="851">
        <f t="shared" ref="L16:L22" si="0">SUM(G16:J16)</f>
        <v>0</v>
      </c>
    </row>
    <row r="17" spans="2:12" s="685" customFormat="1" ht="27.75" customHeight="1" x14ac:dyDescent="0.25">
      <c r="B17" s="1081" t="s">
        <v>138</v>
      </c>
      <c r="C17" s="1081"/>
      <c r="D17" s="1081"/>
      <c r="E17" s="1081"/>
      <c r="F17" s="688"/>
      <c r="G17" s="850">
        <f>+T6A!C50</f>
        <v>0</v>
      </c>
      <c r="H17" s="840">
        <f>+T6A!D50</f>
        <v>0</v>
      </c>
      <c r="I17" s="840">
        <f>+T6A!E50</f>
        <v>0</v>
      </c>
      <c r="J17" s="840">
        <f>+T6A!F50</f>
        <v>0</v>
      </c>
      <c r="K17" s="610"/>
      <c r="L17" s="851">
        <f t="shared" si="0"/>
        <v>0</v>
      </c>
    </row>
    <row r="18" spans="2:12" s="685" customFormat="1" ht="24.75" customHeight="1" x14ac:dyDescent="0.25">
      <c r="B18" s="1081" t="s">
        <v>133</v>
      </c>
      <c r="C18" s="1081"/>
      <c r="D18" s="1081"/>
      <c r="E18" s="1081"/>
      <c r="F18" s="688"/>
      <c r="G18" s="850">
        <f>+T6A!C51</f>
        <v>0</v>
      </c>
      <c r="H18" s="840">
        <f>+T6A!D51</f>
        <v>0</v>
      </c>
      <c r="I18" s="840">
        <f>+T6A!E51</f>
        <v>0</v>
      </c>
      <c r="J18" s="840">
        <f>+T6A!F51</f>
        <v>0</v>
      </c>
      <c r="K18" s="610"/>
      <c r="L18" s="851">
        <f t="shared" si="0"/>
        <v>0</v>
      </c>
    </row>
    <row r="19" spans="2:12" s="685" customFormat="1" ht="27" customHeight="1" x14ac:dyDescent="0.25">
      <c r="B19" s="1081" t="s">
        <v>239</v>
      </c>
      <c r="C19" s="1081"/>
      <c r="D19" s="1081"/>
      <c r="E19" s="1081"/>
      <c r="F19" s="688"/>
      <c r="G19" s="850">
        <f>+T6A!C52</f>
        <v>0</v>
      </c>
      <c r="H19" s="840">
        <f>+T6A!D52</f>
        <v>0</v>
      </c>
      <c r="I19" s="840">
        <f>+T6A!E52</f>
        <v>0</v>
      </c>
      <c r="J19" s="840">
        <f>+T6A!F52</f>
        <v>0</v>
      </c>
      <c r="K19" s="610"/>
      <c r="L19" s="851">
        <f t="shared" si="0"/>
        <v>0</v>
      </c>
    </row>
    <row r="20" spans="2:12" s="685" customFormat="1" ht="18.75" customHeight="1" x14ac:dyDescent="0.25">
      <c r="B20" s="1081" t="s">
        <v>237</v>
      </c>
      <c r="C20" s="1081"/>
      <c r="D20" s="1081"/>
      <c r="E20" s="1081"/>
      <c r="F20" s="688"/>
      <c r="G20" s="850">
        <f>+T6A!C53</f>
        <v>0</v>
      </c>
      <c r="H20" s="840">
        <f>+T6A!D53</f>
        <v>0</v>
      </c>
      <c r="I20" s="840">
        <f>+T6A!E53</f>
        <v>0</v>
      </c>
      <c r="J20" s="840">
        <f>+T6A!F53</f>
        <v>0</v>
      </c>
      <c r="K20" s="610"/>
      <c r="L20" s="851">
        <f t="shared" si="0"/>
        <v>0</v>
      </c>
    </row>
    <row r="21" spans="2:12" s="685" customFormat="1" ht="27" customHeight="1" x14ac:dyDescent="0.25">
      <c r="B21" s="1081" t="s">
        <v>287</v>
      </c>
      <c r="C21" s="1081"/>
      <c r="D21" s="1081"/>
      <c r="E21" s="1081"/>
      <c r="F21" s="688"/>
      <c r="G21" s="850">
        <f>+T6A!C54</f>
        <v>0</v>
      </c>
      <c r="H21" s="840">
        <f>+T6A!D54</f>
        <v>0</v>
      </c>
      <c r="I21" s="840">
        <f>+T6A!E54</f>
        <v>0</v>
      </c>
      <c r="J21" s="840">
        <f>+T6A!F54</f>
        <v>0</v>
      </c>
      <c r="K21" s="610"/>
      <c r="L21" s="851">
        <f t="shared" si="0"/>
        <v>0</v>
      </c>
    </row>
    <row r="22" spans="2:12" s="685" customFormat="1" ht="28.5" customHeight="1" x14ac:dyDescent="0.25">
      <c r="B22" s="1082" t="s">
        <v>134</v>
      </c>
      <c r="C22" s="1083"/>
      <c r="D22" s="1083"/>
      <c r="E22" s="1084"/>
      <c r="F22" s="688"/>
      <c r="G22" s="850">
        <f>+T6A!C55</f>
        <v>0</v>
      </c>
      <c r="H22" s="840">
        <f>+T6A!D55</f>
        <v>0</v>
      </c>
      <c r="I22" s="840">
        <f>+T6A!E55</f>
        <v>0</v>
      </c>
      <c r="J22" s="840">
        <f>+T6A!F55</f>
        <v>0</v>
      </c>
      <c r="K22" s="610"/>
      <c r="L22" s="851">
        <f t="shared" si="0"/>
        <v>0</v>
      </c>
    </row>
    <row r="23" spans="2:12" x14ac:dyDescent="0.25">
      <c r="B23" s="48"/>
      <c r="C23" s="48"/>
      <c r="D23" s="48"/>
      <c r="E23" s="48"/>
      <c r="F23" s="48"/>
      <c r="G23" s="678"/>
      <c r="H23" s="678"/>
      <c r="I23" s="678"/>
      <c r="J23" s="678"/>
      <c r="L23" s="852"/>
    </row>
    <row r="24" spans="2:12" s="685" customFormat="1" ht="23.25" customHeight="1" x14ac:dyDescent="0.25">
      <c r="B24" s="1071" t="s">
        <v>33</v>
      </c>
      <c r="C24" s="1072"/>
      <c r="D24" s="1072"/>
      <c r="E24" s="1073"/>
      <c r="F24" s="700"/>
      <c r="G24" s="742">
        <f>SUM(G15,G16,G17,G18,G19,G20,G21,G22)</f>
        <v>0</v>
      </c>
      <c r="H24" s="701">
        <f>SUM(H15,H16,H17,H18,H19,H20,H21,H22)</f>
        <v>0</v>
      </c>
      <c r="I24" s="701">
        <f>SUM(I15,I16,I17,I18,I19,I20,I21,I22)</f>
        <v>0</v>
      </c>
      <c r="J24" s="701">
        <f>SUM(J15,J16,J17,J18,J19,J20,J21,J22)</f>
        <v>0</v>
      </c>
      <c r="K24" s="610"/>
      <c r="L24" s="742">
        <f>SUM(L15,L16,L17,L18,L19,L20,L21,L22)</f>
        <v>0</v>
      </c>
    </row>
    <row r="25" spans="2:12" ht="13" x14ac:dyDescent="0.25">
      <c r="B25" s="1066" t="s">
        <v>268</v>
      </c>
      <c r="C25" s="1066"/>
      <c r="D25" s="1066"/>
      <c r="E25" s="1066"/>
      <c r="F25" s="691"/>
      <c r="G25" s="741">
        <f>+G24-T6A!C79</f>
        <v>0</v>
      </c>
      <c r="H25" s="692">
        <f>+H24-T6A!D79</f>
        <v>0</v>
      </c>
      <c r="I25" s="692">
        <f>+I24-T6A!E79</f>
        <v>0</v>
      </c>
      <c r="J25" s="692">
        <f>+J24-T6A!F79</f>
        <v>0</v>
      </c>
      <c r="L25" s="741">
        <f>+L24-T6A!H79</f>
        <v>0</v>
      </c>
    </row>
    <row r="26" spans="2:12" ht="13" x14ac:dyDescent="0.25">
      <c r="B26" s="437"/>
      <c r="C26" s="437"/>
      <c r="D26" s="437"/>
      <c r="E26" s="437"/>
      <c r="F26" s="438"/>
      <c r="G26" s="439"/>
      <c r="H26" s="439"/>
      <c r="I26" s="439"/>
      <c r="J26" s="439"/>
      <c r="L26" s="439"/>
    </row>
    <row r="27" spans="2:12" ht="13" x14ac:dyDescent="0.3">
      <c r="G27" s="435" t="s">
        <v>56</v>
      </c>
      <c r="H27" s="680"/>
    </row>
    <row r="28" spans="2:12" ht="13" x14ac:dyDescent="0.3">
      <c r="G28" s="435" t="s">
        <v>57</v>
      </c>
    </row>
    <row r="29" spans="2:12" s="48" customFormat="1" ht="60" customHeight="1" x14ac:dyDescent="0.25">
      <c r="B29" s="1060" t="s">
        <v>266</v>
      </c>
      <c r="C29" s="1061"/>
      <c r="D29" s="1061"/>
      <c r="E29" s="1062"/>
      <c r="F29" s="162"/>
      <c r="G29" s="675">
        <v>2017</v>
      </c>
      <c r="H29" s="675">
        <f>+G29+1</f>
        <v>2018</v>
      </c>
      <c r="I29" s="675">
        <f>+H29+1</f>
        <v>2019</v>
      </c>
      <c r="J29" s="675">
        <f>+I29+1</f>
        <v>2020</v>
      </c>
      <c r="K29" s="610"/>
      <c r="L29" s="675" t="s">
        <v>31</v>
      </c>
    </row>
    <row r="30" spans="2:12" s="130" customFormat="1" ht="12" customHeight="1" x14ac:dyDescent="0.25">
      <c r="B30" s="384"/>
      <c r="C30" s="384"/>
      <c r="D30" s="384"/>
      <c r="E30" s="384"/>
      <c r="F30" s="385"/>
      <c r="G30" s="386"/>
      <c r="H30" s="387"/>
      <c r="I30" s="387"/>
      <c r="K30" s="610"/>
    </row>
    <row r="31" spans="2:12" ht="36" customHeight="1" x14ac:dyDescent="0.25">
      <c r="B31" s="1077" t="s">
        <v>131</v>
      </c>
      <c r="C31" s="1078"/>
      <c r="D31" s="1078"/>
      <c r="E31" s="1079"/>
      <c r="F31" s="162"/>
      <c r="G31" s="686"/>
      <c r="H31" s="686"/>
      <c r="I31" s="686"/>
      <c r="J31" s="686"/>
      <c r="L31" s="686"/>
    </row>
    <row r="32" spans="2:12" ht="28.5" customHeight="1" x14ac:dyDescent="0.25">
      <c r="B32" s="1068" t="str">
        <f>"per 31/12/"&amp;$G$13</f>
        <v>per 31/12/2017</v>
      </c>
      <c r="C32" s="1069"/>
      <c r="D32" s="1069"/>
      <c r="E32" s="1070"/>
      <c r="F32" s="162"/>
      <c r="G32" s="684"/>
      <c r="H32" s="684"/>
      <c r="I32" s="684"/>
      <c r="J32" s="684"/>
      <c r="L32" s="679">
        <f>SUM(G32:J32)</f>
        <v>0</v>
      </c>
    </row>
    <row r="33" spans="2:12" ht="28.5" customHeight="1" x14ac:dyDescent="0.25">
      <c r="B33" s="1068" t="str">
        <f>"per 31/12/"&amp;$H$13</f>
        <v>per 31/12/2018</v>
      </c>
      <c r="C33" s="1069"/>
      <c r="D33" s="1069"/>
      <c r="E33" s="1070"/>
      <c r="F33" s="162"/>
      <c r="G33" s="684">
        <f>J155</f>
        <v>0</v>
      </c>
      <c r="H33" s="684"/>
      <c r="I33" s="684"/>
      <c r="J33" s="684"/>
      <c r="L33" s="679">
        <f>SUM(G33:J33)</f>
        <v>0</v>
      </c>
    </row>
    <row r="34" spans="2:12" ht="28.5" customHeight="1" x14ac:dyDescent="0.25">
      <c r="B34" s="1068" t="str">
        <f>"per 31/12/"&amp;$I$13</f>
        <v>per 31/12/2019</v>
      </c>
      <c r="C34" s="1069"/>
      <c r="D34" s="1069"/>
      <c r="E34" s="1070"/>
      <c r="F34" s="162"/>
      <c r="G34" s="684">
        <f>L160</f>
        <v>0</v>
      </c>
      <c r="H34" s="684">
        <f>L161</f>
        <v>0</v>
      </c>
      <c r="I34" s="684"/>
      <c r="J34" s="684"/>
      <c r="L34" s="679">
        <f>SUM(G34:J34)</f>
        <v>0</v>
      </c>
    </row>
    <row r="35" spans="2:12" ht="28.5" customHeight="1" x14ac:dyDescent="0.25">
      <c r="B35" s="1068" t="str">
        <f>"per 31/12/"&amp;$J$13</f>
        <v>per 31/12/2020</v>
      </c>
      <c r="C35" s="1069"/>
      <c r="D35" s="1069"/>
      <c r="E35" s="1070"/>
      <c r="F35" s="162"/>
      <c r="G35" s="684">
        <f>L167</f>
        <v>0</v>
      </c>
      <c r="H35" s="684">
        <f>L168</f>
        <v>0</v>
      </c>
      <c r="I35" s="684">
        <f>L169</f>
        <v>0</v>
      </c>
      <c r="J35" s="684"/>
      <c r="L35" s="679">
        <f>SUM(G35:J35)</f>
        <v>0</v>
      </c>
    </row>
    <row r="36" spans="2:12" ht="27.75" customHeight="1" x14ac:dyDescent="0.25">
      <c r="B36" s="1077" t="s">
        <v>132</v>
      </c>
      <c r="C36" s="1078"/>
      <c r="D36" s="1078"/>
      <c r="E36" s="1079"/>
      <c r="F36" s="162"/>
      <c r="G36" s="686"/>
      <c r="H36" s="686"/>
      <c r="I36" s="686"/>
      <c r="J36" s="686"/>
      <c r="L36" s="686"/>
    </row>
    <row r="37" spans="2:12" ht="28.5" customHeight="1" x14ac:dyDescent="0.25">
      <c r="B37" s="1068" t="str">
        <f>"per 31/12/"&amp;$G$13</f>
        <v>per 31/12/2017</v>
      </c>
      <c r="C37" s="1069"/>
      <c r="D37" s="1069"/>
      <c r="E37" s="1070"/>
      <c r="F37" s="162"/>
      <c r="G37" s="684"/>
      <c r="H37" s="684"/>
      <c r="I37" s="684"/>
      <c r="J37" s="684"/>
      <c r="L37" s="679">
        <f>SUM(G37:J37)</f>
        <v>0</v>
      </c>
    </row>
    <row r="38" spans="2:12" ht="28.5" customHeight="1" x14ac:dyDescent="0.25">
      <c r="B38" s="1068" t="str">
        <f>"per 31/12/"&amp;$H$13</f>
        <v>per 31/12/2018</v>
      </c>
      <c r="C38" s="1069"/>
      <c r="D38" s="1069"/>
      <c r="E38" s="1070"/>
      <c r="F38" s="162"/>
      <c r="G38" s="909">
        <f>J185</f>
        <v>0</v>
      </c>
      <c r="H38" s="909"/>
      <c r="I38" s="909"/>
      <c r="J38" s="684"/>
      <c r="L38" s="679">
        <f>SUM(G38:J38)</f>
        <v>0</v>
      </c>
    </row>
    <row r="39" spans="2:12" ht="28.5" customHeight="1" x14ac:dyDescent="0.25">
      <c r="B39" s="1068" t="str">
        <f>"per 31/12/"&amp;$I$13</f>
        <v>per 31/12/2019</v>
      </c>
      <c r="C39" s="1069"/>
      <c r="D39" s="1069"/>
      <c r="E39" s="1070"/>
      <c r="F39" s="162"/>
      <c r="G39" s="909">
        <f>L190</f>
        <v>0</v>
      </c>
      <c r="H39" s="909">
        <f>L191</f>
        <v>0</v>
      </c>
      <c r="I39" s="909"/>
      <c r="J39" s="684"/>
      <c r="L39" s="679">
        <f>SUM(G39:J39)</f>
        <v>0</v>
      </c>
    </row>
    <row r="40" spans="2:12" ht="28.5" customHeight="1" x14ac:dyDescent="0.25">
      <c r="B40" s="1068" t="str">
        <f>"per 31/12/"&amp;$J$13</f>
        <v>per 31/12/2020</v>
      </c>
      <c r="C40" s="1069"/>
      <c r="D40" s="1069"/>
      <c r="E40" s="1070"/>
      <c r="F40" s="162"/>
      <c r="G40" s="909">
        <f>L197</f>
        <v>0</v>
      </c>
      <c r="H40" s="909">
        <f>L198</f>
        <v>0</v>
      </c>
      <c r="I40" s="909">
        <f>L199</f>
        <v>0</v>
      </c>
      <c r="J40" s="684"/>
      <c r="L40" s="679">
        <f>SUM(G40:J40)</f>
        <v>0</v>
      </c>
    </row>
    <row r="41" spans="2:12" ht="30" customHeight="1" x14ac:dyDescent="0.25">
      <c r="B41" s="1077" t="s">
        <v>138</v>
      </c>
      <c r="C41" s="1078"/>
      <c r="D41" s="1078"/>
      <c r="E41" s="1079"/>
      <c r="F41" s="162"/>
      <c r="G41" s="686"/>
      <c r="H41" s="686"/>
      <c r="I41" s="686"/>
      <c r="J41" s="686"/>
      <c r="L41" s="686"/>
    </row>
    <row r="42" spans="2:12" ht="28.5" customHeight="1" x14ac:dyDescent="0.25">
      <c r="B42" s="1068" t="str">
        <f>"per 31/12/"&amp;$G$13</f>
        <v>per 31/12/2017</v>
      </c>
      <c r="C42" s="1069"/>
      <c r="D42" s="1069"/>
      <c r="E42" s="1070"/>
      <c r="F42" s="162"/>
      <c r="G42" s="684"/>
      <c r="H42" s="684"/>
      <c r="I42" s="684"/>
      <c r="J42" s="684"/>
      <c r="L42" s="679">
        <f>SUM(G42:J42)</f>
        <v>0</v>
      </c>
    </row>
    <row r="43" spans="2:12" ht="28.5" customHeight="1" x14ac:dyDescent="0.25">
      <c r="B43" s="1068" t="str">
        <f>"per 31/12/"&amp;$H$13</f>
        <v>per 31/12/2018</v>
      </c>
      <c r="C43" s="1069"/>
      <c r="D43" s="1069"/>
      <c r="E43" s="1070"/>
      <c r="F43" s="162"/>
      <c r="G43" s="909">
        <f>J215</f>
        <v>0</v>
      </c>
      <c r="H43" s="909"/>
      <c r="I43" s="909"/>
      <c r="J43" s="684"/>
      <c r="L43" s="679">
        <f>SUM(G43:J43)</f>
        <v>0</v>
      </c>
    </row>
    <row r="44" spans="2:12" ht="28.5" customHeight="1" x14ac:dyDescent="0.25">
      <c r="B44" s="1068" t="str">
        <f>"per 31/12/"&amp;$I$13</f>
        <v>per 31/12/2019</v>
      </c>
      <c r="C44" s="1069"/>
      <c r="D44" s="1069"/>
      <c r="E44" s="1070"/>
      <c r="F44" s="162"/>
      <c r="G44" s="909">
        <f>L220</f>
        <v>0</v>
      </c>
      <c r="H44" s="909">
        <f>L221</f>
        <v>0</v>
      </c>
      <c r="I44" s="909"/>
      <c r="J44" s="684"/>
      <c r="L44" s="679">
        <f>SUM(G44:J44)</f>
        <v>0</v>
      </c>
    </row>
    <row r="45" spans="2:12" ht="28.5" customHeight="1" x14ac:dyDescent="0.25">
      <c r="B45" s="1068" t="str">
        <f>"per 31/12/"&amp;$J$13</f>
        <v>per 31/12/2020</v>
      </c>
      <c r="C45" s="1069"/>
      <c r="D45" s="1069"/>
      <c r="E45" s="1070"/>
      <c r="F45" s="162"/>
      <c r="G45" s="909">
        <f>L227</f>
        <v>0</v>
      </c>
      <c r="H45" s="909">
        <f>L228</f>
        <v>0</v>
      </c>
      <c r="I45" s="909">
        <f>L229</f>
        <v>0</v>
      </c>
      <c r="J45" s="684"/>
      <c r="L45" s="679">
        <f>SUM(G45:J45)</f>
        <v>0</v>
      </c>
    </row>
    <row r="46" spans="2:12" ht="30" customHeight="1" x14ac:dyDescent="0.25">
      <c r="B46" s="1077" t="s">
        <v>133</v>
      </c>
      <c r="C46" s="1078"/>
      <c r="D46" s="1078"/>
      <c r="E46" s="1079"/>
      <c r="F46" s="162"/>
      <c r="G46" s="686"/>
      <c r="H46" s="686"/>
      <c r="I46" s="686"/>
      <c r="J46" s="686"/>
      <c r="L46" s="686"/>
    </row>
    <row r="47" spans="2:12" ht="28.5" customHeight="1" x14ac:dyDescent="0.25">
      <c r="B47" s="1068" t="str">
        <f>"per 31/12/"&amp;$G$13</f>
        <v>per 31/12/2017</v>
      </c>
      <c r="C47" s="1069"/>
      <c r="D47" s="1069"/>
      <c r="E47" s="1070"/>
      <c r="F47" s="162"/>
      <c r="G47" s="684"/>
      <c r="H47" s="684"/>
      <c r="I47" s="684"/>
      <c r="J47" s="684"/>
      <c r="L47" s="679">
        <f>SUM(G47:J47)</f>
        <v>0</v>
      </c>
    </row>
    <row r="48" spans="2:12" ht="28.5" customHeight="1" x14ac:dyDescent="0.25">
      <c r="B48" s="1068" t="str">
        <f>"per 31/12/"&amp;$H$13</f>
        <v>per 31/12/2018</v>
      </c>
      <c r="C48" s="1069"/>
      <c r="D48" s="1069"/>
      <c r="E48" s="1070"/>
      <c r="F48" s="162"/>
      <c r="G48" s="909">
        <f>J245</f>
        <v>0</v>
      </c>
      <c r="H48" s="909"/>
      <c r="I48" s="909"/>
      <c r="J48" s="684"/>
      <c r="L48" s="679">
        <f>SUM(G48:J48)</f>
        <v>0</v>
      </c>
    </row>
    <row r="49" spans="2:12" ht="28.5" customHeight="1" x14ac:dyDescent="0.25">
      <c r="B49" s="1068" t="str">
        <f>"per 31/12/"&amp;$I$13</f>
        <v>per 31/12/2019</v>
      </c>
      <c r="C49" s="1069"/>
      <c r="D49" s="1069"/>
      <c r="E49" s="1070"/>
      <c r="F49" s="162"/>
      <c r="G49" s="909">
        <f>L250</f>
        <v>0</v>
      </c>
      <c r="H49" s="909">
        <f>L251</f>
        <v>0</v>
      </c>
      <c r="I49" s="909"/>
      <c r="J49" s="684"/>
      <c r="L49" s="679">
        <f>SUM(G49:J49)</f>
        <v>0</v>
      </c>
    </row>
    <row r="50" spans="2:12" ht="28.5" customHeight="1" x14ac:dyDescent="0.25">
      <c r="B50" s="1068" t="str">
        <f>"per 31/12/"&amp;$J$13</f>
        <v>per 31/12/2020</v>
      </c>
      <c r="C50" s="1069"/>
      <c r="D50" s="1069"/>
      <c r="E50" s="1070"/>
      <c r="F50" s="162"/>
      <c r="G50" s="909">
        <f>L257</f>
        <v>0</v>
      </c>
      <c r="H50" s="909">
        <f>L258</f>
        <v>0</v>
      </c>
      <c r="I50" s="909">
        <f>L259</f>
        <v>0</v>
      </c>
      <c r="J50" s="684"/>
      <c r="L50" s="679">
        <f>SUM(G50:J50)</f>
        <v>0</v>
      </c>
    </row>
    <row r="51" spans="2:12" ht="27" customHeight="1" x14ac:dyDescent="0.25">
      <c r="B51" s="1080" t="s">
        <v>239</v>
      </c>
      <c r="C51" s="1080"/>
      <c r="D51" s="1080"/>
      <c r="E51" s="1080"/>
      <c r="F51" s="162"/>
      <c r="G51" s="679"/>
      <c r="H51" s="679"/>
      <c r="I51" s="679"/>
      <c r="J51" s="679"/>
      <c r="L51" s="679"/>
    </row>
    <row r="52" spans="2:12" ht="28.5" customHeight="1" x14ac:dyDescent="0.25">
      <c r="B52" s="1068" t="str">
        <f>"per 31/12/"&amp;$G$13</f>
        <v>per 31/12/2017</v>
      </c>
      <c r="C52" s="1069"/>
      <c r="D52" s="1069"/>
      <c r="E52" s="1070"/>
      <c r="F52" s="162"/>
      <c r="G52" s="684"/>
      <c r="H52" s="684"/>
      <c r="I52" s="684"/>
      <c r="J52" s="684"/>
      <c r="L52" s="679">
        <f>SUM(G52:J52)</f>
        <v>0</v>
      </c>
    </row>
    <row r="53" spans="2:12" ht="28.5" customHeight="1" x14ac:dyDescent="0.25">
      <c r="B53" s="1068" t="str">
        <f>"per 31/12/"&amp;$H$13</f>
        <v>per 31/12/2018</v>
      </c>
      <c r="C53" s="1069"/>
      <c r="D53" s="1069"/>
      <c r="E53" s="1070"/>
      <c r="F53" s="162"/>
      <c r="G53" s="909">
        <f>J275</f>
        <v>0</v>
      </c>
      <c r="H53" s="909"/>
      <c r="I53" s="909"/>
      <c r="J53" s="684"/>
      <c r="L53" s="679">
        <f>SUM(G53:J53)</f>
        <v>0</v>
      </c>
    </row>
    <row r="54" spans="2:12" ht="28.5" customHeight="1" x14ac:dyDescent="0.25">
      <c r="B54" s="1068" t="str">
        <f>"per 31/12/"&amp;$I$13</f>
        <v>per 31/12/2019</v>
      </c>
      <c r="C54" s="1069"/>
      <c r="D54" s="1069"/>
      <c r="E54" s="1070"/>
      <c r="F54" s="162"/>
      <c r="G54" s="909">
        <f>L280</f>
        <v>0</v>
      </c>
      <c r="H54" s="909">
        <f>L281</f>
        <v>0</v>
      </c>
      <c r="I54" s="909"/>
      <c r="J54" s="684"/>
      <c r="L54" s="679">
        <f>SUM(G54:J54)</f>
        <v>0</v>
      </c>
    </row>
    <row r="55" spans="2:12" ht="28.5" customHeight="1" x14ac:dyDescent="0.25">
      <c r="B55" s="1068" t="str">
        <f>"per 31/12/"&amp;$J$13</f>
        <v>per 31/12/2020</v>
      </c>
      <c r="C55" s="1069"/>
      <c r="D55" s="1069"/>
      <c r="E55" s="1070"/>
      <c r="F55" s="162"/>
      <c r="G55" s="909">
        <f>L287</f>
        <v>0</v>
      </c>
      <c r="H55" s="909">
        <f>L288</f>
        <v>0</v>
      </c>
      <c r="I55" s="909">
        <f>L289</f>
        <v>0</v>
      </c>
      <c r="J55" s="684"/>
      <c r="L55" s="679">
        <f>SUM(G55:J55)</f>
        <v>0</v>
      </c>
    </row>
    <row r="56" spans="2:12" ht="26.25" customHeight="1" x14ac:dyDescent="0.25">
      <c r="B56" s="1077" t="s">
        <v>237</v>
      </c>
      <c r="C56" s="1078"/>
      <c r="D56" s="1078"/>
      <c r="E56" s="1079"/>
      <c r="F56" s="162"/>
      <c r="G56" s="686"/>
      <c r="H56" s="686"/>
      <c r="I56" s="686"/>
      <c r="J56" s="686"/>
      <c r="L56" s="686"/>
    </row>
    <row r="57" spans="2:12" ht="28.5" customHeight="1" x14ac:dyDescent="0.25">
      <c r="B57" s="1068" t="str">
        <f>"per 31/12/"&amp;$G$13</f>
        <v>per 31/12/2017</v>
      </c>
      <c r="C57" s="1069"/>
      <c r="D57" s="1069"/>
      <c r="E57" s="1070"/>
      <c r="F57" s="162"/>
      <c r="G57" s="684"/>
      <c r="H57" s="684"/>
      <c r="I57" s="684"/>
      <c r="J57" s="684"/>
      <c r="L57" s="679">
        <f>SUM(G57:J57)</f>
        <v>0</v>
      </c>
    </row>
    <row r="58" spans="2:12" ht="28.5" customHeight="1" x14ac:dyDescent="0.25">
      <c r="B58" s="1068" t="str">
        <f>"per 31/12/"&amp;$H$13</f>
        <v>per 31/12/2018</v>
      </c>
      <c r="C58" s="1069"/>
      <c r="D58" s="1069"/>
      <c r="E58" s="1070"/>
      <c r="F58" s="162"/>
      <c r="G58" s="909">
        <f>J305</f>
        <v>0</v>
      </c>
      <c r="H58" s="909"/>
      <c r="I58" s="909"/>
      <c r="J58" s="684"/>
      <c r="L58" s="679">
        <f>SUM(G58:J58)</f>
        <v>0</v>
      </c>
    </row>
    <row r="59" spans="2:12" ht="28.5" customHeight="1" x14ac:dyDescent="0.25">
      <c r="B59" s="1068" t="str">
        <f>"per 31/12/"&amp;$I$13</f>
        <v>per 31/12/2019</v>
      </c>
      <c r="C59" s="1069"/>
      <c r="D59" s="1069"/>
      <c r="E59" s="1070"/>
      <c r="F59" s="162"/>
      <c r="G59" s="909">
        <f>L310</f>
        <v>0</v>
      </c>
      <c r="H59" s="909">
        <f>L311</f>
        <v>0</v>
      </c>
      <c r="I59" s="909"/>
      <c r="J59" s="684"/>
      <c r="L59" s="679">
        <f>SUM(G59:J59)</f>
        <v>0</v>
      </c>
    </row>
    <row r="60" spans="2:12" ht="28.5" customHeight="1" x14ac:dyDescent="0.25">
      <c r="B60" s="1068" t="str">
        <f>"per 31/12/"&amp;$J$13</f>
        <v>per 31/12/2020</v>
      </c>
      <c r="C60" s="1069"/>
      <c r="D60" s="1069"/>
      <c r="E60" s="1070"/>
      <c r="F60" s="162"/>
      <c r="G60" s="909">
        <f>L317</f>
        <v>0</v>
      </c>
      <c r="H60" s="909">
        <f>L318</f>
        <v>0</v>
      </c>
      <c r="I60" s="909">
        <f>L319</f>
        <v>0</v>
      </c>
      <c r="J60" s="684"/>
      <c r="L60" s="679">
        <f>SUM(G60:J60)</f>
        <v>0</v>
      </c>
    </row>
    <row r="61" spans="2:12" ht="33.75" customHeight="1" x14ac:dyDescent="0.25">
      <c r="B61" s="1077" t="s">
        <v>287</v>
      </c>
      <c r="C61" s="1078"/>
      <c r="D61" s="1078"/>
      <c r="E61" s="1079"/>
      <c r="F61" s="162"/>
      <c r="G61" s="686"/>
      <c r="H61" s="686"/>
      <c r="I61" s="686"/>
      <c r="J61" s="686"/>
      <c r="L61" s="686"/>
    </row>
    <row r="62" spans="2:12" ht="28.5" customHeight="1" x14ac:dyDescent="0.25">
      <c r="B62" s="1068" t="str">
        <f>"per 31/12/"&amp;$G$13</f>
        <v>per 31/12/2017</v>
      </c>
      <c r="C62" s="1069"/>
      <c r="D62" s="1069"/>
      <c r="E62" s="1070"/>
      <c r="F62" s="162"/>
      <c r="G62" s="684"/>
      <c r="H62" s="684"/>
      <c r="I62" s="684"/>
      <c r="J62" s="684"/>
      <c r="L62" s="679">
        <f>SUM(G62:J62)</f>
        <v>0</v>
      </c>
    </row>
    <row r="63" spans="2:12" ht="28.5" customHeight="1" x14ac:dyDescent="0.25">
      <c r="B63" s="1068" t="str">
        <f>"per 31/12/"&amp;$H$13</f>
        <v>per 31/12/2018</v>
      </c>
      <c r="C63" s="1069"/>
      <c r="D63" s="1069"/>
      <c r="E63" s="1070"/>
      <c r="F63" s="162"/>
      <c r="G63" s="909">
        <f>J335</f>
        <v>0</v>
      </c>
      <c r="H63" s="909"/>
      <c r="I63" s="909"/>
      <c r="J63" s="684"/>
      <c r="L63" s="679">
        <f>SUM(G63:J63)</f>
        <v>0</v>
      </c>
    </row>
    <row r="64" spans="2:12" ht="28.5" customHeight="1" x14ac:dyDescent="0.25">
      <c r="B64" s="1068" t="str">
        <f>"per 31/12/"&amp;$I$13</f>
        <v>per 31/12/2019</v>
      </c>
      <c r="C64" s="1069"/>
      <c r="D64" s="1069"/>
      <c r="E64" s="1070"/>
      <c r="F64" s="162"/>
      <c r="G64" s="909">
        <f>L340</f>
        <v>0</v>
      </c>
      <c r="H64" s="909">
        <f>L341</f>
        <v>0</v>
      </c>
      <c r="I64" s="909"/>
      <c r="J64" s="684"/>
      <c r="L64" s="679">
        <f>SUM(G64:J64)</f>
        <v>0</v>
      </c>
    </row>
    <row r="65" spans="1:12" ht="28.5" customHeight="1" x14ac:dyDescent="0.25">
      <c r="B65" s="1068" t="str">
        <f>"per 31/12/"&amp;$J$13</f>
        <v>per 31/12/2020</v>
      </c>
      <c r="C65" s="1069"/>
      <c r="D65" s="1069"/>
      <c r="E65" s="1070"/>
      <c r="F65" s="162"/>
      <c r="G65" s="909">
        <f>L347</f>
        <v>0</v>
      </c>
      <c r="H65" s="909">
        <f>L348</f>
        <v>0</v>
      </c>
      <c r="I65" s="909">
        <f>L349</f>
        <v>0</v>
      </c>
      <c r="J65" s="684"/>
      <c r="L65" s="679">
        <f>SUM(G65:J65)</f>
        <v>0</v>
      </c>
    </row>
    <row r="66" spans="1:12" ht="33" customHeight="1" x14ac:dyDescent="0.25">
      <c r="B66" s="1074" t="s">
        <v>134</v>
      </c>
      <c r="C66" s="1075"/>
      <c r="D66" s="1075"/>
      <c r="E66" s="1076"/>
      <c r="F66" s="162"/>
      <c r="G66" s="686"/>
      <c r="H66" s="686"/>
      <c r="I66" s="686"/>
      <c r="J66" s="686"/>
      <c r="L66" s="686"/>
    </row>
    <row r="67" spans="1:12" ht="28.5" customHeight="1" x14ac:dyDescent="0.25">
      <c r="B67" s="1068" t="str">
        <f>"per 31/12/"&amp;$G$13</f>
        <v>per 31/12/2017</v>
      </c>
      <c r="C67" s="1069"/>
      <c r="D67" s="1069"/>
      <c r="E67" s="1070"/>
      <c r="F67" s="162"/>
      <c r="G67" s="684"/>
      <c r="H67" s="684"/>
      <c r="I67" s="684"/>
      <c r="J67" s="684"/>
      <c r="L67" s="679">
        <f>SUM(G67:J67)</f>
        <v>0</v>
      </c>
    </row>
    <row r="68" spans="1:12" ht="28.5" customHeight="1" x14ac:dyDescent="0.25">
      <c r="B68" s="1068" t="str">
        <f>"per 31/12/"&amp;$H$13</f>
        <v>per 31/12/2018</v>
      </c>
      <c r="C68" s="1069"/>
      <c r="D68" s="1069"/>
      <c r="E68" s="1070"/>
      <c r="F68" s="162"/>
      <c r="G68" s="909">
        <f>J365</f>
        <v>0</v>
      </c>
      <c r="H68" s="909"/>
      <c r="I68" s="909"/>
      <c r="J68" s="684"/>
      <c r="L68" s="679">
        <f>SUM(G68:J68)</f>
        <v>0</v>
      </c>
    </row>
    <row r="69" spans="1:12" ht="28.5" customHeight="1" x14ac:dyDescent="0.25">
      <c r="B69" s="1068" t="str">
        <f>"per 31/12/"&amp;$I$13</f>
        <v>per 31/12/2019</v>
      </c>
      <c r="C69" s="1069"/>
      <c r="D69" s="1069"/>
      <c r="E69" s="1070"/>
      <c r="F69" s="162"/>
      <c r="G69" s="909">
        <f>L370</f>
        <v>0</v>
      </c>
      <c r="H69" s="909">
        <f>L371</f>
        <v>0</v>
      </c>
      <c r="I69" s="909"/>
      <c r="J69" s="684"/>
      <c r="L69" s="679">
        <f>SUM(G69:J69)</f>
        <v>0</v>
      </c>
    </row>
    <row r="70" spans="1:12" ht="28.5" customHeight="1" x14ac:dyDescent="0.25">
      <c r="B70" s="1068" t="str">
        <f>"per 31/12/"&amp;$J$13</f>
        <v>per 31/12/2020</v>
      </c>
      <c r="C70" s="1069"/>
      <c r="D70" s="1069"/>
      <c r="E70" s="1070"/>
      <c r="F70" s="162"/>
      <c r="G70" s="909">
        <f>L377</f>
        <v>0</v>
      </c>
      <c r="H70" s="909">
        <f>L378</f>
        <v>0</v>
      </c>
      <c r="I70" s="909">
        <f>L379</f>
        <v>0</v>
      </c>
      <c r="J70" s="684"/>
      <c r="L70" s="679">
        <f>SUM(G70:J70)</f>
        <v>0</v>
      </c>
    </row>
    <row r="71" spans="1:12" x14ac:dyDescent="0.25">
      <c r="G71" s="680"/>
      <c r="H71" s="680"/>
      <c r="I71" s="680"/>
      <c r="J71" s="680"/>
      <c r="L71" s="680"/>
    </row>
    <row r="72" spans="1:12" s="381" customFormat="1" ht="13" x14ac:dyDescent="0.3">
      <c r="B72" s="1168"/>
      <c r="C72" s="1168"/>
      <c r="D72" s="1168"/>
      <c r="E72" s="1168"/>
      <c r="G72" s="675">
        <v>2017</v>
      </c>
      <c r="H72" s="675">
        <f>+G72+1</f>
        <v>2018</v>
      </c>
      <c r="I72" s="675">
        <f>+H72+1</f>
        <v>2019</v>
      </c>
      <c r="J72" s="675">
        <f>+I72+1</f>
        <v>2020</v>
      </c>
      <c r="K72" s="610"/>
      <c r="L72" s="675" t="s">
        <v>31</v>
      </c>
    </row>
    <row r="73" spans="1:12" s="682" customFormat="1" ht="26.25" customHeight="1" x14ac:dyDescent="0.25">
      <c r="B73" s="1071" t="s">
        <v>337</v>
      </c>
      <c r="C73" s="1072"/>
      <c r="D73" s="1072"/>
      <c r="E73" s="1073"/>
      <c r="F73" s="699"/>
      <c r="G73" s="696"/>
      <c r="H73" s="696"/>
      <c r="I73" s="696"/>
      <c r="J73" s="696"/>
      <c r="K73" s="610"/>
      <c r="L73" s="696"/>
    </row>
    <row r="74" spans="1:12" ht="28.5" customHeight="1" x14ac:dyDescent="0.25">
      <c r="A74" s="394">
        <v>2017</v>
      </c>
      <c r="B74" s="1063" t="str">
        <f>"per 31/12/"&amp;$G$13</f>
        <v>per 31/12/2017</v>
      </c>
      <c r="C74" s="1064"/>
      <c r="D74" s="1064"/>
      <c r="E74" s="1065"/>
      <c r="F74" s="697"/>
      <c r="G74" s="698"/>
      <c r="H74" s="698"/>
      <c r="I74" s="698"/>
      <c r="J74" s="698"/>
      <c r="L74" s="698">
        <f>SUM(L32,L37,L42,L47,L52,L57,L62,L67)</f>
        <v>0</v>
      </c>
    </row>
    <row r="75" spans="1:12" ht="28.5" customHeight="1" x14ac:dyDescent="0.25">
      <c r="A75" s="394">
        <v>2018</v>
      </c>
      <c r="B75" s="1063" t="str">
        <f>"per 31/12/"&amp;$H$13</f>
        <v>per 31/12/2018</v>
      </c>
      <c r="C75" s="1064"/>
      <c r="D75" s="1064"/>
      <c r="E75" s="1065"/>
      <c r="F75" s="697"/>
      <c r="G75" s="698">
        <f>SUM(G33,G38,G43,G48,G53,G58,G63,G68)</f>
        <v>0</v>
      </c>
      <c r="H75" s="698"/>
      <c r="I75" s="698"/>
      <c r="J75" s="698"/>
      <c r="L75" s="698">
        <f>SUM(L33,L38,L43,L48,L53,L58,L63,L68)</f>
        <v>0</v>
      </c>
    </row>
    <row r="76" spans="1:12" ht="28.5" customHeight="1" x14ac:dyDescent="0.25">
      <c r="A76" s="394">
        <v>2019</v>
      </c>
      <c r="B76" s="1063" t="str">
        <f>"per 31/12/"&amp;$I$13</f>
        <v>per 31/12/2019</v>
      </c>
      <c r="C76" s="1064"/>
      <c r="D76" s="1064"/>
      <c r="E76" s="1065"/>
      <c r="F76" s="697"/>
      <c r="G76" s="698">
        <f>SUM(G34,G39,G44,G49,G54,G59,G64,G69)</f>
        <v>0</v>
      </c>
      <c r="H76" s="698">
        <f>SUM(H34,H39,H44,H49,H54,H59,H64,H69)</f>
        <v>0</v>
      </c>
      <c r="I76" s="698"/>
      <c r="J76" s="698"/>
      <c r="L76" s="698">
        <f>SUM(L34,L39,L44,L49,L54,L59,L64,L69)</f>
        <v>0</v>
      </c>
    </row>
    <row r="77" spans="1:12" ht="28.5" customHeight="1" x14ac:dyDescent="0.25">
      <c r="A77" s="394">
        <v>2020</v>
      </c>
      <c r="B77" s="1063" t="str">
        <f>"per 31/12/"&amp;$J$13</f>
        <v>per 31/12/2020</v>
      </c>
      <c r="C77" s="1064"/>
      <c r="D77" s="1064"/>
      <c r="E77" s="1065"/>
      <c r="F77" s="697"/>
      <c r="G77" s="698">
        <f>SUM(G35,G40,G45,G50,G55,G60,G65,G70)</f>
        <v>0</v>
      </c>
      <c r="H77" s="698">
        <f>SUM(H35,H40,H45,H50,H55,H60,H65,H70)</f>
        <v>0</v>
      </c>
      <c r="I77" s="698">
        <f>SUM(I35,I40,I45,I50,I55,I60,I65,I70)</f>
        <v>0</v>
      </c>
      <c r="J77" s="698"/>
      <c r="L77" s="698">
        <f>SUM(L35,L40,L45,L50,L55,L60,L65,L70)</f>
        <v>0</v>
      </c>
    </row>
    <row r="78" spans="1:12" s="381" customFormat="1" ht="13" x14ac:dyDescent="0.3">
      <c r="B78" s="1066" t="s">
        <v>268</v>
      </c>
      <c r="C78" s="1066"/>
      <c r="D78" s="1066"/>
      <c r="E78" s="1066"/>
      <c r="G78" s="913">
        <f>(VLOOKUP($D$2,$A$74:$G$77,7,FALSE)+IF($A$74&lt;$D$2,G74,0)+IF($A$75&lt;$D$2,G75,0)+IF($A$76&lt;$D$2,G76,0)+IF($A$77&lt;$D$2,G77,0))-T6A!C90</f>
        <v>0</v>
      </c>
      <c r="H78" s="913">
        <f>(VLOOKUP($D$2,$A$74:$H$77,8,FALSE)+IF($A$74&lt;$D$2,H74,0)+IF($A$75&lt;$D$2,H75,0)+IF($A$76&lt;$D$2,H76,0)+IF($A$77&lt;$D$2,H77,0))-T6A!D90</f>
        <v>0</v>
      </c>
      <c r="I78" s="913">
        <f>(VLOOKUP($D$2,$A$74:$I$77,9,FALSE)+IF($A$74&lt;$D$2,I74,0)+IF($A$75&lt;$D$2,I75,0)+IF($A$76&lt;$D$2,I76,0)+IF($A$77&lt;$D$2,I77,0))-T6A!E90</f>
        <v>0</v>
      </c>
      <c r="J78" s="694"/>
      <c r="K78" s="610"/>
      <c r="L78" s="694">
        <f>(VLOOKUP($D$2,A74:L77,12,FALSE))-T6A!H90</f>
        <v>0</v>
      </c>
    </row>
    <row r="80" spans="1:12" ht="13" x14ac:dyDescent="0.3">
      <c r="G80" s="434" t="s">
        <v>338</v>
      </c>
    </row>
    <row r="81" spans="2:12" ht="13" x14ac:dyDescent="0.3">
      <c r="G81" s="197" t="s">
        <v>263</v>
      </c>
    </row>
    <row r="82" spans="2:12" s="48" customFormat="1" ht="69.75" customHeight="1" x14ac:dyDescent="0.25">
      <c r="B82" s="1060" t="s">
        <v>267</v>
      </c>
      <c r="C82" s="1061"/>
      <c r="D82" s="1061"/>
      <c r="E82" s="1062"/>
      <c r="F82" s="599"/>
      <c r="G82" s="675">
        <v>2017</v>
      </c>
      <c r="H82" s="675">
        <f>+G82+1</f>
        <v>2018</v>
      </c>
      <c r="I82" s="675">
        <f>+H82+1</f>
        <v>2019</v>
      </c>
      <c r="J82" s="675">
        <f>+I82+1</f>
        <v>2020</v>
      </c>
      <c r="K82" s="610"/>
      <c r="L82" s="675" t="s">
        <v>31</v>
      </c>
    </row>
    <row r="83" spans="2:12" s="130" customFormat="1" ht="12" customHeight="1" x14ac:dyDescent="0.25">
      <c r="B83" s="600"/>
      <c r="C83" s="600"/>
      <c r="D83" s="600"/>
      <c r="E83" s="600"/>
      <c r="F83" s="601"/>
      <c r="G83" s="602"/>
      <c r="H83" s="603"/>
      <c r="I83" s="603"/>
      <c r="J83" s="604"/>
      <c r="K83" s="610"/>
      <c r="L83" s="604"/>
    </row>
    <row r="84" spans="2:12" ht="36" customHeight="1" x14ac:dyDescent="0.25">
      <c r="B84" s="1077" t="s">
        <v>131</v>
      </c>
      <c r="C84" s="1078"/>
      <c r="D84" s="1078"/>
      <c r="E84" s="1079"/>
      <c r="F84" s="162"/>
      <c r="G84" s="686"/>
      <c r="H84" s="686"/>
      <c r="I84" s="686"/>
      <c r="J84" s="686"/>
      <c r="K84" s="394"/>
      <c r="L84" s="686"/>
    </row>
    <row r="85" spans="2:12" ht="28.5" customHeight="1" x14ac:dyDescent="0.25">
      <c r="B85" s="1068" t="str">
        <f>"per 31/12/"&amp;$G$13</f>
        <v>per 31/12/2017</v>
      </c>
      <c r="C85" s="1069"/>
      <c r="D85" s="1069"/>
      <c r="E85" s="1070"/>
      <c r="F85" s="162"/>
      <c r="G85" s="687">
        <f>+G$15+G32</f>
        <v>0</v>
      </c>
      <c r="H85" s="684"/>
      <c r="I85" s="684"/>
      <c r="J85" s="684"/>
      <c r="K85" s="394">
        <v>2018</v>
      </c>
      <c r="L85" s="855">
        <f>SUM(G85:J85)</f>
        <v>0</v>
      </c>
    </row>
    <row r="86" spans="2:12" ht="28.5" customHeight="1" x14ac:dyDescent="0.25">
      <c r="B86" s="1068" t="str">
        <f>"per 31/12/"&amp;$H$13</f>
        <v>per 31/12/2018</v>
      </c>
      <c r="C86" s="1069"/>
      <c r="D86" s="1069"/>
      <c r="E86" s="1070"/>
      <c r="F86" s="162"/>
      <c r="G86" s="687">
        <f>+G85+G33</f>
        <v>0</v>
      </c>
      <c r="H86" s="684">
        <f>+$H$15+H33</f>
        <v>0</v>
      </c>
      <c r="I86" s="684"/>
      <c r="J86" s="684"/>
      <c r="K86" s="394">
        <v>2019</v>
      </c>
      <c r="L86" s="855">
        <f>SUM(G86:J86)</f>
        <v>0</v>
      </c>
    </row>
    <row r="87" spans="2:12" ht="28.5" customHeight="1" x14ac:dyDescent="0.25">
      <c r="B87" s="1068" t="str">
        <f>"per 31/12/"&amp;$I$13</f>
        <v>per 31/12/2019</v>
      </c>
      <c r="C87" s="1069"/>
      <c r="D87" s="1069"/>
      <c r="E87" s="1070"/>
      <c r="F87" s="162"/>
      <c r="G87" s="687">
        <f>+G86+G34</f>
        <v>0</v>
      </c>
      <c r="H87" s="684">
        <f>+H86+H34</f>
        <v>0</v>
      </c>
      <c r="I87" s="684">
        <f>+$I$15+I34</f>
        <v>0</v>
      </c>
      <c r="J87" s="684"/>
      <c r="K87" s="394">
        <v>2020</v>
      </c>
      <c r="L87" s="855">
        <f>SUM(G87:J87)</f>
        <v>0</v>
      </c>
    </row>
    <row r="88" spans="2:12" ht="28.5" customHeight="1" x14ac:dyDescent="0.25">
      <c r="B88" s="1068" t="str">
        <f>"per 31/12/"&amp;$J$13</f>
        <v>per 31/12/2020</v>
      </c>
      <c r="C88" s="1069"/>
      <c r="D88" s="1069"/>
      <c r="E88" s="1070"/>
      <c r="F88" s="162"/>
      <c r="G88" s="687">
        <f>+G87+G35</f>
        <v>0</v>
      </c>
      <c r="H88" s="684">
        <f>+H87+H35</f>
        <v>0</v>
      </c>
      <c r="I88" s="684">
        <f>+I87+I35</f>
        <v>0</v>
      </c>
      <c r="J88" s="684">
        <f>+$J$15+J35</f>
        <v>0</v>
      </c>
      <c r="K88" s="394">
        <v>2021</v>
      </c>
      <c r="L88" s="855">
        <f>SUM(G88:J88)</f>
        <v>0</v>
      </c>
    </row>
    <row r="89" spans="2:12" ht="27.75" customHeight="1" x14ac:dyDescent="0.25">
      <c r="B89" s="1077" t="s">
        <v>132</v>
      </c>
      <c r="C89" s="1078"/>
      <c r="D89" s="1078"/>
      <c r="E89" s="1079"/>
      <c r="F89" s="162"/>
      <c r="G89" s="686"/>
      <c r="H89" s="686"/>
      <c r="I89" s="686"/>
      <c r="J89" s="686"/>
      <c r="K89" s="394"/>
      <c r="L89" s="686"/>
    </row>
    <row r="90" spans="2:12" ht="28.5" customHeight="1" x14ac:dyDescent="0.25">
      <c r="B90" s="1068" t="str">
        <f>"per 31/12/"&amp;$G$13</f>
        <v>per 31/12/2017</v>
      </c>
      <c r="C90" s="1069"/>
      <c r="D90" s="1069"/>
      <c r="E90" s="1070"/>
      <c r="F90" s="162"/>
      <c r="G90" s="687">
        <f>+$G$16+G37</f>
        <v>0</v>
      </c>
      <c r="H90" s="684"/>
      <c r="I90" s="684"/>
      <c r="J90" s="684"/>
      <c r="K90" s="394">
        <v>2018</v>
      </c>
      <c r="L90" s="855">
        <f>SUM(G90:J90)</f>
        <v>0</v>
      </c>
    </row>
    <row r="91" spans="2:12" ht="28.5" customHeight="1" x14ac:dyDescent="0.25">
      <c r="B91" s="1068" t="str">
        <f>"per 31/12/"&amp;$H$13</f>
        <v>per 31/12/2018</v>
      </c>
      <c r="C91" s="1069"/>
      <c r="D91" s="1069"/>
      <c r="E91" s="1070"/>
      <c r="F91" s="162"/>
      <c r="G91" s="687">
        <f>+G90+G38</f>
        <v>0</v>
      </c>
      <c r="H91" s="684">
        <f>+$H$16+H38</f>
        <v>0</v>
      </c>
      <c r="I91" s="684"/>
      <c r="J91" s="684"/>
      <c r="K91" s="394">
        <v>2019</v>
      </c>
      <c r="L91" s="855">
        <f>SUM(G91:J91)</f>
        <v>0</v>
      </c>
    </row>
    <row r="92" spans="2:12" ht="28.5" customHeight="1" x14ac:dyDescent="0.25">
      <c r="B92" s="1068" t="str">
        <f>"per 31/12/"&amp;$I$13</f>
        <v>per 31/12/2019</v>
      </c>
      <c r="C92" s="1069"/>
      <c r="D92" s="1069"/>
      <c r="E92" s="1070"/>
      <c r="F92" s="162"/>
      <c r="G92" s="687">
        <f>+G91+G39</f>
        <v>0</v>
      </c>
      <c r="H92" s="684">
        <f>+H91+H39</f>
        <v>0</v>
      </c>
      <c r="I92" s="684">
        <f>+$I$16+I39</f>
        <v>0</v>
      </c>
      <c r="J92" s="684"/>
      <c r="K92" s="394">
        <v>2020</v>
      </c>
      <c r="L92" s="855">
        <f>SUM(G92:J92)</f>
        <v>0</v>
      </c>
    </row>
    <row r="93" spans="2:12" ht="28.5" customHeight="1" x14ac:dyDescent="0.25">
      <c r="B93" s="1068" t="str">
        <f>"per 31/12/"&amp;$J$13</f>
        <v>per 31/12/2020</v>
      </c>
      <c r="C93" s="1069"/>
      <c r="D93" s="1069"/>
      <c r="E93" s="1070"/>
      <c r="F93" s="162"/>
      <c r="G93" s="687">
        <f>+G92+G40</f>
        <v>0</v>
      </c>
      <c r="H93" s="684">
        <f>+H92+H40</f>
        <v>0</v>
      </c>
      <c r="I93" s="684">
        <f>+I92+I40</f>
        <v>0</v>
      </c>
      <c r="J93" s="684">
        <f>+$J$16+J40</f>
        <v>0</v>
      </c>
      <c r="K93" s="394">
        <v>2021</v>
      </c>
      <c r="L93" s="855">
        <f>SUM(G93:J93)</f>
        <v>0</v>
      </c>
    </row>
    <row r="94" spans="2:12" ht="30" customHeight="1" x14ac:dyDescent="0.25">
      <c r="B94" s="1077" t="s">
        <v>138</v>
      </c>
      <c r="C94" s="1078"/>
      <c r="D94" s="1078"/>
      <c r="E94" s="1079"/>
      <c r="F94" s="162"/>
      <c r="G94" s="686"/>
      <c r="H94" s="686"/>
      <c r="I94" s="686"/>
      <c r="J94" s="686"/>
      <c r="K94" s="394"/>
      <c r="L94" s="686"/>
    </row>
    <row r="95" spans="2:12" ht="28.5" customHeight="1" x14ac:dyDescent="0.25">
      <c r="B95" s="1068" t="str">
        <f>"per 31/12/"&amp;$G$13</f>
        <v>per 31/12/2017</v>
      </c>
      <c r="C95" s="1069"/>
      <c r="D95" s="1069"/>
      <c r="E95" s="1070"/>
      <c r="F95" s="162"/>
      <c r="G95" s="687">
        <f>+$G$17+G42</f>
        <v>0</v>
      </c>
      <c r="H95" s="684"/>
      <c r="I95" s="684"/>
      <c r="J95" s="684"/>
      <c r="K95" s="394">
        <v>2018</v>
      </c>
      <c r="L95" s="855">
        <f>SUM(G95:J95)</f>
        <v>0</v>
      </c>
    </row>
    <row r="96" spans="2:12" ht="28.5" customHeight="1" x14ac:dyDescent="0.25">
      <c r="B96" s="1068" t="str">
        <f>"per 31/12/"&amp;$H$13</f>
        <v>per 31/12/2018</v>
      </c>
      <c r="C96" s="1069"/>
      <c r="D96" s="1069"/>
      <c r="E96" s="1070"/>
      <c r="F96" s="162"/>
      <c r="G96" s="687">
        <f>+G95+G43</f>
        <v>0</v>
      </c>
      <c r="H96" s="684">
        <f>+$H$17+H43</f>
        <v>0</v>
      </c>
      <c r="I96" s="684"/>
      <c r="J96" s="684"/>
      <c r="K96" s="394">
        <v>2019</v>
      </c>
      <c r="L96" s="855">
        <f>SUM(G96:J96)</f>
        <v>0</v>
      </c>
    </row>
    <row r="97" spans="2:12" ht="28.5" customHeight="1" x14ac:dyDescent="0.25">
      <c r="B97" s="1068" t="str">
        <f>"per 31/12/"&amp;$I$13</f>
        <v>per 31/12/2019</v>
      </c>
      <c r="C97" s="1069"/>
      <c r="D97" s="1069"/>
      <c r="E97" s="1070"/>
      <c r="F97" s="162"/>
      <c r="G97" s="687">
        <f>+G96+G44</f>
        <v>0</v>
      </c>
      <c r="H97" s="684">
        <f>+H96+H44</f>
        <v>0</v>
      </c>
      <c r="I97" s="684">
        <f>+$I$17+I44</f>
        <v>0</v>
      </c>
      <c r="J97" s="684"/>
      <c r="K97" s="394">
        <v>2020</v>
      </c>
      <c r="L97" s="855">
        <f>SUM(G97:J97)</f>
        <v>0</v>
      </c>
    </row>
    <row r="98" spans="2:12" ht="28.5" customHeight="1" x14ac:dyDescent="0.25">
      <c r="B98" s="1068" t="str">
        <f>"per 31/12/"&amp;$J$13</f>
        <v>per 31/12/2020</v>
      </c>
      <c r="C98" s="1069"/>
      <c r="D98" s="1069"/>
      <c r="E98" s="1070"/>
      <c r="F98" s="162"/>
      <c r="G98" s="687">
        <f>+G97+G45</f>
        <v>0</v>
      </c>
      <c r="H98" s="684">
        <f>+H97+H45</f>
        <v>0</v>
      </c>
      <c r="I98" s="684">
        <f>+I97+I45</f>
        <v>0</v>
      </c>
      <c r="J98" s="684">
        <f>+$J$17+J45</f>
        <v>0</v>
      </c>
      <c r="K98" s="394">
        <v>2021</v>
      </c>
      <c r="L98" s="855">
        <f>SUM(G98:J98)</f>
        <v>0</v>
      </c>
    </row>
    <row r="99" spans="2:12" ht="30" customHeight="1" x14ac:dyDescent="0.25">
      <c r="B99" s="1077" t="s">
        <v>133</v>
      </c>
      <c r="C99" s="1078"/>
      <c r="D99" s="1078"/>
      <c r="E99" s="1079"/>
      <c r="F99" s="162"/>
      <c r="G99" s="686"/>
      <c r="H99" s="686"/>
      <c r="I99" s="686"/>
      <c r="J99" s="686"/>
      <c r="K99" s="394"/>
      <c r="L99" s="686"/>
    </row>
    <row r="100" spans="2:12" ht="28.5" customHeight="1" x14ac:dyDescent="0.25">
      <c r="B100" s="1068" t="str">
        <f>"per 31/12/"&amp;$G$13</f>
        <v>per 31/12/2017</v>
      </c>
      <c r="C100" s="1069"/>
      <c r="D100" s="1069"/>
      <c r="E100" s="1070"/>
      <c r="F100" s="162"/>
      <c r="G100" s="687">
        <f>+$G$18+G47</f>
        <v>0</v>
      </c>
      <c r="H100" s="684"/>
      <c r="I100" s="684"/>
      <c r="J100" s="684"/>
      <c r="K100" s="394">
        <v>2018</v>
      </c>
      <c r="L100" s="855">
        <f>SUM(G100:J100)</f>
        <v>0</v>
      </c>
    </row>
    <row r="101" spans="2:12" ht="28.5" customHeight="1" x14ac:dyDescent="0.25">
      <c r="B101" s="1068" t="str">
        <f>"per 31/12/"&amp;$H$13</f>
        <v>per 31/12/2018</v>
      </c>
      <c r="C101" s="1069"/>
      <c r="D101" s="1069"/>
      <c r="E101" s="1070"/>
      <c r="F101" s="162"/>
      <c r="G101" s="687">
        <f>+G100+G48</f>
        <v>0</v>
      </c>
      <c r="H101" s="684">
        <f>+$H$18+H48</f>
        <v>0</v>
      </c>
      <c r="I101" s="684"/>
      <c r="J101" s="684"/>
      <c r="K101" s="394">
        <v>2019</v>
      </c>
      <c r="L101" s="855">
        <f>SUM(G101:J101)</f>
        <v>0</v>
      </c>
    </row>
    <row r="102" spans="2:12" ht="28.5" customHeight="1" x14ac:dyDescent="0.25">
      <c r="B102" s="1068" t="str">
        <f>"per 31/12/"&amp;$I$13</f>
        <v>per 31/12/2019</v>
      </c>
      <c r="C102" s="1069"/>
      <c r="D102" s="1069"/>
      <c r="E102" s="1070"/>
      <c r="F102" s="162"/>
      <c r="G102" s="687">
        <f>+G101+G49</f>
        <v>0</v>
      </c>
      <c r="H102" s="684">
        <f>+H101+H49</f>
        <v>0</v>
      </c>
      <c r="I102" s="684">
        <f>+$I$18+I49</f>
        <v>0</v>
      </c>
      <c r="J102" s="684"/>
      <c r="K102" s="394">
        <v>2020</v>
      </c>
      <c r="L102" s="855">
        <f>SUM(G102:J102)</f>
        <v>0</v>
      </c>
    </row>
    <row r="103" spans="2:12" ht="28.5" customHeight="1" x14ac:dyDescent="0.25">
      <c r="B103" s="1068" t="str">
        <f>"per 31/12/"&amp;$J$13</f>
        <v>per 31/12/2020</v>
      </c>
      <c r="C103" s="1069"/>
      <c r="D103" s="1069"/>
      <c r="E103" s="1070"/>
      <c r="F103" s="162"/>
      <c r="G103" s="687">
        <f>+G102+G50</f>
        <v>0</v>
      </c>
      <c r="H103" s="684">
        <f>+H102+H50</f>
        <v>0</v>
      </c>
      <c r="I103" s="684">
        <f>+I102+I50</f>
        <v>0</v>
      </c>
      <c r="J103" s="684">
        <f>+$J$18+J50</f>
        <v>0</v>
      </c>
      <c r="K103" s="394">
        <v>2021</v>
      </c>
      <c r="L103" s="855">
        <f>SUM(G103:J103)</f>
        <v>0</v>
      </c>
    </row>
    <row r="104" spans="2:12" ht="27" customHeight="1" x14ac:dyDescent="0.25">
      <c r="B104" s="1080" t="s">
        <v>239</v>
      </c>
      <c r="C104" s="1080"/>
      <c r="D104" s="1080"/>
      <c r="E104" s="1080"/>
      <c r="F104" s="162"/>
      <c r="G104" s="686"/>
      <c r="H104" s="686"/>
      <c r="I104" s="686"/>
      <c r="J104" s="686"/>
      <c r="K104" s="394"/>
      <c r="L104" s="686"/>
    </row>
    <row r="105" spans="2:12" ht="28.5" customHeight="1" x14ac:dyDescent="0.25">
      <c r="B105" s="1068" t="str">
        <f>"per 31/12/"&amp;$G$13</f>
        <v>per 31/12/2017</v>
      </c>
      <c r="C105" s="1069"/>
      <c r="D105" s="1069"/>
      <c r="E105" s="1070"/>
      <c r="F105" s="162"/>
      <c r="G105" s="687">
        <f>+$G$19+G52</f>
        <v>0</v>
      </c>
      <c r="H105" s="684"/>
      <c r="I105" s="684"/>
      <c r="J105" s="684"/>
      <c r="K105" s="394">
        <v>2018</v>
      </c>
      <c r="L105" s="855">
        <f>SUM(G105:J105)</f>
        <v>0</v>
      </c>
    </row>
    <row r="106" spans="2:12" ht="28.5" customHeight="1" x14ac:dyDescent="0.25">
      <c r="B106" s="1068" t="str">
        <f>"per 31/12/"&amp;$H$13</f>
        <v>per 31/12/2018</v>
      </c>
      <c r="C106" s="1069"/>
      <c r="D106" s="1069"/>
      <c r="E106" s="1070"/>
      <c r="F106" s="162"/>
      <c r="G106" s="687">
        <f>+G105+G53</f>
        <v>0</v>
      </c>
      <c r="H106" s="684">
        <f>+$H$19+H53</f>
        <v>0</v>
      </c>
      <c r="I106" s="684"/>
      <c r="J106" s="684"/>
      <c r="K106" s="394">
        <v>2019</v>
      </c>
      <c r="L106" s="855">
        <f>SUM(G106:J106)</f>
        <v>0</v>
      </c>
    </row>
    <row r="107" spans="2:12" ht="28.5" customHeight="1" x14ac:dyDescent="0.25">
      <c r="B107" s="1068" t="str">
        <f>"per 31/12/"&amp;$I$13</f>
        <v>per 31/12/2019</v>
      </c>
      <c r="C107" s="1069"/>
      <c r="D107" s="1069"/>
      <c r="E107" s="1070"/>
      <c r="F107" s="162"/>
      <c r="G107" s="687">
        <f>+G106+G54</f>
        <v>0</v>
      </c>
      <c r="H107" s="684">
        <f>+H106+H54</f>
        <v>0</v>
      </c>
      <c r="I107" s="684">
        <f>+$I$19+I54</f>
        <v>0</v>
      </c>
      <c r="J107" s="684"/>
      <c r="K107" s="394">
        <v>2020</v>
      </c>
      <c r="L107" s="855">
        <f>SUM(G107:J107)</f>
        <v>0</v>
      </c>
    </row>
    <row r="108" spans="2:12" ht="28.5" customHeight="1" x14ac:dyDescent="0.25">
      <c r="B108" s="1068" t="str">
        <f>"per 31/12/"&amp;$J$13</f>
        <v>per 31/12/2020</v>
      </c>
      <c r="C108" s="1069"/>
      <c r="D108" s="1069"/>
      <c r="E108" s="1070"/>
      <c r="F108" s="162"/>
      <c r="G108" s="687">
        <f>+G107+G55</f>
        <v>0</v>
      </c>
      <c r="H108" s="684">
        <f>+H107+H55</f>
        <v>0</v>
      </c>
      <c r="I108" s="684">
        <f>+I107+I55</f>
        <v>0</v>
      </c>
      <c r="J108" s="684">
        <f>+$J$19+J55</f>
        <v>0</v>
      </c>
      <c r="K108" s="394">
        <v>2021</v>
      </c>
      <c r="L108" s="855">
        <f>SUM(G108:J108)</f>
        <v>0</v>
      </c>
    </row>
    <row r="109" spans="2:12" ht="26.25" customHeight="1" x14ac:dyDescent="0.25">
      <c r="B109" s="1077" t="s">
        <v>237</v>
      </c>
      <c r="C109" s="1078"/>
      <c r="D109" s="1078"/>
      <c r="E109" s="1079"/>
      <c r="F109" s="162"/>
      <c r="G109" s="686"/>
      <c r="H109" s="686"/>
      <c r="I109" s="686"/>
      <c r="J109" s="686"/>
      <c r="K109" s="394"/>
      <c r="L109" s="686"/>
    </row>
    <row r="110" spans="2:12" ht="28.5" customHeight="1" x14ac:dyDescent="0.25">
      <c r="B110" s="1068" t="str">
        <f>"per 31/12/"&amp;$G$13</f>
        <v>per 31/12/2017</v>
      </c>
      <c r="C110" s="1069"/>
      <c r="D110" s="1069"/>
      <c r="E110" s="1070"/>
      <c r="F110" s="162"/>
      <c r="G110" s="687">
        <f>+$G$20+G57</f>
        <v>0</v>
      </c>
      <c r="H110" s="684"/>
      <c r="I110" s="684"/>
      <c r="J110" s="684"/>
      <c r="K110" s="394">
        <v>2018</v>
      </c>
      <c r="L110" s="855">
        <f>SUM(G110:J110)</f>
        <v>0</v>
      </c>
    </row>
    <row r="111" spans="2:12" ht="28.5" customHeight="1" x14ac:dyDescent="0.25">
      <c r="B111" s="1068" t="str">
        <f>"per 31/12/"&amp;$H$13</f>
        <v>per 31/12/2018</v>
      </c>
      <c r="C111" s="1069"/>
      <c r="D111" s="1069"/>
      <c r="E111" s="1070"/>
      <c r="F111" s="162"/>
      <c r="G111" s="687">
        <f>+G110+G58</f>
        <v>0</v>
      </c>
      <c r="H111" s="684">
        <f>+$H$20+H58</f>
        <v>0</v>
      </c>
      <c r="I111" s="684"/>
      <c r="J111" s="684"/>
      <c r="K111" s="394">
        <v>2019</v>
      </c>
      <c r="L111" s="855">
        <f>SUM(G111:J111)</f>
        <v>0</v>
      </c>
    </row>
    <row r="112" spans="2:12" ht="28.5" customHeight="1" x14ac:dyDescent="0.25">
      <c r="B112" s="1068" t="str">
        <f>"per 31/12/"&amp;$I$13</f>
        <v>per 31/12/2019</v>
      </c>
      <c r="C112" s="1069"/>
      <c r="D112" s="1069"/>
      <c r="E112" s="1070"/>
      <c r="F112" s="162"/>
      <c r="G112" s="687">
        <f>+G111+G59</f>
        <v>0</v>
      </c>
      <c r="H112" s="684">
        <f>+H111+H59</f>
        <v>0</v>
      </c>
      <c r="I112" s="684">
        <f>+$I$20+I59</f>
        <v>0</v>
      </c>
      <c r="J112" s="684"/>
      <c r="K112" s="394">
        <v>2020</v>
      </c>
      <c r="L112" s="855">
        <f>SUM(G112:J112)</f>
        <v>0</v>
      </c>
    </row>
    <row r="113" spans="1:12" ht="28.5" customHeight="1" x14ac:dyDescent="0.25">
      <c r="B113" s="1068" t="str">
        <f>"per 31/12/"&amp;$J$13</f>
        <v>per 31/12/2020</v>
      </c>
      <c r="C113" s="1069"/>
      <c r="D113" s="1069"/>
      <c r="E113" s="1070"/>
      <c r="F113" s="162"/>
      <c r="G113" s="687">
        <f>+G112+G60</f>
        <v>0</v>
      </c>
      <c r="H113" s="684">
        <f>+H112+H60</f>
        <v>0</v>
      </c>
      <c r="I113" s="684">
        <f>+I112+I60</f>
        <v>0</v>
      </c>
      <c r="J113" s="684">
        <f>+$J$20+J60</f>
        <v>0</v>
      </c>
      <c r="K113" s="394">
        <v>2021</v>
      </c>
      <c r="L113" s="855">
        <f>SUM(G113:J113)</f>
        <v>0</v>
      </c>
    </row>
    <row r="114" spans="1:12" ht="30" customHeight="1" x14ac:dyDescent="0.25">
      <c r="B114" s="1077" t="s">
        <v>287</v>
      </c>
      <c r="C114" s="1078"/>
      <c r="D114" s="1078"/>
      <c r="E114" s="1079"/>
      <c r="F114" s="162"/>
      <c r="G114" s="686"/>
      <c r="H114" s="686"/>
      <c r="I114" s="686"/>
      <c r="J114" s="686"/>
      <c r="K114" s="394"/>
      <c r="L114" s="686"/>
    </row>
    <row r="115" spans="1:12" ht="28.5" customHeight="1" x14ac:dyDescent="0.25">
      <c r="B115" s="1068" t="str">
        <f>"per 31/12/"&amp;$G$13</f>
        <v>per 31/12/2017</v>
      </c>
      <c r="C115" s="1069"/>
      <c r="D115" s="1069"/>
      <c r="E115" s="1070"/>
      <c r="F115" s="162"/>
      <c r="G115" s="687">
        <f>+$G$21+G62</f>
        <v>0</v>
      </c>
      <c r="H115" s="684"/>
      <c r="I115" s="684"/>
      <c r="J115" s="684"/>
      <c r="K115" s="394">
        <v>2018</v>
      </c>
      <c r="L115" s="855">
        <f>SUM(G115:J115)</f>
        <v>0</v>
      </c>
    </row>
    <row r="116" spans="1:12" ht="28.5" customHeight="1" x14ac:dyDescent="0.25">
      <c r="B116" s="1068" t="str">
        <f>"per 31/12/"&amp;$H$13</f>
        <v>per 31/12/2018</v>
      </c>
      <c r="C116" s="1069"/>
      <c r="D116" s="1069"/>
      <c r="E116" s="1070"/>
      <c r="F116" s="162"/>
      <c r="G116" s="687">
        <f>+G115+G63</f>
        <v>0</v>
      </c>
      <c r="H116" s="684">
        <f>+$H$21+H63</f>
        <v>0</v>
      </c>
      <c r="I116" s="684"/>
      <c r="J116" s="684"/>
      <c r="K116" s="394">
        <v>2019</v>
      </c>
      <c r="L116" s="855">
        <f>SUM(G116:J116)</f>
        <v>0</v>
      </c>
    </row>
    <row r="117" spans="1:12" ht="28.5" customHeight="1" x14ac:dyDescent="0.25">
      <c r="B117" s="1068" t="str">
        <f>"per 31/12/"&amp;$I$13</f>
        <v>per 31/12/2019</v>
      </c>
      <c r="C117" s="1069"/>
      <c r="D117" s="1069"/>
      <c r="E117" s="1070"/>
      <c r="F117" s="162"/>
      <c r="G117" s="687">
        <f>+G116+G64</f>
        <v>0</v>
      </c>
      <c r="H117" s="684">
        <f>+H116+H64</f>
        <v>0</v>
      </c>
      <c r="I117" s="684">
        <f>+$I$21+I64</f>
        <v>0</v>
      </c>
      <c r="J117" s="684"/>
      <c r="K117" s="394">
        <v>2020</v>
      </c>
      <c r="L117" s="855">
        <f>SUM(G117:J117)</f>
        <v>0</v>
      </c>
    </row>
    <row r="118" spans="1:12" ht="28.5" customHeight="1" x14ac:dyDescent="0.25">
      <c r="B118" s="1068" t="str">
        <f>"per 31/12/"&amp;$J$13</f>
        <v>per 31/12/2020</v>
      </c>
      <c r="C118" s="1069"/>
      <c r="D118" s="1069"/>
      <c r="E118" s="1070"/>
      <c r="F118" s="162"/>
      <c r="G118" s="687">
        <f>+G117+G65</f>
        <v>0</v>
      </c>
      <c r="H118" s="684">
        <f>+H117+H65</f>
        <v>0</v>
      </c>
      <c r="I118" s="684">
        <f>+I117+I65</f>
        <v>0</v>
      </c>
      <c r="J118" s="684">
        <f>+$J$21+J65</f>
        <v>0</v>
      </c>
      <c r="K118" s="394">
        <v>2021</v>
      </c>
      <c r="L118" s="855">
        <f>SUM(G118:J118)</f>
        <v>0</v>
      </c>
    </row>
    <row r="119" spans="1:12" ht="33" customHeight="1" x14ac:dyDescent="0.25">
      <c r="B119" s="1074" t="s">
        <v>134</v>
      </c>
      <c r="C119" s="1075"/>
      <c r="D119" s="1075"/>
      <c r="E119" s="1076"/>
      <c r="F119" s="162"/>
      <c r="G119" s="686"/>
      <c r="H119" s="686"/>
      <c r="I119" s="686"/>
      <c r="J119" s="686"/>
      <c r="K119" s="394"/>
      <c r="L119" s="686"/>
    </row>
    <row r="120" spans="1:12" ht="28.5" customHeight="1" x14ac:dyDescent="0.25">
      <c r="B120" s="1068" t="str">
        <f>"per 31/12/"&amp;$G$13</f>
        <v>per 31/12/2017</v>
      </c>
      <c r="C120" s="1069"/>
      <c r="D120" s="1069"/>
      <c r="E120" s="1070"/>
      <c r="F120" s="162"/>
      <c r="G120" s="687">
        <f>+$G$22+G67</f>
        <v>0</v>
      </c>
      <c r="H120" s="684"/>
      <c r="I120" s="684"/>
      <c r="J120" s="684"/>
      <c r="K120" s="394">
        <v>2018</v>
      </c>
      <c r="L120" s="855">
        <f>SUM(G120:J120)</f>
        <v>0</v>
      </c>
    </row>
    <row r="121" spans="1:12" ht="28.5" customHeight="1" x14ac:dyDescent="0.25">
      <c r="B121" s="1068" t="str">
        <f>"per 31/12/"&amp;$H$13</f>
        <v>per 31/12/2018</v>
      </c>
      <c r="C121" s="1069"/>
      <c r="D121" s="1069"/>
      <c r="E121" s="1070"/>
      <c r="F121" s="162"/>
      <c r="G121" s="687">
        <f>+G120+G68</f>
        <v>0</v>
      </c>
      <c r="H121" s="684">
        <f>+$H$22+H68</f>
        <v>0</v>
      </c>
      <c r="I121" s="684"/>
      <c r="J121" s="684"/>
      <c r="K121" s="394">
        <v>2019</v>
      </c>
      <c r="L121" s="855">
        <f>SUM(G121:J121)</f>
        <v>0</v>
      </c>
    </row>
    <row r="122" spans="1:12" ht="28.5" customHeight="1" x14ac:dyDescent="0.25">
      <c r="B122" s="1068" t="str">
        <f>"per 31/12/"&amp;$I$13</f>
        <v>per 31/12/2019</v>
      </c>
      <c r="C122" s="1069"/>
      <c r="D122" s="1069"/>
      <c r="E122" s="1070"/>
      <c r="F122" s="162"/>
      <c r="G122" s="687">
        <f>+G121+G69</f>
        <v>0</v>
      </c>
      <c r="H122" s="684">
        <f>+H121+H69</f>
        <v>0</v>
      </c>
      <c r="I122" s="684">
        <f>+$I$22+I69</f>
        <v>0</v>
      </c>
      <c r="J122" s="684"/>
      <c r="K122" s="394">
        <v>2020</v>
      </c>
      <c r="L122" s="855">
        <f>SUM(G122:J122)</f>
        <v>0</v>
      </c>
    </row>
    <row r="123" spans="1:12" ht="28.5" customHeight="1" x14ac:dyDescent="0.25">
      <c r="B123" s="1068" t="str">
        <f>"per 31/12/"&amp;$J$13</f>
        <v>per 31/12/2020</v>
      </c>
      <c r="C123" s="1069"/>
      <c r="D123" s="1069"/>
      <c r="E123" s="1070"/>
      <c r="F123" s="162"/>
      <c r="G123" s="687">
        <f>+G122+G70</f>
        <v>0</v>
      </c>
      <c r="H123" s="684">
        <f>+H122+H70</f>
        <v>0</v>
      </c>
      <c r="I123" s="684">
        <f>+I122+I70</f>
        <v>0</v>
      </c>
      <c r="J123" s="684">
        <f>+$J$22+J70</f>
        <v>0</v>
      </c>
      <c r="K123" s="394">
        <v>2021</v>
      </c>
      <c r="L123" s="855">
        <f>SUM(G123:J123)</f>
        <v>0</v>
      </c>
    </row>
    <row r="124" spans="1:12" x14ac:dyDescent="0.25">
      <c r="G124" s="680"/>
      <c r="H124" s="680"/>
      <c r="I124" s="680"/>
      <c r="J124" s="680"/>
      <c r="K124" s="394"/>
      <c r="L124" s="680"/>
    </row>
    <row r="125" spans="1:12" s="381" customFormat="1" ht="13" x14ac:dyDescent="0.3">
      <c r="B125" s="1168"/>
      <c r="C125" s="1168"/>
      <c r="D125" s="1168"/>
      <c r="E125" s="1168"/>
      <c r="G125" s="675">
        <v>2017</v>
      </c>
      <c r="H125" s="675">
        <f>+G125+1</f>
        <v>2018</v>
      </c>
      <c r="I125" s="675">
        <f>+H125+1</f>
        <v>2019</v>
      </c>
      <c r="J125" s="675">
        <f>+I125+1</f>
        <v>2020</v>
      </c>
      <c r="K125" s="394"/>
      <c r="L125" s="675" t="s">
        <v>31</v>
      </c>
    </row>
    <row r="126" spans="1:12" s="685" customFormat="1" ht="20.25" customHeight="1" x14ac:dyDescent="0.25">
      <c r="B126" s="1071" t="s">
        <v>336</v>
      </c>
      <c r="C126" s="1072"/>
      <c r="D126" s="1072"/>
      <c r="E126" s="1073"/>
      <c r="F126" s="695"/>
      <c r="G126" s="696"/>
      <c r="H126" s="696"/>
      <c r="I126" s="696"/>
      <c r="J126" s="696"/>
      <c r="K126" s="394"/>
      <c r="L126" s="696"/>
    </row>
    <row r="127" spans="1:12" ht="28.5" customHeight="1" x14ac:dyDescent="0.25">
      <c r="A127" s="394">
        <v>2017</v>
      </c>
      <c r="B127" s="1063" t="str">
        <f>"per 31/12/"&amp;$G$13</f>
        <v>per 31/12/2017</v>
      </c>
      <c r="C127" s="1064"/>
      <c r="D127" s="1064"/>
      <c r="E127" s="1065"/>
      <c r="F127" s="697"/>
      <c r="G127" s="853">
        <f t="shared" ref="G127:J130" si="1">SUM(G85,G90,G95,G100,G105,G110,G115,G120)</f>
        <v>0</v>
      </c>
      <c r="H127" s="698"/>
      <c r="I127" s="698"/>
      <c r="J127" s="698"/>
      <c r="K127" s="394">
        <v>2018</v>
      </c>
      <c r="L127" s="856">
        <f>SUM(G127:J127)</f>
        <v>0</v>
      </c>
    </row>
    <row r="128" spans="1:12" ht="28.5" customHeight="1" x14ac:dyDescent="0.25">
      <c r="A128" s="394">
        <v>2018</v>
      </c>
      <c r="B128" s="1063" t="str">
        <f>"per 31/12/"&amp;$H$13</f>
        <v>per 31/12/2018</v>
      </c>
      <c r="C128" s="1064"/>
      <c r="D128" s="1064"/>
      <c r="E128" s="1065"/>
      <c r="F128" s="697"/>
      <c r="G128" s="853">
        <f t="shared" si="1"/>
        <v>0</v>
      </c>
      <c r="H128" s="698">
        <f t="shared" si="1"/>
        <v>0</v>
      </c>
      <c r="I128" s="698"/>
      <c r="J128" s="698"/>
      <c r="K128" s="394">
        <v>2019</v>
      </c>
      <c r="L128" s="856">
        <f>SUM(G128:J128)</f>
        <v>0</v>
      </c>
    </row>
    <row r="129" spans="1:12" ht="28.5" customHeight="1" x14ac:dyDescent="0.25">
      <c r="A129" s="394">
        <v>2019</v>
      </c>
      <c r="B129" s="1063" t="str">
        <f>"per 31/12/"&amp;$I$13</f>
        <v>per 31/12/2019</v>
      </c>
      <c r="C129" s="1064"/>
      <c r="D129" s="1064"/>
      <c r="E129" s="1065"/>
      <c r="F129" s="697"/>
      <c r="G129" s="853">
        <f t="shared" si="1"/>
        <v>0</v>
      </c>
      <c r="H129" s="698">
        <f t="shared" si="1"/>
        <v>0</v>
      </c>
      <c r="I129" s="698">
        <f t="shared" si="1"/>
        <v>0</v>
      </c>
      <c r="J129" s="698"/>
      <c r="K129" s="394">
        <v>2020</v>
      </c>
      <c r="L129" s="856">
        <f>SUM(G129:J129)</f>
        <v>0</v>
      </c>
    </row>
    <row r="130" spans="1:12" ht="28.5" customHeight="1" x14ac:dyDescent="0.25">
      <c r="A130" s="394">
        <v>2020</v>
      </c>
      <c r="B130" s="1063" t="str">
        <f>"per 31/12/"&amp;$J$13</f>
        <v>per 31/12/2020</v>
      </c>
      <c r="C130" s="1064"/>
      <c r="D130" s="1064"/>
      <c r="E130" s="1065"/>
      <c r="F130" s="697"/>
      <c r="G130" s="853">
        <f t="shared" si="1"/>
        <v>0</v>
      </c>
      <c r="H130" s="698">
        <f t="shared" si="1"/>
        <v>0</v>
      </c>
      <c r="I130" s="698">
        <f t="shared" si="1"/>
        <v>0</v>
      </c>
      <c r="J130" s="698">
        <f t="shared" si="1"/>
        <v>0</v>
      </c>
      <c r="K130" s="394">
        <v>2021</v>
      </c>
      <c r="L130" s="856">
        <f>SUM(G130:J130)</f>
        <v>0</v>
      </c>
    </row>
    <row r="131" spans="1:12" s="381" customFormat="1" ht="13" x14ac:dyDescent="0.3">
      <c r="B131" s="1066" t="s">
        <v>268</v>
      </c>
      <c r="C131" s="1066"/>
      <c r="D131" s="1066"/>
      <c r="E131" s="1066"/>
      <c r="G131" s="854">
        <f>(VLOOKUP(D2,A127:G130,7,FALSE))-T6A!C80</f>
        <v>0</v>
      </c>
      <c r="H131" s="694">
        <f>(VLOOKUP($D$2,A127:H130,8,FALSE))-T6A!D80</f>
        <v>0</v>
      </c>
      <c r="I131" s="694">
        <f>(VLOOKUP(D2,A127:I130,9,FALSE))-T6A!E80</f>
        <v>0</v>
      </c>
      <c r="J131" s="694">
        <f>(VLOOKUP($D$2,A127:J130,10,FALSE))-T6A!F80</f>
        <v>0</v>
      </c>
      <c r="K131" s="394"/>
      <c r="L131" s="854">
        <f>(VLOOKUP(D2,A127:L130,12,FALSE))-T6A!H80</f>
        <v>0</v>
      </c>
    </row>
    <row r="132" spans="1:12" ht="13" x14ac:dyDescent="0.3">
      <c r="B132" s="390"/>
      <c r="C132" s="390"/>
      <c r="D132" s="390"/>
      <c r="E132" s="390"/>
      <c r="F132" s="391"/>
      <c r="G132" s="392"/>
      <c r="H132" s="392"/>
      <c r="I132" s="392"/>
      <c r="J132" s="392"/>
    </row>
    <row r="133" spans="1:12" ht="13" x14ac:dyDescent="0.3">
      <c r="B133" s="390"/>
      <c r="C133" s="390"/>
      <c r="D133" s="390"/>
      <c r="E133" s="390"/>
      <c r="F133" s="391"/>
      <c r="G133" s="392"/>
      <c r="H133" s="392"/>
      <c r="I133" s="392"/>
      <c r="J133" s="392"/>
    </row>
    <row r="134" spans="1:12" ht="13" x14ac:dyDescent="0.3">
      <c r="B134" s="390"/>
      <c r="C134" s="390"/>
      <c r="D134" s="390"/>
      <c r="E134" s="390"/>
      <c r="F134" s="391"/>
      <c r="G134" s="435" t="s">
        <v>56</v>
      </c>
      <c r="H134" s="392"/>
      <c r="I134" s="392"/>
      <c r="J134" s="392"/>
    </row>
    <row r="135" spans="1:12" ht="13" x14ac:dyDescent="0.3">
      <c r="G135" s="435" t="s">
        <v>57</v>
      </c>
      <c r="H135" s="392"/>
      <c r="I135" s="392"/>
      <c r="J135" s="392"/>
    </row>
    <row r="136" spans="1:12" ht="91.5" customHeight="1" x14ac:dyDescent="0.3">
      <c r="B136" s="1089" t="s">
        <v>130</v>
      </c>
      <c r="C136" s="1090"/>
      <c r="D136" s="1090"/>
      <c r="E136" s="1091"/>
      <c r="F136" s="162"/>
      <c r="G136" s="681" t="str">
        <f>"Afbouw van het regulatoir saldo inzake herindexering budget endogene kosten op te nemen in het toegelaten inkomen voor boekjaar "&amp;D2&amp;", en dit conform de bepalingen in de tariefmethodologie omtrent de afbouw van het betreffende regulatoir saldo"</f>
        <v>Afbouw van het regulatoir saldo inzake herindexering budget endogene kosten op te nemen in het toegelaten inkomen voor boekjaar 2019, en dit conform de bepalingen in de tariefmethodologie omtrent de afbouw van het betreffende regulatoir saldo</v>
      </c>
      <c r="H136" s="392"/>
      <c r="I136" s="392"/>
      <c r="J136" s="392"/>
    </row>
    <row r="137" spans="1:12" ht="13" x14ac:dyDescent="0.3">
      <c r="B137" s="384"/>
      <c r="C137" s="384"/>
      <c r="D137" s="384"/>
      <c r="E137" s="384"/>
      <c r="F137" s="385"/>
      <c r="G137" s="386"/>
      <c r="H137" s="392"/>
      <c r="I137" s="392"/>
      <c r="J137" s="392"/>
    </row>
    <row r="138" spans="1:12" s="685" customFormat="1" ht="28.5" customHeight="1" x14ac:dyDescent="0.3">
      <c r="B138" s="1081" t="s">
        <v>131</v>
      </c>
      <c r="C138" s="1081"/>
      <c r="D138" s="1081"/>
      <c r="E138" s="1081"/>
      <c r="F138" s="688"/>
      <c r="G138" s="684">
        <f>VLOOKUP($D$2,B175:C177,2,FALSE)</f>
        <v>0</v>
      </c>
      <c r="H138" s="392"/>
      <c r="I138" s="392"/>
      <c r="J138" s="392"/>
      <c r="K138" s="610"/>
      <c r="L138" s="20"/>
    </row>
    <row r="139" spans="1:12" s="685" customFormat="1" ht="18.75" customHeight="1" x14ac:dyDescent="0.3">
      <c r="B139" s="1081" t="s">
        <v>132</v>
      </c>
      <c r="C139" s="1081"/>
      <c r="D139" s="1081"/>
      <c r="E139" s="1081"/>
      <c r="F139" s="688"/>
      <c r="G139" s="909">
        <f>VLOOKUP($D$2,B205:C207,2,FALSE)</f>
        <v>0</v>
      </c>
      <c r="H139" s="392"/>
      <c r="I139" s="392"/>
      <c r="J139" s="392"/>
      <c r="K139" s="610"/>
      <c r="L139" s="20"/>
    </row>
    <row r="140" spans="1:12" s="685" customFormat="1" ht="19.5" customHeight="1" x14ac:dyDescent="0.3">
      <c r="B140" s="1081" t="s">
        <v>138</v>
      </c>
      <c r="C140" s="1081"/>
      <c r="D140" s="1081"/>
      <c r="E140" s="1081"/>
      <c r="F140" s="688"/>
      <c r="G140" s="909">
        <f>VLOOKUP($D$2,B235:C237,2,FALSE)</f>
        <v>0</v>
      </c>
      <c r="H140" s="392"/>
      <c r="I140" s="392"/>
      <c r="J140" s="392"/>
      <c r="K140" s="610"/>
      <c r="L140" s="20"/>
    </row>
    <row r="141" spans="1:12" s="685" customFormat="1" ht="17.25" customHeight="1" x14ac:dyDescent="0.3">
      <c r="B141" s="1081" t="s">
        <v>133</v>
      </c>
      <c r="C141" s="1081"/>
      <c r="D141" s="1081"/>
      <c r="E141" s="1081"/>
      <c r="F141" s="688"/>
      <c r="G141" s="909">
        <f>VLOOKUP($D$2,B265:C267,2,FALSE)</f>
        <v>0</v>
      </c>
      <c r="H141" s="392"/>
      <c r="I141" s="392"/>
      <c r="J141" s="392"/>
      <c r="K141" s="610"/>
      <c r="L141" s="20"/>
    </row>
    <row r="142" spans="1:12" s="685" customFormat="1" ht="29.25" customHeight="1" x14ac:dyDescent="0.3">
      <c r="B142" s="1081" t="s">
        <v>239</v>
      </c>
      <c r="C142" s="1081"/>
      <c r="D142" s="1081"/>
      <c r="E142" s="1081"/>
      <c r="F142" s="688"/>
      <c r="G142" s="909">
        <f>VLOOKUP($D$2,B295:C297,2,FALSE)</f>
        <v>0</v>
      </c>
      <c r="H142" s="392"/>
      <c r="I142" s="392"/>
      <c r="J142" s="392"/>
      <c r="K142" s="893"/>
    </row>
    <row r="143" spans="1:12" s="685" customFormat="1" ht="19.5" customHeight="1" x14ac:dyDescent="0.3">
      <c r="B143" s="1081" t="s">
        <v>237</v>
      </c>
      <c r="C143" s="1081"/>
      <c r="D143" s="1081"/>
      <c r="E143" s="1081"/>
      <c r="F143" s="688"/>
      <c r="G143" s="909">
        <f>VLOOKUP($D$2,B325:C327,2,FALSE)</f>
        <v>0</v>
      </c>
      <c r="H143" s="392"/>
      <c r="I143" s="392"/>
      <c r="J143" s="392"/>
      <c r="K143" s="893"/>
    </row>
    <row r="144" spans="1:12" s="685" customFormat="1" ht="29.25" customHeight="1" x14ac:dyDescent="0.3">
      <c r="B144" s="1081" t="s">
        <v>287</v>
      </c>
      <c r="C144" s="1081"/>
      <c r="D144" s="1081"/>
      <c r="E144" s="1081"/>
      <c r="F144" s="688"/>
      <c r="G144" s="909">
        <f>VLOOKUP($D$2,B355:C357,2,FALSE)</f>
        <v>0</v>
      </c>
      <c r="H144" s="392"/>
      <c r="I144" s="392"/>
      <c r="J144" s="392"/>
      <c r="K144" s="893"/>
    </row>
    <row r="145" spans="2:15" s="685" customFormat="1" ht="27" customHeight="1" x14ac:dyDescent="0.3">
      <c r="B145" s="1081" t="s">
        <v>134</v>
      </c>
      <c r="C145" s="1081"/>
      <c r="D145" s="1081"/>
      <c r="E145" s="1081"/>
      <c r="F145" s="688"/>
      <c r="G145" s="909">
        <f>VLOOKUP($D$2,B385:C387,2,FALSE)</f>
        <v>0</v>
      </c>
      <c r="H145" s="392"/>
      <c r="I145" s="392"/>
      <c r="J145" s="392"/>
      <c r="K145" s="893"/>
    </row>
    <row r="146" spans="2:15" ht="13" x14ac:dyDescent="0.3">
      <c r="H146" s="392"/>
      <c r="I146" s="392"/>
      <c r="J146" s="392"/>
    </row>
    <row r="147" spans="2:15" s="685" customFormat="1" ht="18.75" customHeight="1" x14ac:dyDescent="0.3">
      <c r="B147" s="1169" t="s">
        <v>33</v>
      </c>
      <c r="C147" s="1170"/>
      <c r="D147" s="1170"/>
      <c r="E147" s="1171"/>
      <c r="F147" s="771"/>
      <c r="G147" s="690">
        <f>SUM(G138:G145)</f>
        <v>0</v>
      </c>
      <c r="H147" s="392"/>
      <c r="I147" s="392"/>
      <c r="J147" s="392"/>
      <c r="K147" s="893"/>
    </row>
    <row r="148" spans="2:15" ht="13" x14ac:dyDescent="0.3">
      <c r="H148" s="392"/>
      <c r="I148" s="392"/>
      <c r="J148" s="392"/>
      <c r="K148" s="20"/>
      <c r="M148" s="610"/>
    </row>
    <row r="149" spans="2:15" x14ac:dyDescent="0.25">
      <c r="K149" s="20"/>
      <c r="M149" s="610"/>
    </row>
    <row r="150" spans="2:15" ht="13" x14ac:dyDescent="0.3">
      <c r="B150" s="902" t="s">
        <v>131</v>
      </c>
      <c r="C150" s="903"/>
      <c r="D150" s="903"/>
      <c r="E150" s="903"/>
      <c r="F150" s="904"/>
      <c r="G150" s="904"/>
      <c r="H150" s="904"/>
      <c r="I150" s="904"/>
      <c r="J150" s="904"/>
      <c r="K150" s="904"/>
      <c r="L150" s="904"/>
      <c r="M150" s="905"/>
      <c r="N150" s="904"/>
    </row>
    <row r="151" spans="2:15" x14ac:dyDescent="0.25">
      <c r="K151" s="20"/>
      <c r="M151" s="610"/>
    </row>
    <row r="152" spans="2:15" ht="13" x14ac:dyDescent="0.3">
      <c r="B152" s="18" t="s">
        <v>362</v>
      </c>
      <c r="F152" s="895">
        <v>2018</v>
      </c>
      <c r="K152" s="20"/>
      <c r="M152" s="610"/>
    </row>
    <row r="153" spans="2:15" x14ac:dyDescent="0.25">
      <c r="K153" s="20"/>
      <c r="L153" s="610"/>
    </row>
    <row r="154" spans="2:15" ht="82.5" customHeight="1" x14ac:dyDescent="0.25">
      <c r="B154" s="1060" t="s">
        <v>363</v>
      </c>
      <c r="C154" s="1061"/>
      <c r="D154" s="1061"/>
      <c r="E154" s="1062"/>
      <c r="F154" s="599"/>
      <c r="G154" s="675" t="str">
        <f>"Nog af te bouwen regulatoir saldo einde "&amp;F152-1</f>
        <v>Nog af te bouwen regulatoir saldo einde 2017</v>
      </c>
      <c r="H154" s="675" t="str">
        <f>"Afbouw oudste openstaande regulatoir saldo vanaf boekjaar "&amp;F152-2&amp;" en vroeger, door aanwending van compensatie met regulatoir saldo ontstaan over boekjaar "&amp;F152-1</f>
        <v>Afbouw oudste openstaande regulatoir saldo vanaf boekjaar 2016 en vroeger, door aanwending van compensatie met regulatoir saldo ontstaan over boekjaar 2017</v>
      </c>
      <c r="I154" s="675" t="str">
        <f>"Nog af te bouwen regulatoir saldo na compensatie einde "&amp;F152-1</f>
        <v>Nog af te bouwen regulatoir saldo na compensatie einde 2017</v>
      </c>
      <c r="J154" s="675" t="str">
        <f>"Aanwending van 50% van het geaccumuleerd regulatoir saldo door te rekenen volgens de tariefmethodologie in het boekjaar "&amp;F152</f>
        <v>Aanwending van 50% van het geaccumuleerd regulatoir saldo door te rekenen volgens de tariefmethodologie in het boekjaar 2018</v>
      </c>
      <c r="K154" s="675" t="str">
        <f>"Nog af te bouwen regulatoir saldo einde "&amp;F152</f>
        <v>Nog af te bouwen regulatoir saldo einde 2018</v>
      </c>
      <c r="L154" s="610"/>
    </row>
    <row r="155" spans="2:15" ht="13" x14ac:dyDescent="0.25">
      <c r="B155" s="1057">
        <v>2017</v>
      </c>
      <c r="C155" s="1058"/>
      <c r="D155" s="1058"/>
      <c r="E155" s="1059"/>
      <c r="F155" s="896"/>
      <c r="G155" s="839">
        <f>G85</f>
        <v>0</v>
      </c>
      <c r="H155" s="897">
        <v>0</v>
      </c>
      <c r="I155" s="839">
        <f>+G155+H155</f>
        <v>0</v>
      </c>
      <c r="J155" s="839">
        <f>-I155*0.5</f>
        <v>0</v>
      </c>
      <c r="K155" s="908">
        <f>+J155+G155</f>
        <v>0</v>
      </c>
      <c r="L155" s="610"/>
    </row>
    <row r="156" spans="2:15" x14ac:dyDescent="0.25">
      <c r="K156" s="20"/>
      <c r="L156" s="610"/>
    </row>
    <row r="157" spans="2:15" ht="13" x14ac:dyDescent="0.3">
      <c r="B157" s="18" t="s">
        <v>362</v>
      </c>
      <c r="F157" s="895">
        <v>2019</v>
      </c>
      <c r="K157" s="20"/>
      <c r="M157" s="610"/>
    </row>
    <row r="158" spans="2:15" x14ac:dyDescent="0.25">
      <c r="K158" s="20"/>
      <c r="M158" s="610"/>
    </row>
    <row r="159" spans="2:15" ht="84" customHeight="1" x14ac:dyDescent="0.25">
      <c r="B159" s="1060" t="s">
        <v>363</v>
      </c>
      <c r="C159" s="1061"/>
      <c r="D159" s="1061"/>
      <c r="E159" s="1062"/>
      <c r="F159" s="599"/>
      <c r="G159" s="675" t="str">
        <f>"Nog af te bouwen regulatoir saldo einde "&amp;F157-1</f>
        <v>Nog af te bouwen regulatoir saldo einde 2018</v>
      </c>
      <c r="H159" s="675" t="str">
        <f>"Afbouw oudste openstaande regulatoir saldo vanaf boekjaar "&amp;F157-2&amp;" en vroeger, door aanwending van compensatie met regulatoir saldo ontstaan over boekjaar "&amp;F157-1</f>
        <v>Afbouw oudste openstaande regulatoir saldo vanaf boekjaar 2017 en vroeger, door aanwending van compensatie met regulatoir saldo ontstaan over boekjaar 2018</v>
      </c>
      <c r="I159" s="675" t="str">
        <f>"Nog af te bouwen regulatoir saldo na compensatie einde "&amp;F157-1</f>
        <v>Nog af te bouwen regulatoir saldo na compensatie einde 2018</v>
      </c>
      <c r="J159" s="675" t="str">
        <f>"Aanwending van 50% van het geaccumuleerd regulatoir saldo door te rekenen volgens de tariefmethodologie in het boekjaar "&amp;F157</f>
        <v>Aanwending van 50% van het geaccumuleerd regulatoir saldo door te rekenen volgens de tariefmethodologie in het boekjaar 2019</v>
      </c>
      <c r="K159" s="675" t="str">
        <f>"Aanwending van 50% van het geaccumuleerd regulatoir saldo door te rekenen volgens de tariefmethodologie in het boekjaar "&amp;F157</f>
        <v>Aanwending van 50% van het geaccumuleerd regulatoir saldo door te rekenen volgens de tariefmethodologie in het boekjaar 2019</v>
      </c>
      <c r="L159" s="675" t="str">
        <f>"Totale afbouw over "&amp;F157</f>
        <v>Totale afbouw over 2019</v>
      </c>
      <c r="N159" s="675" t="str">
        <f>"Nog af te bouwen regulatoir saldo einde "&amp;F157</f>
        <v>Nog af te bouwen regulatoir saldo einde 2019</v>
      </c>
      <c r="O159" s="610"/>
    </row>
    <row r="160" spans="2:15" ht="13" x14ac:dyDescent="0.25">
      <c r="B160" s="1057">
        <v>2017</v>
      </c>
      <c r="C160" s="1058"/>
      <c r="D160" s="1058"/>
      <c r="E160" s="1059"/>
      <c r="F160" s="896"/>
      <c r="G160" s="839">
        <f>K155</f>
        <v>0</v>
      </c>
      <c r="H160" s="897">
        <f>IF(SIGN(G161*K155)&lt;0,IF(G160&lt;&gt;0,-SIGN(G160)*MIN(ABS(G161),ABS(G160)),0),0)</f>
        <v>0</v>
      </c>
      <c r="I160" s="839">
        <f>+G160+H160</f>
        <v>0</v>
      </c>
      <c r="J160" s="698"/>
      <c r="K160" s="897">
        <f>-MIN(ABS(I160),ABS(J162))*SIGN(I160)</f>
        <v>0</v>
      </c>
      <c r="L160" s="898">
        <f>+K160+H160</f>
        <v>0</v>
      </c>
      <c r="N160" s="839">
        <f>+I160+K160</f>
        <v>0</v>
      </c>
      <c r="O160" s="610"/>
    </row>
    <row r="161" spans="2:15" ht="13" x14ac:dyDescent="0.25">
      <c r="B161" s="1057">
        <v>2018</v>
      </c>
      <c r="C161" s="1058"/>
      <c r="D161" s="1058"/>
      <c r="E161" s="1059"/>
      <c r="F161" s="896"/>
      <c r="G161" s="839">
        <f>H86</f>
        <v>0</v>
      </c>
      <c r="H161" s="898">
        <f>IF(SIGN(G161*K155)&lt;0,-H160,0)</f>
        <v>0</v>
      </c>
      <c r="I161" s="839">
        <f>+G161+H161</f>
        <v>0</v>
      </c>
      <c r="J161" s="698"/>
      <c r="K161" s="897">
        <f>-MIN(ABS(I161),ABS(J162-K160))*SIGN(I161)</f>
        <v>0</v>
      </c>
      <c r="L161" s="898">
        <f>+K161+H161</f>
        <v>0</v>
      </c>
      <c r="N161" s="839">
        <f>+I161+K161</f>
        <v>0</v>
      </c>
      <c r="O161" s="610"/>
    </row>
    <row r="162" spans="2:15" s="18" customFormat="1" ht="13" x14ac:dyDescent="0.3">
      <c r="G162" s="899">
        <f>SUM(G160:G161)</f>
        <v>0</v>
      </c>
      <c r="H162" s="899">
        <f>SUM(H160:H161)</f>
        <v>0</v>
      </c>
      <c r="I162" s="899">
        <f>SUM(I160:I161)</f>
        <v>0</v>
      </c>
      <c r="J162" s="899">
        <f>-I162*0.5</f>
        <v>0</v>
      </c>
      <c r="K162" s="900">
        <f>SUM(K160:K161)</f>
        <v>0</v>
      </c>
      <c r="L162" s="901"/>
      <c r="N162" s="899">
        <f>SUM(N160:N161)</f>
        <v>0</v>
      </c>
    </row>
    <row r="163" spans="2:15" x14ac:dyDescent="0.25">
      <c r="K163" s="20"/>
      <c r="M163" s="610"/>
    </row>
    <row r="164" spans="2:15" ht="13" x14ac:dyDescent="0.3">
      <c r="B164" s="18" t="s">
        <v>362</v>
      </c>
      <c r="F164" s="895">
        <v>2020</v>
      </c>
      <c r="K164" s="20"/>
    </row>
    <row r="165" spans="2:15" x14ac:dyDescent="0.25">
      <c r="K165" s="20"/>
    </row>
    <row r="166" spans="2:15" ht="94.5" customHeight="1" x14ac:dyDescent="0.25">
      <c r="B166" s="1060" t="s">
        <v>363</v>
      </c>
      <c r="C166" s="1061"/>
      <c r="D166" s="1061"/>
      <c r="E166" s="1062"/>
      <c r="F166" s="599"/>
      <c r="G166" s="675" t="str">
        <f>"Nog af te bouwen regulatoir saldo einde "&amp;F164-1</f>
        <v>Nog af te bouwen regulatoir saldo einde 2019</v>
      </c>
      <c r="H166" s="675" t="str">
        <f>"Afbouw oudste openstaande regulatoir saldo vanaf boekjaar "&amp;F164-32&amp;" en vroeger, door aanwending van compensatie met regulatoir saldo ontstaan over boekjaar "&amp;F164-1</f>
        <v>Afbouw oudste openstaande regulatoir saldo vanaf boekjaar 1988 en vroeger, door aanwending van compensatie met regulatoir saldo ontstaan over boekjaar 2019</v>
      </c>
      <c r="I166" s="675" t="str">
        <f>"Nog af te bouwen regulatoir saldo na compensatie einde "&amp;F164-1</f>
        <v>Nog af te bouwen regulatoir saldo na compensatie einde 2019</v>
      </c>
      <c r="J166" s="675" t="str">
        <f>"Aanwending van 50% van het geaccumuleerd regulatoir saldo door te rekenen volgens de tariefmethodologie in het boekjaar "&amp;F164</f>
        <v>Aanwending van 50% van het geaccumuleerd regulatoir saldo door te rekenen volgens de tariefmethodologie in het boekjaar 2020</v>
      </c>
      <c r="K166" s="675" t="str">
        <f>"Aanwending van 50% van het geaccumuleerd regulatoir saldo door te rekenen volgens de tariefmethodologie in het boekjaar "&amp;F164</f>
        <v>Aanwending van 50% van het geaccumuleerd regulatoir saldo door te rekenen volgens de tariefmethodologie in het boekjaar 2020</v>
      </c>
      <c r="L166" s="675" t="str">
        <f>"Totale afbouw over "&amp;F164</f>
        <v>Totale afbouw over 2020</v>
      </c>
      <c r="N166" s="675" t="str">
        <f>"Nog af te bouwen regulatoir saldo einde "&amp;F164</f>
        <v>Nog af te bouwen regulatoir saldo einde 2020</v>
      </c>
      <c r="O166" s="610"/>
    </row>
    <row r="167" spans="2:15" ht="13" x14ac:dyDescent="0.25">
      <c r="B167" s="1057">
        <v>2017</v>
      </c>
      <c r="C167" s="1058"/>
      <c r="D167" s="1058"/>
      <c r="E167" s="1059"/>
      <c r="F167" s="896"/>
      <c r="G167" s="839">
        <f>+N160</f>
        <v>0</v>
      </c>
      <c r="H167" s="898">
        <f>IF(SIGN(G169*N162)&lt;0,IF(G167&lt;&gt;0,-SIGN(G167)*MIN(ABS(G169),ABS(G167)),0),0)</f>
        <v>0</v>
      </c>
      <c r="I167" s="839">
        <f>+G167+H167</f>
        <v>0</v>
      </c>
      <c r="J167" s="698"/>
      <c r="K167" s="897">
        <f>-MIN(ABS(I167),ABS(J170))*SIGN(I167)</f>
        <v>0</v>
      </c>
      <c r="L167" s="898">
        <f>+K167+H167</f>
        <v>0</v>
      </c>
      <c r="N167" s="839">
        <f>+I167+K167</f>
        <v>0</v>
      </c>
      <c r="O167" s="610"/>
    </row>
    <row r="168" spans="2:15" ht="13" x14ac:dyDescent="0.25">
      <c r="B168" s="1057">
        <v>2018</v>
      </c>
      <c r="C168" s="1058"/>
      <c r="D168" s="1058">
        <v>2016</v>
      </c>
      <c r="E168" s="1059"/>
      <c r="F168" s="896"/>
      <c r="G168" s="839">
        <f>+N161</f>
        <v>0</v>
      </c>
      <c r="H168" s="898">
        <f>IF(SIGN(G169*N162)&lt;0,IF(G168&lt;&gt;0,-SIGN(G168)*MIN(ABS(G169-H167),ABS(G168)),0),0)</f>
        <v>0</v>
      </c>
      <c r="I168" s="839">
        <f>+G168+H168</f>
        <v>0</v>
      </c>
      <c r="J168" s="698"/>
      <c r="K168" s="897">
        <f>-MIN(ABS(I168),ABS(J170-K167))*SIGN(I168)</f>
        <v>0</v>
      </c>
      <c r="L168" s="898">
        <f>+K168+H168</f>
        <v>0</v>
      </c>
      <c r="N168" s="839">
        <f>+I168+K168</f>
        <v>0</v>
      </c>
      <c r="O168" s="610"/>
    </row>
    <row r="169" spans="2:15" ht="13" x14ac:dyDescent="0.25">
      <c r="B169" s="1057">
        <v>2019</v>
      </c>
      <c r="C169" s="1058"/>
      <c r="D169" s="1058"/>
      <c r="E169" s="1059"/>
      <c r="F169" s="896"/>
      <c r="G169" s="839">
        <f>I87</f>
        <v>0</v>
      </c>
      <c r="H169" s="898">
        <f>IF(SIGN(G169*N162)&lt;0,-SUM(H167:H168),0)</f>
        <v>0</v>
      </c>
      <c r="I169" s="839">
        <f>+G169+H169</f>
        <v>0</v>
      </c>
      <c r="J169" s="698"/>
      <c r="K169" s="897">
        <f>-MIN(ABS(I169),ABS(J170-K167-K168))*SIGN(I169)</f>
        <v>0</v>
      </c>
      <c r="L169" s="898">
        <f>+K169+H169</f>
        <v>0</v>
      </c>
      <c r="N169" s="839">
        <f>+I169+K169</f>
        <v>0</v>
      </c>
      <c r="O169" s="610"/>
    </row>
    <row r="170" spans="2:15" s="18" customFormat="1" ht="13" x14ac:dyDescent="0.3">
      <c r="G170" s="899">
        <f>SUM(G167:G169)</f>
        <v>0</v>
      </c>
      <c r="H170" s="899">
        <f>SUM(H167:H169)</f>
        <v>0</v>
      </c>
      <c r="I170" s="899">
        <f>SUM(I167:I169)</f>
        <v>0</v>
      </c>
      <c r="J170" s="899">
        <f>-I170*0.5</f>
        <v>0</v>
      </c>
      <c r="K170" s="900">
        <f>SUM(K167:K169)</f>
        <v>0</v>
      </c>
      <c r="L170" s="901"/>
      <c r="N170" s="899">
        <f>SUM(N167:N169)</f>
        <v>0</v>
      </c>
    </row>
    <row r="171" spans="2:15" x14ac:dyDescent="0.25">
      <c r="K171" s="20"/>
      <c r="M171" s="394"/>
    </row>
    <row r="172" spans="2:15" x14ac:dyDescent="0.25">
      <c r="K172" s="20"/>
      <c r="M172" s="394"/>
    </row>
    <row r="173" spans="2:15" ht="13" x14ac:dyDescent="0.3">
      <c r="B173" s="18" t="s">
        <v>364</v>
      </c>
      <c r="C173" s="381"/>
      <c r="D173" s="381"/>
      <c r="E173" s="381"/>
      <c r="K173" s="20"/>
      <c r="M173" s="394"/>
    </row>
    <row r="174" spans="2:15" ht="13" x14ac:dyDescent="0.3">
      <c r="B174" s="18"/>
      <c r="C174" s="381"/>
      <c r="D174" s="381"/>
      <c r="E174" s="381"/>
      <c r="K174" s="20"/>
      <c r="M174" s="394"/>
    </row>
    <row r="175" spans="2:15" ht="13" x14ac:dyDescent="0.3">
      <c r="B175" s="864">
        <f>F152</f>
        <v>2018</v>
      </c>
      <c r="C175" s="906">
        <f>J155</f>
        <v>0</v>
      </c>
      <c r="D175" s="381"/>
      <c r="E175" s="381"/>
      <c r="K175" s="20"/>
      <c r="M175" s="394"/>
    </row>
    <row r="176" spans="2:15" ht="13" x14ac:dyDescent="0.3">
      <c r="B176" s="864">
        <f>F157</f>
        <v>2019</v>
      </c>
      <c r="C176" s="906">
        <f>K162</f>
        <v>0</v>
      </c>
      <c r="D176" s="381"/>
      <c r="E176" s="381"/>
      <c r="K176" s="20"/>
      <c r="M176" s="394"/>
    </row>
    <row r="177" spans="2:15" ht="13" x14ac:dyDescent="0.3">
      <c r="B177" s="864">
        <f>F164</f>
        <v>2020</v>
      </c>
      <c r="C177" s="906">
        <f>K170</f>
        <v>0</v>
      </c>
      <c r="D177" s="381"/>
      <c r="E177" s="381"/>
      <c r="K177" s="20"/>
      <c r="M177" s="394"/>
    </row>
    <row r="178" spans="2:15" ht="13" x14ac:dyDescent="0.3">
      <c r="H178" s="392"/>
      <c r="I178" s="392"/>
      <c r="J178" s="392"/>
      <c r="K178" s="20"/>
      <c r="M178" s="610"/>
    </row>
    <row r="179" spans="2:15" x14ac:dyDescent="0.25">
      <c r="K179" s="20"/>
      <c r="M179" s="610"/>
    </row>
    <row r="180" spans="2:15" ht="13" x14ac:dyDescent="0.3">
      <c r="B180" s="902" t="s">
        <v>132</v>
      </c>
      <c r="C180" s="903"/>
      <c r="D180" s="903"/>
      <c r="E180" s="903"/>
      <c r="F180" s="904"/>
      <c r="G180" s="904"/>
      <c r="H180" s="904"/>
      <c r="I180" s="904"/>
      <c r="J180" s="904"/>
      <c r="K180" s="904"/>
      <c r="L180" s="904"/>
      <c r="M180" s="905"/>
      <c r="N180" s="904"/>
    </row>
    <row r="181" spans="2:15" x14ac:dyDescent="0.25">
      <c r="K181" s="20"/>
      <c r="M181" s="610"/>
    </row>
    <row r="182" spans="2:15" ht="13" x14ac:dyDescent="0.3">
      <c r="B182" s="18" t="s">
        <v>362</v>
      </c>
      <c r="F182" s="895">
        <v>2018</v>
      </c>
      <c r="K182" s="20"/>
      <c r="M182" s="610"/>
    </row>
    <row r="183" spans="2:15" x14ac:dyDescent="0.25">
      <c r="K183" s="20"/>
      <c r="L183" s="610"/>
    </row>
    <row r="184" spans="2:15" ht="82.5" customHeight="1" x14ac:dyDescent="0.25">
      <c r="B184" s="1060" t="s">
        <v>363</v>
      </c>
      <c r="C184" s="1061"/>
      <c r="D184" s="1061"/>
      <c r="E184" s="1062"/>
      <c r="F184" s="599"/>
      <c r="G184" s="675" t="str">
        <f>"Nog af te bouwen regulatoir saldo einde "&amp;F182-1</f>
        <v>Nog af te bouwen regulatoir saldo einde 2017</v>
      </c>
      <c r="H184" s="675" t="str">
        <f>"Afbouw oudste openstaande regulatoir saldo vanaf boekjaar "&amp;F182-2&amp;" en vroeger, door aanwending van compensatie met regulatoir saldo ontstaan over boekjaar "&amp;F182-1</f>
        <v>Afbouw oudste openstaande regulatoir saldo vanaf boekjaar 2016 en vroeger, door aanwending van compensatie met regulatoir saldo ontstaan over boekjaar 2017</v>
      </c>
      <c r="I184" s="675" t="str">
        <f>"Nog af te bouwen regulatoir saldo na compensatie einde "&amp;F182-1</f>
        <v>Nog af te bouwen regulatoir saldo na compensatie einde 2017</v>
      </c>
      <c r="J184" s="675" t="str">
        <f>"Aanwending van 50% van het geaccumuleerd regulatoir saldo door te rekenen volgens de tariefmethodologie in het boekjaar "&amp;F182</f>
        <v>Aanwending van 50% van het geaccumuleerd regulatoir saldo door te rekenen volgens de tariefmethodologie in het boekjaar 2018</v>
      </c>
      <c r="K184" s="675" t="str">
        <f>"Nog af te bouwen regulatoir saldo einde "&amp;F182</f>
        <v>Nog af te bouwen regulatoir saldo einde 2018</v>
      </c>
      <c r="L184" s="610"/>
    </row>
    <row r="185" spans="2:15" ht="13" x14ac:dyDescent="0.25">
      <c r="B185" s="1057">
        <v>2017</v>
      </c>
      <c r="C185" s="1058"/>
      <c r="D185" s="1058"/>
      <c r="E185" s="1059"/>
      <c r="F185" s="896"/>
      <c r="G185" s="839">
        <f>G90</f>
        <v>0</v>
      </c>
      <c r="H185" s="897">
        <v>0</v>
      </c>
      <c r="I185" s="839">
        <f>+G185+H185</f>
        <v>0</v>
      </c>
      <c r="J185" s="839">
        <f>-I185*0.5</f>
        <v>0</v>
      </c>
      <c r="K185" s="908">
        <f>+J185+G185</f>
        <v>0</v>
      </c>
      <c r="L185" s="610"/>
    </row>
    <row r="186" spans="2:15" x14ac:dyDescent="0.25">
      <c r="K186" s="20"/>
      <c r="L186" s="610"/>
    </row>
    <row r="187" spans="2:15" ht="13" x14ac:dyDescent="0.3">
      <c r="B187" s="18" t="s">
        <v>362</v>
      </c>
      <c r="F187" s="895">
        <v>2019</v>
      </c>
      <c r="K187" s="20"/>
      <c r="M187" s="610"/>
    </row>
    <row r="188" spans="2:15" x14ac:dyDescent="0.25">
      <c r="K188" s="20"/>
      <c r="M188" s="610"/>
    </row>
    <row r="189" spans="2:15" ht="84" customHeight="1" x14ac:dyDescent="0.25">
      <c r="B189" s="1060" t="s">
        <v>363</v>
      </c>
      <c r="C189" s="1061"/>
      <c r="D189" s="1061"/>
      <c r="E189" s="1062"/>
      <c r="F189" s="599"/>
      <c r="G189" s="675" t="str">
        <f>"Nog af te bouwen regulatoir saldo einde "&amp;F187-1</f>
        <v>Nog af te bouwen regulatoir saldo einde 2018</v>
      </c>
      <c r="H189" s="675" t="str">
        <f>"Afbouw oudste openstaande regulatoir saldo vanaf boekjaar "&amp;F187-2&amp;" en vroeger, door aanwending van compensatie met regulatoir saldo ontstaan over boekjaar "&amp;F187-1</f>
        <v>Afbouw oudste openstaande regulatoir saldo vanaf boekjaar 2017 en vroeger, door aanwending van compensatie met regulatoir saldo ontstaan over boekjaar 2018</v>
      </c>
      <c r="I189" s="675" t="str">
        <f>"Nog af te bouwen regulatoir saldo na compensatie einde "&amp;F187-1</f>
        <v>Nog af te bouwen regulatoir saldo na compensatie einde 2018</v>
      </c>
      <c r="J189" s="675" t="str">
        <f>"Aanwending van 50% van het geaccumuleerd regulatoir saldo door te rekenen volgens de tariefmethodologie in het boekjaar "&amp;F187</f>
        <v>Aanwending van 50% van het geaccumuleerd regulatoir saldo door te rekenen volgens de tariefmethodologie in het boekjaar 2019</v>
      </c>
      <c r="K189" s="675" t="str">
        <f>"Aanwending van 50% van het geaccumuleerd regulatoir saldo door te rekenen volgens de tariefmethodologie in het boekjaar "&amp;F187</f>
        <v>Aanwending van 50% van het geaccumuleerd regulatoir saldo door te rekenen volgens de tariefmethodologie in het boekjaar 2019</v>
      </c>
      <c r="L189" s="675" t="str">
        <f>"Totale afbouw over "&amp;F187</f>
        <v>Totale afbouw over 2019</v>
      </c>
      <c r="N189" s="675" t="str">
        <f>"Nog af te bouwen regulatoir saldo einde "&amp;F187</f>
        <v>Nog af te bouwen regulatoir saldo einde 2019</v>
      </c>
      <c r="O189" s="610"/>
    </row>
    <row r="190" spans="2:15" ht="13" x14ac:dyDescent="0.25">
      <c r="B190" s="1057">
        <v>2017</v>
      </c>
      <c r="C190" s="1058"/>
      <c r="D190" s="1058"/>
      <c r="E190" s="1059"/>
      <c r="F190" s="896"/>
      <c r="G190" s="839">
        <f>K185</f>
        <v>0</v>
      </c>
      <c r="H190" s="897">
        <f>IF(SIGN(G191*K185)&lt;0,IF(G190&lt;&gt;0,-SIGN(G190)*MIN(ABS(G191),ABS(G190)),0),0)</f>
        <v>0</v>
      </c>
      <c r="I190" s="839">
        <f>+G190+H190</f>
        <v>0</v>
      </c>
      <c r="J190" s="698"/>
      <c r="K190" s="897">
        <f>-MIN(ABS(I190),ABS(J192))*SIGN(I190)</f>
        <v>0</v>
      </c>
      <c r="L190" s="898">
        <f>+K190+H190</f>
        <v>0</v>
      </c>
      <c r="N190" s="839">
        <f>+I190+K190</f>
        <v>0</v>
      </c>
      <c r="O190" s="610"/>
    </row>
    <row r="191" spans="2:15" ht="13" x14ac:dyDescent="0.25">
      <c r="B191" s="1057">
        <v>2018</v>
      </c>
      <c r="C191" s="1058"/>
      <c r="D191" s="1058"/>
      <c r="E191" s="1059"/>
      <c r="F191" s="896"/>
      <c r="G191" s="839">
        <f>H91</f>
        <v>0</v>
      </c>
      <c r="H191" s="898">
        <f>IF(SIGN(G191*K185)&lt;0,-H190,0)</f>
        <v>0</v>
      </c>
      <c r="I191" s="839">
        <f>+G191+H191</f>
        <v>0</v>
      </c>
      <c r="J191" s="698"/>
      <c r="K191" s="897">
        <f>-MIN(ABS(I191),ABS(J192-K190))*SIGN(I191)</f>
        <v>0</v>
      </c>
      <c r="L191" s="898">
        <f>+K191+H191</f>
        <v>0</v>
      </c>
      <c r="N191" s="839">
        <f>+I191+K191</f>
        <v>0</v>
      </c>
      <c r="O191" s="610"/>
    </row>
    <row r="192" spans="2:15" s="18" customFormat="1" ht="13" x14ac:dyDescent="0.3">
      <c r="G192" s="899">
        <f>SUM(G190:G191)</f>
        <v>0</v>
      </c>
      <c r="H192" s="899">
        <f>SUM(H190:H191)</f>
        <v>0</v>
      </c>
      <c r="I192" s="899">
        <f>SUM(I190:I191)</f>
        <v>0</v>
      </c>
      <c r="J192" s="899">
        <f>-I192*0.5</f>
        <v>0</v>
      </c>
      <c r="K192" s="900">
        <f>SUM(K190:K191)</f>
        <v>0</v>
      </c>
      <c r="L192" s="901"/>
      <c r="N192" s="899">
        <f>SUM(N190:N191)</f>
        <v>0</v>
      </c>
    </row>
    <row r="193" spans="2:15" x14ac:dyDescent="0.25">
      <c r="K193" s="20"/>
      <c r="M193" s="610"/>
    </row>
    <row r="194" spans="2:15" ht="13" x14ac:dyDescent="0.3">
      <c r="B194" s="18" t="s">
        <v>362</v>
      </c>
      <c r="F194" s="895">
        <v>2020</v>
      </c>
      <c r="K194" s="20"/>
    </row>
    <row r="195" spans="2:15" x14ac:dyDescent="0.25">
      <c r="K195" s="20"/>
    </row>
    <row r="196" spans="2:15" ht="94.5" customHeight="1" x14ac:dyDescent="0.25">
      <c r="B196" s="1060" t="s">
        <v>363</v>
      </c>
      <c r="C196" s="1061"/>
      <c r="D196" s="1061"/>
      <c r="E196" s="1062"/>
      <c r="F196" s="599"/>
      <c r="G196" s="675" t="str">
        <f>"Nog af te bouwen regulatoir saldo einde "&amp;F194-1</f>
        <v>Nog af te bouwen regulatoir saldo einde 2019</v>
      </c>
      <c r="H196" s="675" t="str">
        <f>"Afbouw oudste openstaande regulatoir saldo vanaf boekjaar "&amp;F194-32&amp;" en vroeger, door aanwending van compensatie met regulatoir saldo ontstaan over boekjaar "&amp;F194-1</f>
        <v>Afbouw oudste openstaande regulatoir saldo vanaf boekjaar 1988 en vroeger, door aanwending van compensatie met regulatoir saldo ontstaan over boekjaar 2019</v>
      </c>
      <c r="I196" s="675" t="str">
        <f>"Nog af te bouwen regulatoir saldo na compensatie einde "&amp;F194-1</f>
        <v>Nog af te bouwen regulatoir saldo na compensatie einde 2019</v>
      </c>
      <c r="J196" s="675" t="str">
        <f>"Aanwending van 50% van het geaccumuleerd regulatoir saldo door te rekenen volgens de tariefmethodologie in het boekjaar "&amp;F194</f>
        <v>Aanwending van 50% van het geaccumuleerd regulatoir saldo door te rekenen volgens de tariefmethodologie in het boekjaar 2020</v>
      </c>
      <c r="K196" s="675" t="str">
        <f>"Aanwending van 50% van het geaccumuleerd regulatoir saldo door te rekenen volgens de tariefmethodologie in het boekjaar "&amp;F194</f>
        <v>Aanwending van 50% van het geaccumuleerd regulatoir saldo door te rekenen volgens de tariefmethodologie in het boekjaar 2020</v>
      </c>
      <c r="L196" s="675" t="str">
        <f>"Totale afbouw over "&amp;F194</f>
        <v>Totale afbouw over 2020</v>
      </c>
      <c r="N196" s="675" t="str">
        <f>"Nog af te bouwen regulatoir saldo einde "&amp;F194</f>
        <v>Nog af te bouwen regulatoir saldo einde 2020</v>
      </c>
      <c r="O196" s="610"/>
    </row>
    <row r="197" spans="2:15" ht="13" x14ac:dyDescent="0.25">
      <c r="B197" s="1057">
        <v>2017</v>
      </c>
      <c r="C197" s="1058"/>
      <c r="D197" s="1058"/>
      <c r="E197" s="1059"/>
      <c r="F197" s="896"/>
      <c r="G197" s="839">
        <f>+N190</f>
        <v>0</v>
      </c>
      <c r="H197" s="898">
        <f>IF(SIGN(G199*N192)&lt;0,IF(G197&lt;&gt;0,-SIGN(G197)*MIN(ABS(G199),ABS(G197)),0),0)</f>
        <v>0</v>
      </c>
      <c r="I197" s="839">
        <f>+G197+H197</f>
        <v>0</v>
      </c>
      <c r="J197" s="698"/>
      <c r="K197" s="897">
        <f>-MIN(ABS(I197),ABS(J200))*SIGN(I197)</f>
        <v>0</v>
      </c>
      <c r="L197" s="898">
        <f>+K197+H197</f>
        <v>0</v>
      </c>
      <c r="N197" s="839">
        <f>+I197+K197</f>
        <v>0</v>
      </c>
      <c r="O197" s="610"/>
    </row>
    <row r="198" spans="2:15" ht="13" x14ac:dyDescent="0.25">
      <c r="B198" s="1057">
        <v>2018</v>
      </c>
      <c r="C198" s="1058"/>
      <c r="D198" s="1058">
        <v>2016</v>
      </c>
      <c r="E198" s="1059"/>
      <c r="F198" s="896"/>
      <c r="G198" s="839">
        <f>+N191</f>
        <v>0</v>
      </c>
      <c r="H198" s="898">
        <f>IF(SIGN(G199*N192)&lt;0,IF(G198&lt;&gt;0,-SIGN(G198)*MIN(ABS(G199-H197),ABS(G198)),0),0)</f>
        <v>0</v>
      </c>
      <c r="I198" s="839">
        <f>+G198+H198</f>
        <v>0</v>
      </c>
      <c r="J198" s="698"/>
      <c r="K198" s="897">
        <f>-MIN(ABS(I198),ABS(J200-K197))*SIGN(I198)</f>
        <v>0</v>
      </c>
      <c r="L198" s="898">
        <f>+K198+H198</f>
        <v>0</v>
      </c>
      <c r="N198" s="839">
        <f>+I198+K198</f>
        <v>0</v>
      </c>
      <c r="O198" s="610"/>
    </row>
    <row r="199" spans="2:15" ht="13" x14ac:dyDescent="0.25">
      <c r="B199" s="1057">
        <v>2019</v>
      </c>
      <c r="C199" s="1058"/>
      <c r="D199" s="1058"/>
      <c r="E199" s="1059"/>
      <c r="F199" s="896"/>
      <c r="G199" s="839">
        <f>I92</f>
        <v>0</v>
      </c>
      <c r="H199" s="898">
        <f>IF(SIGN(G199*N192)&lt;0,-SUM(H197:H198),0)</f>
        <v>0</v>
      </c>
      <c r="I199" s="839">
        <f>+G199+H199</f>
        <v>0</v>
      </c>
      <c r="J199" s="698"/>
      <c r="K199" s="897">
        <f>-MIN(ABS(I199),ABS(J200-K197-K198))*SIGN(I199)</f>
        <v>0</v>
      </c>
      <c r="L199" s="898">
        <f>+K199+H199</f>
        <v>0</v>
      </c>
      <c r="N199" s="839">
        <f>+I199+K199</f>
        <v>0</v>
      </c>
      <c r="O199" s="610"/>
    </row>
    <row r="200" spans="2:15" s="18" customFormat="1" ht="13" x14ac:dyDescent="0.3">
      <c r="G200" s="899">
        <f>SUM(G197:G199)</f>
        <v>0</v>
      </c>
      <c r="H200" s="899">
        <f>SUM(H197:H199)</f>
        <v>0</v>
      </c>
      <c r="I200" s="899">
        <f>SUM(I197:I199)</f>
        <v>0</v>
      </c>
      <c r="J200" s="899">
        <f>-I200*0.5</f>
        <v>0</v>
      </c>
      <c r="K200" s="900">
        <f>SUM(K197:K199)</f>
        <v>0</v>
      </c>
      <c r="L200" s="901"/>
      <c r="N200" s="899">
        <f>SUM(N197:N199)</f>
        <v>0</v>
      </c>
    </row>
    <row r="201" spans="2:15" x14ac:dyDescent="0.25">
      <c r="K201" s="20"/>
      <c r="M201" s="394"/>
    </row>
    <row r="202" spans="2:15" x14ac:dyDescent="0.25">
      <c r="K202" s="20"/>
      <c r="M202" s="394"/>
    </row>
    <row r="203" spans="2:15" ht="13" x14ac:dyDescent="0.3">
      <c r="B203" s="18" t="s">
        <v>364</v>
      </c>
      <c r="C203" s="381"/>
      <c r="D203" s="381"/>
      <c r="E203" s="381"/>
      <c r="K203" s="20"/>
      <c r="M203" s="394"/>
    </row>
    <row r="204" spans="2:15" ht="13" x14ac:dyDescent="0.3">
      <c r="B204" s="18"/>
      <c r="C204" s="381"/>
      <c r="D204" s="381"/>
      <c r="E204" s="381"/>
      <c r="K204" s="20"/>
      <c r="M204" s="394"/>
    </row>
    <row r="205" spans="2:15" ht="13" x14ac:dyDescent="0.3">
      <c r="B205" s="864">
        <f>F182</f>
        <v>2018</v>
      </c>
      <c r="C205" s="906">
        <f>J185</f>
        <v>0</v>
      </c>
      <c r="D205" s="381"/>
      <c r="E205" s="381"/>
      <c r="K205" s="20"/>
      <c r="M205" s="394"/>
    </row>
    <row r="206" spans="2:15" ht="13" x14ac:dyDescent="0.3">
      <c r="B206" s="864">
        <f>F187</f>
        <v>2019</v>
      </c>
      <c r="C206" s="906">
        <f>K192</f>
        <v>0</v>
      </c>
      <c r="D206" s="381"/>
      <c r="E206" s="381"/>
      <c r="K206" s="20"/>
      <c r="M206" s="394"/>
    </row>
    <row r="207" spans="2:15" ht="13" x14ac:dyDescent="0.3">
      <c r="B207" s="864">
        <f>F194</f>
        <v>2020</v>
      </c>
      <c r="C207" s="906">
        <f>K200</f>
        <v>0</v>
      </c>
      <c r="D207" s="381"/>
      <c r="E207" s="381"/>
      <c r="K207" s="20"/>
      <c r="M207" s="394"/>
    </row>
    <row r="208" spans="2:15" ht="13" x14ac:dyDescent="0.3">
      <c r="H208" s="392"/>
      <c r="I208" s="392"/>
      <c r="J208" s="392"/>
      <c r="K208" s="20"/>
      <c r="M208" s="610"/>
    </row>
    <row r="209" spans="2:15" x14ac:dyDescent="0.25">
      <c r="K209" s="20"/>
      <c r="M209" s="610"/>
    </row>
    <row r="210" spans="2:15" ht="13" x14ac:dyDescent="0.3">
      <c r="B210" s="902" t="s">
        <v>138</v>
      </c>
      <c r="C210" s="903"/>
      <c r="D210" s="903"/>
      <c r="E210" s="903"/>
      <c r="F210" s="904"/>
      <c r="G210" s="904"/>
      <c r="H210" s="904"/>
      <c r="I210" s="904"/>
      <c r="J210" s="904"/>
      <c r="K210" s="904"/>
      <c r="L210" s="904"/>
      <c r="M210" s="905"/>
      <c r="N210" s="904"/>
    </row>
    <row r="211" spans="2:15" x14ac:dyDescent="0.25">
      <c r="K211" s="20"/>
      <c r="M211" s="610"/>
    </row>
    <row r="212" spans="2:15" ht="13" x14ac:dyDescent="0.3">
      <c r="B212" s="18" t="s">
        <v>362</v>
      </c>
      <c r="F212" s="895">
        <v>2018</v>
      </c>
      <c r="K212" s="20"/>
      <c r="M212" s="610"/>
    </row>
    <row r="213" spans="2:15" x14ac:dyDescent="0.25">
      <c r="K213" s="20"/>
      <c r="L213" s="610"/>
    </row>
    <row r="214" spans="2:15" ht="82.5" customHeight="1" x14ac:dyDescent="0.25">
      <c r="B214" s="1060" t="s">
        <v>363</v>
      </c>
      <c r="C214" s="1061"/>
      <c r="D214" s="1061"/>
      <c r="E214" s="1062"/>
      <c r="F214" s="599"/>
      <c r="G214" s="675" t="str">
        <f>"Nog af te bouwen regulatoir saldo einde "&amp;F212-1</f>
        <v>Nog af te bouwen regulatoir saldo einde 2017</v>
      </c>
      <c r="H214" s="675" t="str">
        <f>"Afbouw oudste openstaande regulatoir saldo vanaf boekjaar "&amp;F212-2&amp;" en vroeger, door aanwending van compensatie met regulatoir saldo ontstaan over boekjaar "&amp;F212-1</f>
        <v>Afbouw oudste openstaande regulatoir saldo vanaf boekjaar 2016 en vroeger, door aanwending van compensatie met regulatoir saldo ontstaan over boekjaar 2017</v>
      </c>
      <c r="I214" s="675" t="str">
        <f>"Nog af te bouwen regulatoir saldo na compensatie einde "&amp;F212-1</f>
        <v>Nog af te bouwen regulatoir saldo na compensatie einde 2017</v>
      </c>
      <c r="J214" s="675" t="str">
        <f>"Aanwending van 50% van het geaccumuleerd regulatoir saldo door te rekenen volgens de tariefmethodologie in het boekjaar "&amp;F212</f>
        <v>Aanwending van 50% van het geaccumuleerd regulatoir saldo door te rekenen volgens de tariefmethodologie in het boekjaar 2018</v>
      </c>
      <c r="K214" s="675" t="str">
        <f>"Nog af te bouwen regulatoir saldo einde "&amp;F212</f>
        <v>Nog af te bouwen regulatoir saldo einde 2018</v>
      </c>
      <c r="L214" s="610"/>
    </row>
    <row r="215" spans="2:15" ht="13" x14ac:dyDescent="0.25">
      <c r="B215" s="1057">
        <v>2017</v>
      </c>
      <c r="C215" s="1058"/>
      <c r="D215" s="1058"/>
      <c r="E215" s="1059"/>
      <c r="F215" s="896"/>
      <c r="G215" s="839">
        <f>G95</f>
        <v>0</v>
      </c>
      <c r="H215" s="897">
        <v>0</v>
      </c>
      <c r="I215" s="839">
        <f>+G215+H215</f>
        <v>0</v>
      </c>
      <c r="J215" s="839">
        <f>-I215*0.5</f>
        <v>0</v>
      </c>
      <c r="K215" s="908">
        <f>+J215+G215</f>
        <v>0</v>
      </c>
      <c r="L215" s="610"/>
    </row>
    <row r="216" spans="2:15" x14ac:dyDescent="0.25">
      <c r="K216" s="20"/>
      <c r="L216" s="610"/>
    </row>
    <row r="217" spans="2:15" ht="13" x14ac:dyDescent="0.3">
      <c r="B217" s="18" t="s">
        <v>362</v>
      </c>
      <c r="F217" s="895">
        <v>2019</v>
      </c>
      <c r="K217" s="20"/>
      <c r="M217" s="610"/>
    </row>
    <row r="218" spans="2:15" x14ac:dyDescent="0.25">
      <c r="K218" s="20"/>
      <c r="M218" s="610"/>
    </row>
    <row r="219" spans="2:15" ht="84" customHeight="1" x14ac:dyDescent="0.25">
      <c r="B219" s="1060" t="s">
        <v>363</v>
      </c>
      <c r="C219" s="1061"/>
      <c r="D219" s="1061"/>
      <c r="E219" s="1062"/>
      <c r="F219" s="599"/>
      <c r="G219" s="675" t="str">
        <f>"Nog af te bouwen regulatoir saldo einde "&amp;F217-1</f>
        <v>Nog af te bouwen regulatoir saldo einde 2018</v>
      </c>
      <c r="H219" s="675" t="str">
        <f>"Afbouw oudste openstaande regulatoir saldo vanaf boekjaar "&amp;F217-2&amp;" en vroeger, door aanwending van compensatie met regulatoir saldo ontstaan over boekjaar "&amp;F217-1</f>
        <v>Afbouw oudste openstaande regulatoir saldo vanaf boekjaar 2017 en vroeger, door aanwending van compensatie met regulatoir saldo ontstaan over boekjaar 2018</v>
      </c>
      <c r="I219" s="675" t="str">
        <f>"Nog af te bouwen regulatoir saldo na compensatie einde "&amp;F217-1</f>
        <v>Nog af te bouwen regulatoir saldo na compensatie einde 2018</v>
      </c>
      <c r="J219" s="675" t="str">
        <f>"Aanwending van 50% van het geaccumuleerd regulatoir saldo door te rekenen volgens de tariefmethodologie in het boekjaar "&amp;F217</f>
        <v>Aanwending van 50% van het geaccumuleerd regulatoir saldo door te rekenen volgens de tariefmethodologie in het boekjaar 2019</v>
      </c>
      <c r="K219" s="675" t="str">
        <f>"Aanwending van 50% van het geaccumuleerd regulatoir saldo door te rekenen volgens de tariefmethodologie in het boekjaar "&amp;F217</f>
        <v>Aanwending van 50% van het geaccumuleerd regulatoir saldo door te rekenen volgens de tariefmethodologie in het boekjaar 2019</v>
      </c>
      <c r="L219" s="675" t="str">
        <f>"Totale afbouw over "&amp;F217</f>
        <v>Totale afbouw over 2019</v>
      </c>
      <c r="N219" s="675" t="str">
        <f>"Nog af te bouwen regulatoir saldo einde "&amp;F217</f>
        <v>Nog af te bouwen regulatoir saldo einde 2019</v>
      </c>
      <c r="O219" s="610"/>
    </row>
    <row r="220" spans="2:15" ht="13" x14ac:dyDescent="0.25">
      <c r="B220" s="1057">
        <v>2017</v>
      </c>
      <c r="C220" s="1058"/>
      <c r="D220" s="1058"/>
      <c r="E220" s="1059"/>
      <c r="F220" s="896"/>
      <c r="G220" s="839">
        <f>K215</f>
        <v>0</v>
      </c>
      <c r="H220" s="897">
        <f>IF(SIGN(G221*K215)&lt;0,IF(G220&lt;&gt;0,-SIGN(G220)*MIN(ABS(G221),ABS(G220)),0),0)</f>
        <v>0</v>
      </c>
      <c r="I220" s="839">
        <f>+G220+H220</f>
        <v>0</v>
      </c>
      <c r="J220" s="698"/>
      <c r="K220" s="897">
        <f>-MIN(ABS(I220),ABS(J222))*SIGN(I220)</f>
        <v>0</v>
      </c>
      <c r="L220" s="898">
        <f>+K220+H220</f>
        <v>0</v>
      </c>
      <c r="N220" s="839">
        <f>+I220+K220</f>
        <v>0</v>
      </c>
      <c r="O220" s="610"/>
    </row>
    <row r="221" spans="2:15" ht="13" x14ac:dyDescent="0.25">
      <c r="B221" s="1057">
        <v>2018</v>
      </c>
      <c r="C221" s="1058"/>
      <c r="D221" s="1058"/>
      <c r="E221" s="1059"/>
      <c r="F221" s="896"/>
      <c r="G221" s="839">
        <f>H96</f>
        <v>0</v>
      </c>
      <c r="H221" s="898">
        <f>IF(SIGN(G221*K215)&lt;0,-H220,0)</f>
        <v>0</v>
      </c>
      <c r="I221" s="839">
        <f>+G221+H221</f>
        <v>0</v>
      </c>
      <c r="J221" s="698"/>
      <c r="K221" s="897">
        <f>-MIN(ABS(I221),ABS(J222-K220))*SIGN(I221)</f>
        <v>0</v>
      </c>
      <c r="L221" s="898">
        <f>+K221+H221</f>
        <v>0</v>
      </c>
      <c r="N221" s="839">
        <f>+I221+K221</f>
        <v>0</v>
      </c>
      <c r="O221" s="610"/>
    </row>
    <row r="222" spans="2:15" s="18" customFormat="1" ht="13" x14ac:dyDescent="0.3">
      <c r="G222" s="899">
        <f>SUM(G220:G221)</f>
        <v>0</v>
      </c>
      <c r="H222" s="899">
        <f>SUM(H220:H221)</f>
        <v>0</v>
      </c>
      <c r="I222" s="899">
        <f>SUM(I220:I221)</f>
        <v>0</v>
      </c>
      <c r="J222" s="899">
        <f>-I222*0.5</f>
        <v>0</v>
      </c>
      <c r="K222" s="900">
        <f>SUM(K220:K221)</f>
        <v>0</v>
      </c>
      <c r="L222" s="901"/>
      <c r="N222" s="899">
        <f>SUM(N220:N221)</f>
        <v>0</v>
      </c>
    </row>
    <row r="223" spans="2:15" x14ac:dyDescent="0.25">
      <c r="K223" s="20"/>
      <c r="M223" s="610"/>
    </row>
    <row r="224" spans="2:15" ht="13" x14ac:dyDescent="0.3">
      <c r="B224" s="18" t="s">
        <v>362</v>
      </c>
      <c r="F224" s="895">
        <v>2020</v>
      </c>
      <c r="K224" s="20"/>
    </row>
    <row r="225" spans="2:15" x14ac:dyDescent="0.25">
      <c r="K225" s="20"/>
    </row>
    <row r="226" spans="2:15" ht="94.5" customHeight="1" x14ac:dyDescent="0.25">
      <c r="B226" s="1060" t="s">
        <v>363</v>
      </c>
      <c r="C226" s="1061"/>
      <c r="D226" s="1061"/>
      <c r="E226" s="1062"/>
      <c r="F226" s="599"/>
      <c r="G226" s="675" t="str">
        <f>"Nog af te bouwen regulatoir saldo einde "&amp;F224-1</f>
        <v>Nog af te bouwen regulatoir saldo einde 2019</v>
      </c>
      <c r="H226" s="675" t="str">
        <f>"Afbouw oudste openstaande regulatoir saldo vanaf boekjaar "&amp;F224-32&amp;" en vroeger, door aanwending van compensatie met regulatoir saldo ontstaan over boekjaar "&amp;F224-1</f>
        <v>Afbouw oudste openstaande regulatoir saldo vanaf boekjaar 1988 en vroeger, door aanwending van compensatie met regulatoir saldo ontstaan over boekjaar 2019</v>
      </c>
      <c r="I226" s="675" t="str">
        <f>"Nog af te bouwen regulatoir saldo na compensatie einde "&amp;F224-1</f>
        <v>Nog af te bouwen regulatoir saldo na compensatie einde 2019</v>
      </c>
      <c r="J226" s="675" t="str">
        <f>"Aanwending van 50% van het geaccumuleerd regulatoir saldo door te rekenen volgens de tariefmethodologie in het boekjaar "&amp;F224</f>
        <v>Aanwending van 50% van het geaccumuleerd regulatoir saldo door te rekenen volgens de tariefmethodologie in het boekjaar 2020</v>
      </c>
      <c r="K226" s="675" t="str">
        <f>"Aanwending van 50% van het geaccumuleerd regulatoir saldo door te rekenen volgens de tariefmethodologie in het boekjaar "&amp;F224</f>
        <v>Aanwending van 50% van het geaccumuleerd regulatoir saldo door te rekenen volgens de tariefmethodologie in het boekjaar 2020</v>
      </c>
      <c r="L226" s="675" t="str">
        <f>"Totale afbouw over "&amp;F224</f>
        <v>Totale afbouw over 2020</v>
      </c>
      <c r="N226" s="675" t="str">
        <f>"Nog af te bouwen regulatoir saldo einde "&amp;F224</f>
        <v>Nog af te bouwen regulatoir saldo einde 2020</v>
      </c>
      <c r="O226" s="610"/>
    </row>
    <row r="227" spans="2:15" ht="13" x14ac:dyDescent="0.25">
      <c r="B227" s="1057">
        <v>2017</v>
      </c>
      <c r="C227" s="1058"/>
      <c r="D227" s="1058"/>
      <c r="E227" s="1059"/>
      <c r="F227" s="896"/>
      <c r="G227" s="839">
        <f>+N220</f>
        <v>0</v>
      </c>
      <c r="H227" s="898">
        <f>IF(SIGN(G229*N222)&lt;0,IF(G227&lt;&gt;0,-SIGN(G227)*MIN(ABS(G229),ABS(G227)),0),0)</f>
        <v>0</v>
      </c>
      <c r="I227" s="839">
        <f>+G227+H227</f>
        <v>0</v>
      </c>
      <c r="J227" s="698"/>
      <c r="K227" s="897">
        <f>-MIN(ABS(I227),ABS(J230))*SIGN(I227)</f>
        <v>0</v>
      </c>
      <c r="L227" s="898">
        <f>+K227+H227</f>
        <v>0</v>
      </c>
      <c r="N227" s="839">
        <f>+I227+K227</f>
        <v>0</v>
      </c>
      <c r="O227" s="610"/>
    </row>
    <row r="228" spans="2:15" ht="13" x14ac:dyDescent="0.25">
      <c r="B228" s="1057">
        <v>2018</v>
      </c>
      <c r="C228" s="1058"/>
      <c r="D228" s="1058">
        <v>2016</v>
      </c>
      <c r="E228" s="1059"/>
      <c r="F228" s="896"/>
      <c r="G228" s="839">
        <f>+N221</f>
        <v>0</v>
      </c>
      <c r="H228" s="898">
        <f>IF(SIGN(G229*N222)&lt;0,IF(G228&lt;&gt;0,-SIGN(G228)*MIN(ABS(G229-H227),ABS(G228)),0),0)</f>
        <v>0</v>
      </c>
      <c r="I228" s="839">
        <f>+G228+H228</f>
        <v>0</v>
      </c>
      <c r="J228" s="698"/>
      <c r="K228" s="897">
        <f>-MIN(ABS(I228),ABS(J230-K227))*SIGN(I228)</f>
        <v>0</v>
      </c>
      <c r="L228" s="898">
        <f>+K228+H228</f>
        <v>0</v>
      </c>
      <c r="N228" s="839">
        <f>+I228+K228</f>
        <v>0</v>
      </c>
      <c r="O228" s="610"/>
    </row>
    <row r="229" spans="2:15" ht="13" x14ac:dyDescent="0.25">
      <c r="B229" s="1057">
        <v>2019</v>
      </c>
      <c r="C229" s="1058"/>
      <c r="D229" s="1058"/>
      <c r="E229" s="1059"/>
      <c r="F229" s="896"/>
      <c r="G229" s="839">
        <f>I97</f>
        <v>0</v>
      </c>
      <c r="H229" s="898">
        <f>IF(SIGN(G229*N222)&lt;0,-SUM(H227:H228),0)</f>
        <v>0</v>
      </c>
      <c r="I229" s="839">
        <f>+G229+H229</f>
        <v>0</v>
      </c>
      <c r="J229" s="698"/>
      <c r="K229" s="897">
        <f>-MIN(ABS(I229),ABS(J230-K227-K228))*SIGN(I229)</f>
        <v>0</v>
      </c>
      <c r="L229" s="898">
        <f>+K229+H229</f>
        <v>0</v>
      </c>
      <c r="N229" s="839">
        <f>+I229+K229</f>
        <v>0</v>
      </c>
      <c r="O229" s="610"/>
    </row>
    <row r="230" spans="2:15" s="18" customFormat="1" ht="13" x14ac:dyDescent="0.3">
      <c r="G230" s="899">
        <f>SUM(G227:G229)</f>
        <v>0</v>
      </c>
      <c r="H230" s="899">
        <f>SUM(H227:H229)</f>
        <v>0</v>
      </c>
      <c r="I230" s="899">
        <f>SUM(I227:I229)</f>
        <v>0</v>
      </c>
      <c r="J230" s="899">
        <f>-I230*0.5</f>
        <v>0</v>
      </c>
      <c r="K230" s="900">
        <f>SUM(K227:K229)</f>
        <v>0</v>
      </c>
      <c r="L230" s="901"/>
      <c r="N230" s="899">
        <f>SUM(N227:N229)</f>
        <v>0</v>
      </c>
    </row>
    <row r="231" spans="2:15" x14ac:dyDescent="0.25">
      <c r="K231" s="20"/>
      <c r="M231" s="394"/>
    </row>
    <row r="232" spans="2:15" x14ac:dyDescent="0.25">
      <c r="K232" s="20"/>
      <c r="M232" s="394"/>
    </row>
    <row r="233" spans="2:15" ht="13" x14ac:dyDescent="0.3">
      <c r="B233" s="18" t="s">
        <v>364</v>
      </c>
      <c r="C233" s="381"/>
      <c r="D233" s="381"/>
      <c r="E233" s="381"/>
      <c r="K233" s="20"/>
      <c r="M233" s="394"/>
    </row>
    <row r="234" spans="2:15" ht="13" x14ac:dyDescent="0.3">
      <c r="B234" s="18"/>
      <c r="C234" s="381"/>
      <c r="D234" s="381"/>
      <c r="E234" s="381"/>
      <c r="K234" s="20"/>
      <c r="M234" s="394"/>
    </row>
    <row r="235" spans="2:15" ht="13" x14ac:dyDescent="0.3">
      <c r="B235" s="864">
        <f>F212</f>
        <v>2018</v>
      </c>
      <c r="C235" s="906">
        <f>J215</f>
        <v>0</v>
      </c>
      <c r="D235" s="381"/>
      <c r="E235" s="381"/>
      <c r="K235" s="20"/>
      <c r="M235" s="394"/>
    </row>
    <row r="236" spans="2:15" ht="13" x14ac:dyDescent="0.3">
      <c r="B236" s="864">
        <f>F217</f>
        <v>2019</v>
      </c>
      <c r="C236" s="906">
        <f>K222</f>
        <v>0</v>
      </c>
      <c r="D236" s="381"/>
      <c r="E236" s="381"/>
      <c r="K236" s="20"/>
      <c r="M236" s="394"/>
    </row>
    <row r="237" spans="2:15" ht="13" x14ac:dyDescent="0.3">
      <c r="B237" s="864">
        <f>F224</f>
        <v>2020</v>
      </c>
      <c r="C237" s="906">
        <f>K230</f>
        <v>0</v>
      </c>
      <c r="D237" s="381"/>
      <c r="E237" s="381"/>
      <c r="K237" s="20"/>
      <c r="M237" s="394"/>
    </row>
    <row r="238" spans="2:15" ht="13" x14ac:dyDescent="0.3">
      <c r="H238" s="392"/>
      <c r="I238" s="392"/>
      <c r="J238" s="392"/>
      <c r="K238" s="20"/>
      <c r="M238" s="610"/>
    </row>
    <row r="239" spans="2:15" x14ac:dyDescent="0.25">
      <c r="K239" s="20"/>
      <c r="M239" s="610"/>
    </row>
    <row r="240" spans="2:15" ht="13" x14ac:dyDescent="0.3">
      <c r="B240" s="902" t="s">
        <v>133</v>
      </c>
      <c r="C240" s="903"/>
      <c r="D240" s="903"/>
      <c r="E240" s="903"/>
      <c r="F240" s="904"/>
      <c r="G240" s="904"/>
      <c r="H240" s="904"/>
      <c r="I240" s="904"/>
      <c r="J240" s="904"/>
      <c r="K240" s="904"/>
      <c r="L240" s="904"/>
      <c r="M240" s="905"/>
      <c r="N240" s="904"/>
    </row>
    <row r="241" spans="2:15" x14ac:dyDescent="0.25">
      <c r="K241" s="20"/>
      <c r="M241" s="610"/>
    </row>
    <row r="242" spans="2:15" ht="13" x14ac:dyDescent="0.3">
      <c r="B242" s="18" t="s">
        <v>362</v>
      </c>
      <c r="F242" s="895">
        <v>2018</v>
      </c>
      <c r="K242" s="20"/>
      <c r="M242" s="610"/>
    </row>
    <row r="243" spans="2:15" x14ac:dyDescent="0.25">
      <c r="K243" s="20"/>
      <c r="L243" s="610"/>
    </row>
    <row r="244" spans="2:15" ht="82.5" customHeight="1" x14ac:dyDescent="0.25">
      <c r="B244" s="1060" t="s">
        <v>363</v>
      </c>
      <c r="C244" s="1061"/>
      <c r="D244" s="1061"/>
      <c r="E244" s="1062"/>
      <c r="F244" s="599"/>
      <c r="G244" s="675" t="str">
        <f>"Nog af te bouwen regulatoir saldo einde "&amp;F242-1</f>
        <v>Nog af te bouwen regulatoir saldo einde 2017</v>
      </c>
      <c r="H244" s="675" t="str">
        <f>"Afbouw oudste openstaande regulatoir saldo vanaf boekjaar "&amp;F242-2&amp;" en vroeger, door aanwending van compensatie met regulatoir saldo ontstaan over boekjaar "&amp;F242-1</f>
        <v>Afbouw oudste openstaande regulatoir saldo vanaf boekjaar 2016 en vroeger, door aanwending van compensatie met regulatoir saldo ontstaan over boekjaar 2017</v>
      </c>
      <c r="I244" s="675" t="str">
        <f>"Nog af te bouwen regulatoir saldo na compensatie einde "&amp;F242-1</f>
        <v>Nog af te bouwen regulatoir saldo na compensatie einde 2017</v>
      </c>
      <c r="J244" s="675" t="str">
        <f>"Aanwending van 50% van het geaccumuleerd regulatoir saldo door te rekenen volgens de tariefmethodologie in het boekjaar "&amp;F242</f>
        <v>Aanwending van 50% van het geaccumuleerd regulatoir saldo door te rekenen volgens de tariefmethodologie in het boekjaar 2018</v>
      </c>
      <c r="K244" s="675" t="str">
        <f>"Nog af te bouwen regulatoir saldo einde "&amp;F242</f>
        <v>Nog af te bouwen regulatoir saldo einde 2018</v>
      </c>
      <c r="L244" s="610"/>
    </row>
    <row r="245" spans="2:15" ht="13" x14ac:dyDescent="0.25">
      <c r="B245" s="1057">
        <v>2017</v>
      </c>
      <c r="C245" s="1058"/>
      <c r="D245" s="1058"/>
      <c r="E245" s="1059"/>
      <c r="F245" s="896"/>
      <c r="G245" s="839">
        <f>G100</f>
        <v>0</v>
      </c>
      <c r="H245" s="897">
        <v>0</v>
      </c>
      <c r="I245" s="839">
        <f>+G245+H245</f>
        <v>0</v>
      </c>
      <c r="J245" s="839">
        <f>-I245*0.5</f>
        <v>0</v>
      </c>
      <c r="K245" s="908">
        <f>+J245+G245</f>
        <v>0</v>
      </c>
      <c r="L245" s="610"/>
    </row>
    <row r="246" spans="2:15" x14ac:dyDescent="0.25">
      <c r="K246" s="20"/>
      <c r="L246" s="610"/>
    </row>
    <row r="247" spans="2:15" ht="13" x14ac:dyDescent="0.3">
      <c r="B247" s="18" t="s">
        <v>362</v>
      </c>
      <c r="F247" s="895">
        <v>2019</v>
      </c>
      <c r="K247" s="20"/>
      <c r="M247" s="610"/>
    </row>
    <row r="248" spans="2:15" x14ac:dyDescent="0.25">
      <c r="K248" s="20"/>
      <c r="M248" s="610"/>
    </row>
    <row r="249" spans="2:15" ht="84" customHeight="1" x14ac:dyDescent="0.25">
      <c r="B249" s="1060" t="s">
        <v>363</v>
      </c>
      <c r="C249" s="1061"/>
      <c r="D249" s="1061"/>
      <c r="E249" s="1062"/>
      <c r="F249" s="599"/>
      <c r="G249" s="675" t="str">
        <f>"Nog af te bouwen regulatoir saldo einde "&amp;F247-1</f>
        <v>Nog af te bouwen regulatoir saldo einde 2018</v>
      </c>
      <c r="H249" s="675" t="str">
        <f>"Afbouw oudste openstaande regulatoir saldo vanaf boekjaar "&amp;F247-2&amp;" en vroeger, door aanwending van compensatie met regulatoir saldo ontstaan over boekjaar "&amp;F247-1</f>
        <v>Afbouw oudste openstaande regulatoir saldo vanaf boekjaar 2017 en vroeger, door aanwending van compensatie met regulatoir saldo ontstaan over boekjaar 2018</v>
      </c>
      <c r="I249" s="675" t="str">
        <f>"Nog af te bouwen regulatoir saldo na compensatie einde "&amp;F247-1</f>
        <v>Nog af te bouwen regulatoir saldo na compensatie einde 2018</v>
      </c>
      <c r="J249" s="675" t="str">
        <f>"Aanwending van 50% van het geaccumuleerd regulatoir saldo door te rekenen volgens de tariefmethodologie in het boekjaar "&amp;F247</f>
        <v>Aanwending van 50% van het geaccumuleerd regulatoir saldo door te rekenen volgens de tariefmethodologie in het boekjaar 2019</v>
      </c>
      <c r="K249" s="675" t="str">
        <f>"Aanwending van 50% van het geaccumuleerd regulatoir saldo door te rekenen volgens de tariefmethodologie in het boekjaar "&amp;F247</f>
        <v>Aanwending van 50% van het geaccumuleerd regulatoir saldo door te rekenen volgens de tariefmethodologie in het boekjaar 2019</v>
      </c>
      <c r="L249" s="675" t="str">
        <f>"Totale afbouw over "&amp;F247</f>
        <v>Totale afbouw over 2019</v>
      </c>
      <c r="N249" s="675" t="str">
        <f>"Nog af te bouwen regulatoir saldo einde "&amp;F247</f>
        <v>Nog af te bouwen regulatoir saldo einde 2019</v>
      </c>
      <c r="O249" s="610"/>
    </row>
    <row r="250" spans="2:15" ht="13" x14ac:dyDescent="0.25">
      <c r="B250" s="1057">
        <v>2017</v>
      </c>
      <c r="C250" s="1058"/>
      <c r="D250" s="1058"/>
      <c r="E250" s="1059"/>
      <c r="F250" s="896"/>
      <c r="G250" s="839">
        <f>K245</f>
        <v>0</v>
      </c>
      <c r="H250" s="897">
        <f>IF(SIGN(G251*K245)&lt;0,IF(G250&lt;&gt;0,-SIGN(G250)*MIN(ABS(G251),ABS(G250)),0),0)</f>
        <v>0</v>
      </c>
      <c r="I250" s="839">
        <f>+G250+H250</f>
        <v>0</v>
      </c>
      <c r="J250" s="698"/>
      <c r="K250" s="897">
        <f>-MIN(ABS(I250),ABS(J252))*SIGN(I250)</f>
        <v>0</v>
      </c>
      <c r="L250" s="898">
        <f>+K250+H250</f>
        <v>0</v>
      </c>
      <c r="N250" s="839">
        <f>+I250+K250</f>
        <v>0</v>
      </c>
      <c r="O250" s="610"/>
    </row>
    <row r="251" spans="2:15" ht="13" x14ac:dyDescent="0.25">
      <c r="B251" s="1057">
        <v>2018</v>
      </c>
      <c r="C251" s="1058"/>
      <c r="D251" s="1058"/>
      <c r="E251" s="1059"/>
      <c r="F251" s="896"/>
      <c r="G251" s="839">
        <f>H101</f>
        <v>0</v>
      </c>
      <c r="H251" s="898">
        <f>IF(SIGN(G251*K245)&lt;0,-H250,0)</f>
        <v>0</v>
      </c>
      <c r="I251" s="839">
        <f>+G251+H251</f>
        <v>0</v>
      </c>
      <c r="J251" s="698"/>
      <c r="K251" s="897">
        <f>-MIN(ABS(I251),ABS(J252-K250))*SIGN(I251)</f>
        <v>0</v>
      </c>
      <c r="L251" s="898">
        <f>+K251+H251</f>
        <v>0</v>
      </c>
      <c r="N251" s="839">
        <f>+I251+K251</f>
        <v>0</v>
      </c>
      <c r="O251" s="610"/>
    </row>
    <row r="252" spans="2:15" s="18" customFormat="1" ht="13" x14ac:dyDescent="0.3">
      <c r="G252" s="899">
        <f>SUM(G250:G251)</f>
        <v>0</v>
      </c>
      <c r="H252" s="899">
        <f>SUM(H250:H251)</f>
        <v>0</v>
      </c>
      <c r="I252" s="899">
        <f>SUM(I250:I251)</f>
        <v>0</v>
      </c>
      <c r="J252" s="899">
        <f>-I252*0.5</f>
        <v>0</v>
      </c>
      <c r="K252" s="900">
        <f>SUM(K250:K251)</f>
        <v>0</v>
      </c>
      <c r="L252" s="901"/>
      <c r="N252" s="899">
        <f>SUM(N250:N251)</f>
        <v>0</v>
      </c>
    </row>
    <row r="253" spans="2:15" x14ac:dyDescent="0.25">
      <c r="K253" s="20"/>
      <c r="M253" s="610"/>
    </row>
    <row r="254" spans="2:15" ht="13" x14ac:dyDescent="0.3">
      <c r="B254" s="18" t="s">
        <v>362</v>
      </c>
      <c r="F254" s="895">
        <v>2020</v>
      </c>
      <c r="K254" s="20"/>
    </row>
    <row r="255" spans="2:15" x14ac:dyDescent="0.25">
      <c r="K255" s="20"/>
    </row>
    <row r="256" spans="2:15" ht="94.5" customHeight="1" x14ac:dyDescent="0.25">
      <c r="B256" s="1060" t="s">
        <v>363</v>
      </c>
      <c r="C256" s="1061"/>
      <c r="D256" s="1061"/>
      <c r="E256" s="1062"/>
      <c r="F256" s="599"/>
      <c r="G256" s="675" t="str">
        <f>"Nog af te bouwen regulatoir saldo einde "&amp;F254-1</f>
        <v>Nog af te bouwen regulatoir saldo einde 2019</v>
      </c>
      <c r="H256" s="675" t="str">
        <f>"Afbouw oudste openstaande regulatoir saldo vanaf boekjaar "&amp;F254-32&amp;" en vroeger, door aanwending van compensatie met regulatoir saldo ontstaan over boekjaar "&amp;F254-1</f>
        <v>Afbouw oudste openstaande regulatoir saldo vanaf boekjaar 1988 en vroeger, door aanwending van compensatie met regulatoir saldo ontstaan over boekjaar 2019</v>
      </c>
      <c r="I256" s="675" t="str">
        <f>"Nog af te bouwen regulatoir saldo na compensatie einde "&amp;F254-1</f>
        <v>Nog af te bouwen regulatoir saldo na compensatie einde 2019</v>
      </c>
      <c r="J256" s="675" t="str">
        <f>"Aanwending van 50% van het geaccumuleerd regulatoir saldo door te rekenen volgens de tariefmethodologie in het boekjaar "&amp;F254</f>
        <v>Aanwending van 50% van het geaccumuleerd regulatoir saldo door te rekenen volgens de tariefmethodologie in het boekjaar 2020</v>
      </c>
      <c r="K256" s="675" t="str">
        <f>"Aanwending van 50% van het geaccumuleerd regulatoir saldo door te rekenen volgens de tariefmethodologie in het boekjaar "&amp;F254</f>
        <v>Aanwending van 50% van het geaccumuleerd regulatoir saldo door te rekenen volgens de tariefmethodologie in het boekjaar 2020</v>
      </c>
      <c r="L256" s="675" t="str">
        <f>"Totale afbouw over "&amp;F254</f>
        <v>Totale afbouw over 2020</v>
      </c>
      <c r="N256" s="675" t="str">
        <f>"Nog af te bouwen regulatoir saldo einde "&amp;F254</f>
        <v>Nog af te bouwen regulatoir saldo einde 2020</v>
      </c>
      <c r="O256" s="610"/>
    </row>
    <row r="257" spans="2:15" ht="13" x14ac:dyDescent="0.25">
      <c r="B257" s="1057">
        <v>2017</v>
      </c>
      <c r="C257" s="1058"/>
      <c r="D257" s="1058"/>
      <c r="E257" s="1059"/>
      <c r="F257" s="896"/>
      <c r="G257" s="839">
        <f>+N250</f>
        <v>0</v>
      </c>
      <c r="H257" s="898">
        <f>IF(SIGN(G259*N252)&lt;0,IF(G257&lt;&gt;0,-SIGN(G257)*MIN(ABS(G259),ABS(G257)),0),0)</f>
        <v>0</v>
      </c>
      <c r="I257" s="839">
        <f>+G257+H257</f>
        <v>0</v>
      </c>
      <c r="J257" s="698"/>
      <c r="K257" s="897">
        <f>-MIN(ABS(I257),ABS(J260))*SIGN(I257)</f>
        <v>0</v>
      </c>
      <c r="L257" s="898">
        <f>+K257+H257</f>
        <v>0</v>
      </c>
      <c r="N257" s="839">
        <f>+I257+K257</f>
        <v>0</v>
      </c>
      <c r="O257" s="610"/>
    </row>
    <row r="258" spans="2:15" ht="13" x14ac:dyDescent="0.25">
      <c r="B258" s="1057">
        <v>2018</v>
      </c>
      <c r="C258" s="1058"/>
      <c r="D258" s="1058">
        <v>2016</v>
      </c>
      <c r="E258" s="1059"/>
      <c r="F258" s="896"/>
      <c r="G258" s="839">
        <f>+N251</f>
        <v>0</v>
      </c>
      <c r="H258" s="898">
        <f>IF(SIGN(G259*N252)&lt;0,IF(G258&lt;&gt;0,-SIGN(G258)*MIN(ABS(G259-H257),ABS(G258)),0),0)</f>
        <v>0</v>
      </c>
      <c r="I258" s="839">
        <f>+G258+H258</f>
        <v>0</v>
      </c>
      <c r="J258" s="698"/>
      <c r="K258" s="897">
        <f>-MIN(ABS(I258),ABS(J260-K257))*SIGN(I258)</f>
        <v>0</v>
      </c>
      <c r="L258" s="898">
        <f>+K258+H258</f>
        <v>0</v>
      </c>
      <c r="N258" s="839">
        <f>+I258+K258</f>
        <v>0</v>
      </c>
      <c r="O258" s="610"/>
    </row>
    <row r="259" spans="2:15" ht="13" x14ac:dyDescent="0.25">
      <c r="B259" s="1057">
        <v>2019</v>
      </c>
      <c r="C259" s="1058"/>
      <c r="D259" s="1058"/>
      <c r="E259" s="1059"/>
      <c r="F259" s="896"/>
      <c r="G259" s="839">
        <f>I102</f>
        <v>0</v>
      </c>
      <c r="H259" s="898">
        <f>IF(SIGN(G259*N252)&lt;0,-SUM(H257:H258),0)</f>
        <v>0</v>
      </c>
      <c r="I259" s="839">
        <f>+G259+H259</f>
        <v>0</v>
      </c>
      <c r="J259" s="698"/>
      <c r="K259" s="897">
        <f>-MIN(ABS(I259),ABS(J260-K257-K258))*SIGN(I259)</f>
        <v>0</v>
      </c>
      <c r="L259" s="898">
        <f>+K259+H259</f>
        <v>0</v>
      </c>
      <c r="N259" s="839">
        <f>+I259+K259</f>
        <v>0</v>
      </c>
      <c r="O259" s="610"/>
    </row>
    <row r="260" spans="2:15" s="18" customFormat="1" ht="13" x14ac:dyDescent="0.3">
      <c r="G260" s="899">
        <f>SUM(G257:G259)</f>
        <v>0</v>
      </c>
      <c r="H260" s="899">
        <f>SUM(H257:H259)</f>
        <v>0</v>
      </c>
      <c r="I260" s="899">
        <f>SUM(I257:I259)</f>
        <v>0</v>
      </c>
      <c r="J260" s="899">
        <f>-I260*0.5</f>
        <v>0</v>
      </c>
      <c r="K260" s="900">
        <f>SUM(K257:K259)</f>
        <v>0</v>
      </c>
      <c r="L260" s="901"/>
      <c r="N260" s="899">
        <f>SUM(N257:N259)</f>
        <v>0</v>
      </c>
    </row>
    <row r="261" spans="2:15" x14ac:dyDescent="0.25">
      <c r="K261" s="20"/>
      <c r="M261" s="394"/>
    </row>
    <row r="262" spans="2:15" x14ac:dyDescent="0.25">
      <c r="K262" s="20"/>
      <c r="M262" s="394"/>
    </row>
    <row r="263" spans="2:15" ht="13" x14ac:dyDescent="0.3">
      <c r="B263" s="18" t="s">
        <v>364</v>
      </c>
      <c r="C263" s="381"/>
      <c r="D263" s="381"/>
      <c r="E263" s="381"/>
      <c r="K263" s="20"/>
      <c r="M263" s="394"/>
    </row>
    <row r="264" spans="2:15" ht="13" x14ac:dyDescent="0.3">
      <c r="B264" s="18"/>
      <c r="C264" s="381"/>
      <c r="D264" s="381"/>
      <c r="E264" s="381"/>
      <c r="K264" s="20"/>
      <c r="M264" s="394"/>
    </row>
    <row r="265" spans="2:15" ht="13" x14ac:dyDescent="0.3">
      <c r="B265" s="864">
        <f>F242</f>
        <v>2018</v>
      </c>
      <c r="C265" s="906">
        <f>J245</f>
        <v>0</v>
      </c>
      <c r="D265" s="381"/>
      <c r="E265" s="381"/>
      <c r="K265" s="20"/>
      <c r="M265" s="394"/>
    </row>
    <row r="266" spans="2:15" ht="13" x14ac:dyDescent="0.3">
      <c r="B266" s="864">
        <f>F247</f>
        <v>2019</v>
      </c>
      <c r="C266" s="906">
        <f>K252</f>
        <v>0</v>
      </c>
      <c r="D266" s="381"/>
      <c r="E266" s="381"/>
      <c r="K266" s="20"/>
      <c r="M266" s="394"/>
    </row>
    <row r="267" spans="2:15" ht="13" x14ac:dyDescent="0.3">
      <c r="B267" s="864">
        <f>F254</f>
        <v>2020</v>
      </c>
      <c r="C267" s="906">
        <f>K260</f>
        <v>0</v>
      </c>
      <c r="D267" s="381"/>
      <c r="E267" s="381"/>
      <c r="K267" s="20"/>
      <c r="M267" s="394"/>
    </row>
    <row r="268" spans="2:15" ht="13" x14ac:dyDescent="0.3">
      <c r="H268" s="392"/>
      <c r="I268" s="392"/>
      <c r="J268" s="392"/>
      <c r="K268" s="20"/>
      <c r="M268" s="610"/>
    </row>
    <row r="269" spans="2:15" x14ac:dyDescent="0.25">
      <c r="K269" s="20"/>
      <c r="M269" s="610"/>
    </row>
    <row r="270" spans="2:15" ht="13" x14ac:dyDescent="0.3">
      <c r="B270" s="902" t="s">
        <v>239</v>
      </c>
      <c r="C270" s="903"/>
      <c r="D270" s="903"/>
      <c r="E270" s="903"/>
      <c r="F270" s="904"/>
      <c r="G270" s="904"/>
      <c r="H270" s="904"/>
      <c r="I270" s="904"/>
      <c r="J270" s="904"/>
      <c r="K270" s="904"/>
      <c r="L270" s="904"/>
      <c r="M270" s="905"/>
      <c r="N270" s="904"/>
    </row>
    <row r="271" spans="2:15" x14ac:dyDescent="0.25">
      <c r="K271" s="20"/>
      <c r="M271" s="610"/>
    </row>
    <row r="272" spans="2:15" ht="13" x14ac:dyDescent="0.3">
      <c r="B272" s="18" t="s">
        <v>362</v>
      </c>
      <c r="F272" s="895">
        <v>2018</v>
      </c>
      <c r="K272" s="20"/>
      <c r="M272" s="610"/>
    </row>
    <row r="273" spans="2:15" x14ac:dyDescent="0.25">
      <c r="K273" s="20"/>
      <c r="L273" s="610"/>
    </row>
    <row r="274" spans="2:15" ht="82.5" customHeight="1" x14ac:dyDescent="0.25">
      <c r="B274" s="1060" t="s">
        <v>363</v>
      </c>
      <c r="C274" s="1061"/>
      <c r="D274" s="1061"/>
      <c r="E274" s="1062"/>
      <c r="F274" s="599"/>
      <c r="G274" s="675" t="str">
        <f>"Nog af te bouwen regulatoir saldo einde "&amp;F272-1</f>
        <v>Nog af te bouwen regulatoir saldo einde 2017</v>
      </c>
      <c r="H274" s="675" t="str">
        <f>"Afbouw oudste openstaande regulatoir saldo vanaf boekjaar "&amp;F272-2&amp;" en vroeger, door aanwending van compensatie met regulatoir saldo ontstaan over boekjaar "&amp;F272-1</f>
        <v>Afbouw oudste openstaande regulatoir saldo vanaf boekjaar 2016 en vroeger, door aanwending van compensatie met regulatoir saldo ontstaan over boekjaar 2017</v>
      </c>
      <c r="I274" s="675" t="str">
        <f>"Nog af te bouwen regulatoir saldo na compensatie einde "&amp;F272-1</f>
        <v>Nog af te bouwen regulatoir saldo na compensatie einde 2017</v>
      </c>
      <c r="J274" s="675" t="str">
        <f>"Aanwending van 50% van het geaccumuleerd regulatoir saldo door te rekenen volgens de tariefmethodologie in het boekjaar "&amp;F272</f>
        <v>Aanwending van 50% van het geaccumuleerd regulatoir saldo door te rekenen volgens de tariefmethodologie in het boekjaar 2018</v>
      </c>
      <c r="K274" s="675" t="str">
        <f>"Nog af te bouwen regulatoir saldo einde "&amp;F272</f>
        <v>Nog af te bouwen regulatoir saldo einde 2018</v>
      </c>
      <c r="L274" s="610"/>
    </row>
    <row r="275" spans="2:15" ht="13" x14ac:dyDescent="0.25">
      <c r="B275" s="1057">
        <v>2017</v>
      </c>
      <c r="C275" s="1058"/>
      <c r="D275" s="1058"/>
      <c r="E275" s="1059"/>
      <c r="F275" s="896"/>
      <c r="G275" s="839">
        <f>G105</f>
        <v>0</v>
      </c>
      <c r="H275" s="897">
        <v>0</v>
      </c>
      <c r="I275" s="839">
        <f>+G275+H275</f>
        <v>0</v>
      </c>
      <c r="J275" s="839">
        <f>-I275*0.5</f>
        <v>0</v>
      </c>
      <c r="K275" s="908">
        <f>+J275+G275</f>
        <v>0</v>
      </c>
      <c r="L275" s="610"/>
    </row>
    <row r="276" spans="2:15" x14ac:dyDescent="0.25">
      <c r="K276" s="20"/>
      <c r="L276" s="610"/>
    </row>
    <row r="277" spans="2:15" ht="13" x14ac:dyDescent="0.3">
      <c r="B277" s="18" t="s">
        <v>362</v>
      </c>
      <c r="F277" s="895">
        <v>2019</v>
      </c>
      <c r="K277" s="20"/>
      <c r="M277" s="610"/>
    </row>
    <row r="278" spans="2:15" x14ac:dyDescent="0.25">
      <c r="K278" s="20"/>
      <c r="M278" s="610"/>
    </row>
    <row r="279" spans="2:15" ht="84" customHeight="1" x14ac:dyDescent="0.25">
      <c r="B279" s="1060" t="s">
        <v>363</v>
      </c>
      <c r="C279" s="1061"/>
      <c r="D279" s="1061"/>
      <c r="E279" s="1062"/>
      <c r="F279" s="599"/>
      <c r="G279" s="675" t="str">
        <f>"Nog af te bouwen regulatoir saldo einde "&amp;F277-1</f>
        <v>Nog af te bouwen regulatoir saldo einde 2018</v>
      </c>
      <c r="H279" s="675" t="str">
        <f>"Afbouw oudste openstaande regulatoir saldo vanaf boekjaar "&amp;F277-2&amp;" en vroeger, door aanwending van compensatie met regulatoir saldo ontstaan over boekjaar "&amp;F277-1</f>
        <v>Afbouw oudste openstaande regulatoir saldo vanaf boekjaar 2017 en vroeger, door aanwending van compensatie met regulatoir saldo ontstaan over boekjaar 2018</v>
      </c>
      <c r="I279" s="675" t="str">
        <f>"Nog af te bouwen regulatoir saldo na compensatie einde "&amp;F277-1</f>
        <v>Nog af te bouwen regulatoir saldo na compensatie einde 2018</v>
      </c>
      <c r="J279" s="675" t="str">
        <f>"Aanwending van 50% van het geaccumuleerd regulatoir saldo door te rekenen volgens de tariefmethodologie in het boekjaar "&amp;F277</f>
        <v>Aanwending van 50% van het geaccumuleerd regulatoir saldo door te rekenen volgens de tariefmethodologie in het boekjaar 2019</v>
      </c>
      <c r="K279" s="675" t="str">
        <f>"Aanwending van 50% van het geaccumuleerd regulatoir saldo door te rekenen volgens de tariefmethodologie in het boekjaar "&amp;F277</f>
        <v>Aanwending van 50% van het geaccumuleerd regulatoir saldo door te rekenen volgens de tariefmethodologie in het boekjaar 2019</v>
      </c>
      <c r="L279" s="675" t="str">
        <f>"Totale afbouw over "&amp;F277</f>
        <v>Totale afbouw over 2019</v>
      </c>
      <c r="N279" s="675" t="str">
        <f>"Nog af te bouwen regulatoir saldo einde "&amp;F277</f>
        <v>Nog af te bouwen regulatoir saldo einde 2019</v>
      </c>
      <c r="O279" s="610"/>
    </row>
    <row r="280" spans="2:15" ht="13" x14ac:dyDescent="0.25">
      <c r="B280" s="1057">
        <v>2017</v>
      </c>
      <c r="C280" s="1058"/>
      <c r="D280" s="1058"/>
      <c r="E280" s="1059"/>
      <c r="F280" s="896"/>
      <c r="G280" s="839">
        <f>K275</f>
        <v>0</v>
      </c>
      <c r="H280" s="897">
        <f>IF(SIGN(G281*K275)&lt;0,IF(G280&lt;&gt;0,-SIGN(G280)*MIN(ABS(G281),ABS(G280)),0),0)</f>
        <v>0</v>
      </c>
      <c r="I280" s="839">
        <f>+G280+H280</f>
        <v>0</v>
      </c>
      <c r="J280" s="698"/>
      <c r="K280" s="897">
        <f>-MIN(ABS(I280),ABS(J282))*SIGN(I280)</f>
        <v>0</v>
      </c>
      <c r="L280" s="898">
        <f>+K280+H280</f>
        <v>0</v>
      </c>
      <c r="N280" s="839">
        <f>+I280+K280</f>
        <v>0</v>
      </c>
      <c r="O280" s="610"/>
    </row>
    <row r="281" spans="2:15" ht="13" x14ac:dyDescent="0.25">
      <c r="B281" s="1057">
        <v>2018</v>
      </c>
      <c r="C281" s="1058"/>
      <c r="D281" s="1058"/>
      <c r="E281" s="1059"/>
      <c r="F281" s="896"/>
      <c r="G281" s="839">
        <f>H106</f>
        <v>0</v>
      </c>
      <c r="H281" s="898">
        <f>IF(SIGN(G281*K275)&lt;0,-H280,0)</f>
        <v>0</v>
      </c>
      <c r="I281" s="839">
        <f>+G281+H281</f>
        <v>0</v>
      </c>
      <c r="J281" s="698"/>
      <c r="K281" s="897">
        <f>-MIN(ABS(I281),ABS(J282-K280))*SIGN(I281)</f>
        <v>0</v>
      </c>
      <c r="L281" s="898">
        <f>+K281+H281</f>
        <v>0</v>
      </c>
      <c r="N281" s="839">
        <f>+I281+K281</f>
        <v>0</v>
      </c>
      <c r="O281" s="610"/>
    </row>
    <row r="282" spans="2:15" s="18" customFormat="1" ht="13" x14ac:dyDescent="0.3">
      <c r="G282" s="899">
        <f>SUM(G280:G281)</f>
        <v>0</v>
      </c>
      <c r="H282" s="899">
        <f>SUM(H280:H281)</f>
        <v>0</v>
      </c>
      <c r="I282" s="899">
        <f>SUM(I280:I281)</f>
        <v>0</v>
      </c>
      <c r="J282" s="899">
        <f>-I282*0.5</f>
        <v>0</v>
      </c>
      <c r="K282" s="900">
        <f>SUM(K280:K281)</f>
        <v>0</v>
      </c>
      <c r="L282" s="901"/>
      <c r="N282" s="899">
        <f>SUM(N280:N281)</f>
        <v>0</v>
      </c>
    </row>
    <row r="283" spans="2:15" x14ac:dyDescent="0.25">
      <c r="K283" s="20"/>
      <c r="M283" s="610"/>
    </row>
    <row r="284" spans="2:15" ht="13" x14ac:dyDescent="0.3">
      <c r="B284" s="18" t="s">
        <v>362</v>
      </c>
      <c r="F284" s="895">
        <v>2020</v>
      </c>
      <c r="K284" s="20"/>
    </row>
    <row r="285" spans="2:15" x14ac:dyDescent="0.25">
      <c r="K285" s="20"/>
    </row>
    <row r="286" spans="2:15" ht="94.5" customHeight="1" x14ac:dyDescent="0.25">
      <c r="B286" s="1060" t="s">
        <v>363</v>
      </c>
      <c r="C286" s="1061"/>
      <c r="D286" s="1061"/>
      <c r="E286" s="1062"/>
      <c r="F286" s="599"/>
      <c r="G286" s="675" t="str">
        <f>"Nog af te bouwen regulatoir saldo einde "&amp;F284-1</f>
        <v>Nog af te bouwen regulatoir saldo einde 2019</v>
      </c>
      <c r="H286" s="675" t="str">
        <f>"Afbouw oudste openstaande regulatoir saldo vanaf boekjaar "&amp;F284-32&amp;" en vroeger, door aanwending van compensatie met regulatoir saldo ontstaan over boekjaar "&amp;F284-1</f>
        <v>Afbouw oudste openstaande regulatoir saldo vanaf boekjaar 1988 en vroeger, door aanwending van compensatie met regulatoir saldo ontstaan over boekjaar 2019</v>
      </c>
      <c r="I286" s="675" t="str">
        <f>"Nog af te bouwen regulatoir saldo na compensatie einde "&amp;F284-1</f>
        <v>Nog af te bouwen regulatoir saldo na compensatie einde 2019</v>
      </c>
      <c r="J286" s="675" t="str">
        <f>"Aanwending van 50% van het geaccumuleerd regulatoir saldo door te rekenen volgens de tariefmethodologie in het boekjaar "&amp;F284</f>
        <v>Aanwending van 50% van het geaccumuleerd regulatoir saldo door te rekenen volgens de tariefmethodologie in het boekjaar 2020</v>
      </c>
      <c r="K286" s="675" t="str">
        <f>"Aanwending van 50% van het geaccumuleerd regulatoir saldo door te rekenen volgens de tariefmethodologie in het boekjaar "&amp;F284</f>
        <v>Aanwending van 50% van het geaccumuleerd regulatoir saldo door te rekenen volgens de tariefmethodologie in het boekjaar 2020</v>
      </c>
      <c r="L286" s="675" t="str">
        <f>"Totale afbouw over "&amp;F284</f>
        <v>Totale afbouw over 2020</v>
      </c>
      <c r="N286" s="675" t="str">
        <f>"Nog af te bouwen regulatoir saldo einde "&amp;F284</f>
        <v>Nog af te bouwen regulatoir saldo einde 2020</v>
      </c>
      <c r="O286" s="610"/>
    </row>
    <row r="287" spans="2:15" ht="13" x14ac:dyDescent="0.25">
      <c r="B287" s="1057">
        <v>2017</v>
      </c>
      <c r="C287" s="1058"/>
      <c r="D287" s="1058"/>
      <c r="E287" s="1059"/>
      <c r="F287" s="896"/>
      <c r="G287" s="839">
        <f>+N280</f>
        <v>0</v>
      </c>
      <c r="H287" s="898">
        <f>IF(SIGN(G289*N282)&lt;0,IF(G287&lt;&gt;0,-SIGN(G287)*MIN(ABS(G289),ABS(G287)),0),0)</f>
        <v>0</v>
      </c>
      <c r="I287" s="839">
        <f>+G287+H287</f>
        <v>0</v>
      </c>
      <c r="J287" s="698"/>
      <c r="K287" s="897">
        <f>-MIN(ABS(I287),ABS(J290))*SIGN(I287)</f>
        <v>0</v>
      </c>
      <c r="L287" s="898">
        <f>+K287+H287</f>
        <v>0</v>
      </c>
      <c r="N287" s="839">
        <f>+I287+K287</f>
        <v>0</v>
      </c>
      <c r="O287" s="610"/>
    </row>
    <row r="288" spans="2:15" ht="13" x14ac:dyDescent="0.25">
      <c r="B288" s="1057">
        <v>2018</v>
      </c>
      <c r="C288" s="1058"/>
      <c r="D288" s="1058">
        <v>2016</v>
      </c>
      <c r="E288" s="1059"/>
      <c r="F288" s="896"/>
      <c r="G288" s="839">
        <f>+N281</f>
        <v>0</v>
      </c>
      <c r="H288" s="898">
        <f>IF(SIGN(G289*N282)&lt;0,IF(G288&lt;&gt;0,-SIGN(G288)*MIN(ABS(G289-H287),ABS(G288)),0),0)</f>
        <v>0</v>
      </c>
      <c r="I288" s="839">
        <f>+G288+H288</f>
        <v>0</v>
      </c>
      <c r="J288" s="698"/>
      <c r="K288" s="897">
        <f>-MIN(ABS(I288),ABS(J290-K287))*SIGN(I288)</f>
        <v>0</v>
      </c>
      <c r="L288" s="898">
        <f>+K288+H288</f>
        <v>0</v>
      </c>
      <c r="N288" s="839">
        <f>+I288+K288</f>
        <v>0</v>
      </c>
      <c r="O288" s="610"/>
    </row>
    <row r="289" spans="2:15" ht="13" x14ac:dyDescent="0.25">
      <c r="B289" s="1057">
        <v>2019</v>
      </c>
      <c r="C289" s="1058"/>
      <c r="D289" s="1058"/>
      <c r="E289" s="1059"/>
      <c r="F289" s="896"/>
      <c r="G289" s="839">
        <f>I107</f>
        <v>0</v>
      </c>
      <c r="H289" s="898">
        <f>IF(SIGN(G289*N282)&lt;0,-SUM(H287:H288),0)</f>
        <v>0</v>
      </c>
      <c r="I289" s="839">
        <f>+G289+H289</f>
        <v>0</v>
      </c>
      <c r="J289" s="698"/>
      <c r="K289" s="897">
        <f>-MIN(ABS(I289),ABS(J290-K287-K288))*SIGN(I289)</f>
        <v>0</v>
      </c>
      <c r="L289" s="898">
        <f>+K289+H289</f>
        <v>0</v>
      </c>
      <c r="N289" s="839">
        <f>+I289+K289</f>
        <v>0</v>
      </c>
      <c r="O289" s="610"/>
    </row>
    <row r="290" spans="2:15" s="18" customFormat="1" ht="13" x14ac:dyDescent="0.3">
      <c r="G290" s="899">
        <f>SUM(G287:G289)</f>
        <v>0</v>
      </c>
      <c r="H290" s="899">
        <f>SUM(H287:H289)</f>
        <v>0</v>
      </c>
      <c r="I290" s="899">
        <f>SUM(I287:I289)</f>
        <v>0</v>
      </c>
      <c r="J290" s="899">
        <f>-I290*0.5</f>
        <v>0</v>
      </c>
      <c r="K290" s="900">
        <f>SUM(K287:K289)</f>
        <v>0</v>
      </c>
      <c r="L290" s="901"/>
      <c r="N290" s="899">
        <f>SUM(N287:N289)</f>
        <v>0</v>
      </c>
    </row>
    <row r="291" spans="2:15" x14ac:dyDescent="0.25">
      <c r="K291" s="20"/>
      <c r="M291" s="394"/>
    </row>
    <row r="292" spans="2:15" x14ac:dyDescent="0.25">
      <c r="K292" s="20"/>
      <c r="M292" s="394"/>
    </row>
    <row r="293" spans="2:15" ht="13" x14ac:dyDescent="0.3">
      <c r="B293" s="18" t="s">
        <v>364</v>
      </c>
      <c r="C293" s="381"/>
      <c r="D293" s="381"/>
      <c r="E293" s="381"/>
      <c r="K293" s="20"/>
      <c r="M293" s="394"/>
    </row>
    <row r="294" spans="2:15" ht="13" x14ac:dyDescent="0.3">
      <c r="B294" s="18"/>
      <c r="C294" s="381"/>
      <c r="D294" s="381"/>
      <c r="E294" s="381"/>
      <c r="K294" s="20"/>
      <c r="M294" s="394"/>
    </row>
    <row r="295" spans="2:15" ht="13" x14ac:dyDescent="0.3">
      <c r="B295" s="864">
        <f>F272</f>
        <v>2018</v>
      </c>
      <c r="C295" s="906">
        <f>J275</f>
        <v>0</v>
      </c>
      <c r="D295" s="381"/>
      <c r="E295" s="381"/>
      <c r="K295" s="20"/>
      <c r="M295" s="394"/>
    </row>
    <row r="296" spans="2:15" ht="13" x14ac:dyDescent="0.3">
      <c r="B296" s="864">
        <f>F277</f>
        <v>2019</v>
      </c>
      <c r="C296" s="906">
        <f>K282</f>
        <v>0</v>
      </c>
      <c r="D296" s="381"/>
      <c r="E296" s="381"/>
      <c r="K296" s="20"/>
      <c r="M296" s="394"/>
    </row>
    <row r="297" spans="2:15" ht="13" x14ac:dyDescent="0.3">
      <c r="B297" s="864">
        <f>F284</f>
        <v>2020</v>
      </c>
      <c r="C297" s="906">
        <f>K290</f>
        <v>0</v>
      </c>
      <c r="D297" s="381"/>
      <c r="E297" s="381"/>
      <c r="K297" s="20"/>
      <c r="M297" s="394"/>
    </row>
    <row r="298" spans="2:15" ht="13" x14ac:dyDescent="0.3">
      <c r="H298" s="392"/>
      <c r="I298" s="392"/>
      <c r="J298" s="392"/>
      <c r="K298" s="20"/>
      <c r="M298" s="610"/>
    </row>
    <row r="299" spans="2:15" x14ac:dyDescent="0.25">
      <c r="K299" s="20"/>
      <c r="M299" s="610"/>
    </row>
    <row r="300" spans="2:15" ht="13" x14ac:dyDescent="0.3">
      <c r="B300" s="902" t="s">
        <v>237</v>
      </c>
      <c r="C300" s="903"/>
      <c r="D300" s="903"/>
      <c r="E300" s="903"/>
      <c r="F300" s="904"/>
      <c r="G300" s="904"/>
      <c r="H300" s="904"/>
      <c r="I300" s="904"/>
      <c r="J300" s="904"/>
      <c r="K300" s="904"/>
      <c r="L300" s="904"/>
      <c r="M300" s="905"/>
      <c r="N300" s="904"/>
    </row>
    <row r="301" spans="2:15" x14ac:dyDescent="0.25">
      <c r="K301" s="20"/>
      <c r="M301" s="610"/>
    </row>
    <row r="302" spans="2:15" ht="13" x14ac:dyDescent="0.3">
      <c r="B302" s="18" t="s">
        <v>362</v>
      </c>
      <c r="F302" s="895">
        <v>2018</v>
      </c>
      <c r="K302" s="20"/>
      <c r="M302" s="610"/>
    </row>
    <row r="303" spans="2:15" x14ac:dyDescent="0.25">
      <c r="K303" s="20"/>
      <c r="L303" s="610"/>
    </row>
    <row r="304" spans="2:15" ht="82.5" customHeight="1" x14ac:dyDescent="0.25">
      <c r="B304" s="1060" t="s">
        <v>363</v>
      </c>
      <c r="C304" s="1061"/>
      <c r="D304" s="1061"/>
      <c r="E304" s="1062"/>
      <c r="F304" s="599"/>
      <c r="G304" s="675" t="str">
        <f>"Nog af te bouwen regulatoir saldo einde "&amp;F302-1</f>
        <v>Nog af te bouwen regulatoir saldo einde 2017</v>
      </c>
      <c r="H304" s="675" t="str">
        <f>"Afbouw oudste openstaande regulatoir saldo vanaf boekjaar "&amp;F302-2&amp;" en vroeger, door aanwending van compensatie met regulatoir saldo ontstaan over boekjaar "&amp;F302-1</f>
        <v>Afbouw oudste openstaande regulatoir saldo vanaf boekjaar 2016 en vroeger, door aanwending van compensatie met regulatoir saldo ontstaan over boekjaar 2017</v>
      </c>
      <c r="I304" s="675" t="str">
        <f>"Nog af te bouwen regulatoir saldo na compensatie einde "&amp;F302-1</f>
        <v>Nog af te bouwen regulatoir saldo na compensatie einde 2017</v>
      </c>
      <c r="J304" s="675" t="str">
        <f>"Aanwending van 50% van het geaccumuleerd regulatoir saldo door te rekenen volgens de tariefmethodologie in het boekjaar "&amp;F302</f>
        <v>Aanwending van 50% van het geaccumuleerd regulatoir saldo door te rekenen volgens de tariefmethodologie in het boekjaar 2018</v>
      </c>
      <c r="K304" s="675" t="str">
        <f>"Nog af te bouwen regulatoir saldo einde "&amp;F302</f>
        <v>Nog af te bouwen regulatoir saldo einde 2018</v>
      </c>
      <c r="L304" s="610"/>
    </row>
    <row r="305" spans="2:15" ht="13" x14ac:dyDescent="0.25">
      <c r="B305" s="1057">
        <v>2017</v>
      </c>
      <c r="C305" s="1058"/>
      <c r="D305" s="1058"/>
      <c r="E305" s="1059"/>
      <c r="F305" s="896"/>
      <c r="G305" s="839">
        <f>G110</f>
        <v>0</v>
      </c>
      <c r="H305" s="897">
        <v>0</v>
      </c>
      <c r="I305" s="839">
        <f>+G305+H305</f>
        <v>0</v>
      </c>
      <c r="J305" s="839">
        <f>-I305*0.5</f>
        <v>0</v>
      </c>
      <c r="K305" s="908">
        <f>+J305+G305</f>
        <v>0</v>
      </c>
      <c r="L305" s="610"/>
    </row>
    <row r="306" spans="2:15" x14ac:dyDescent="0.25">
      <c r="K306" s="20"/>
      <c r="L306" s="610"/>
    </row>
    <row r="307" spans="2:15" ht="13" x14ac:dyDescent="0.3">
      <c r="B307" s="18" t="s">
        <v>362</v>
      </c>
      <c r="F307" s="895">
        <v>2019</v>
      </c>
      <c r="K307" s="20"/>
      <c r="M307" s="610"/>
    </row>
    <row r="308" spans="2:15" x14ac:dyDescent="0.25">
      <c r="K308" s="20"/>
      <c r="M308" s="610"/>
    </row>
    <row r="309" spans="2:15" ht="84" customHeight="1" x14ac:dyDescent="0.25">
      <c r="B309" s="1060" t="s">
        <v>363</v>
      </c>
      <c r="C309" s="1061"/>
      <c r="D309" s="1061"/>
      <c r="E309" s="1062"/>
      <c r="F309" s="599"/>
      <c r="G309" s="675" t="str">
        <f>"Nog af te bouwen regulatoir saldo einde "&amp;F307-1</f>
        <v>Nog af te bouwen regulatoir saldo einde 2018</v>
      </c>
      <c r="H309" s="675" t="str">
        <f>"Afbouw oudste openstaande regulatoir saldo vanaf boekjaar "&amp;F307-2&amp;" en vroeger, door aanwending van compensatie met regulatoir saldo ontstaan over boekjaar "&amp;F307-1</f>
        <v>Afbouw oudste openstaande regulatoir saldo vanaf boekjaar 2017 en vroeger, door aanwending van compensatie met regulatoir saldo ontstaan over boekjaar 2018</v>
      </c>
      <c r="I309" s="675" t="str">
        <f>"Nog af te bouwen regulatoir saldo na compensatie einde "&amp;F307-1</f>
        <v>Nog af te bouwen regulatoir saldo na compensatie einde 2018</v>
      </c>
      <c r="J309" s="675" t="str">
        <f>"Aanwending van 50% van het geaccumuleerd regulatoir saldo door te rekenen volgens de tariefmethodologie in het boekjaar "&amp;F307</f>
        <v>Aanwending van 50% van het geaccumuleerd regulatoir saldo door te rekenen volgens de tariefmethodologie in het boekjaar 2019</v>
      </c>
      <c r="K309" s="675" t="str">
        <f>"Aanwending van 50% van het geaccumuleerd regulatoir saldo door te rekenen volgens de tariefmethodologie in het boekjaar "&amp;F307</f>
        <v>Aanwending van 50% van het geaccumuleerd regulatoir saldo door te rekenen volgens de tariefmethodologie in het boekjaar 2019</v>
      </c>
      <c r="L309" s="675" t="str">
        <f>"Totale afbouw over "&amp;F307</f>
        <v>Totale afbouw over 2019</v>
      </c>
      <c r="N309" s="675" t="str">
        <f>"Nog af te bouwen regulatoir saldo einde "&amp;F307</f>
        <v>Nog af te bouwen regulatoir saldo einde 2019</v>
      </c>
      <c r="O309" s="610"/>
    </row>
    <row r="310" spans="2:15" ht="13" x14ac:dyDescent="0.25">
      <c r="B310" s="1057">
        <v>2017</v>
      </c>
      <c r="C310" s="1058"/>
      <c r="D310" s="1058"/>
      <c r="E310" s="1059"/>
      <c r="F310" s="896"/>
      <c r="G310" s="839">
        <f>K305</f>
        <v>0</v>
      </c>
      <c r="H310" s="897">
        <f>IF(SIGN(G311*K305)&lt;0,IF(G310&lt;&gt;0,-SIGN(G310)*MIN(ABS(G311),ABS(G310)),0),0)</f>
        <v>0</v>
      </c>
      <c r="I310" s="839">
        <f>+G310+H310</f>
        <v>0</v>
      </c>
      <c r="J310" s="698"/>
      <c r="K310" s="897">
        <f>-MIN(ABS(I310),ABS(J312))*SIGN(I310)</f>
        <v>0</v>
      </c>
      <c r="L310" s="898">
        <f>+K310+H310</f>
        <v>0</v>
      </c>
      <c r="N310" s="839">
        <f>+I310+K310</f>
        <v>0</v>
      </c>
      <c r="O310" s="610"/>
    </row>
    <row r="311" spans="2:15" ht="13" x14ac:dyDescent="0.25">
      <c r="B311" s="1057">
        <v>2018</v>
      </c>
      <c r="C311" s="1058"/>
      <c r="D311" s="1058"/>
      <c r="E311" s="1059"/>
      <c r="F311" s="896"/>
      <c r="G311" s="839">
        <f>H111</f>
        <v>0</v>
      </c>
      <c r="H311" s="898">
        <f>IF(SIGN(G311*K305)&lt;0,-H310,0)</f>
        <v>0</v>
      </c>
      <c r="I311" s="839">
        <f>+G311+H311</f>
        <v>0</v>
      </c>
      <c r="J311" s="698"/>
      <c r="K311" s="897">
        <f>-MIN(ABS(I311),ABS(J312-K310))*SIGN(I311)</f>
        <v>0</v>
      </c>
      <c r="L311" s="898">
        <f>+K311+H311</f>
        <v>0</v>
      </c>
      <c r="N311" s="839">
        <f>+I311+K311</f>
        <v>0</v>
      </c>
      <c r="O311" s="610"/>
    </row>
    <row r="312" spans="2:15" s="18" customFormat="1" ht="13" x14ac:dyDescent="0.3">
      <c r="G312" s="899">
        <f>SUM(G310:G311)</f>
        <v>0</v>
      </c>
      <c r="H312" s="899">
        <f>SUM(H310:H311)</f>
        <v>0</v>
      </c>
      <c r="I312" s="899">
        <f>SUM(I310:I311)</f>
        <v>0</v>
      </c>
      <c r="J312" s="899">
        <f>-I312*0.5</f>
        <v>0</v>
      </c>
      <c r="K312" s="900">
        <f>SUM(K310:K311)</f>
        <v>0</v>
      </c>
      <c r="L312" s="901"/>
      <c r="N312" s="899">
        <f>SUM(N310:N311)</f>
        <v>0</v>
      </c>
    </row>
    <row r="313" spans="2:15" x14ac:dyDescent="0.25">
      <c r="K313" s="20"/>
      <c r="M313" s="610"/>
    </row>
    <row r="314" spans="2:15" ht="13" x14ac:dyDescent="0.3">
      <c r="B314" s="18" t="s">
        <v>362</v>
      </c>
      <c r="F314" s="895">
        <v>2020</v>
      </c>
      <c r="K314" s="20"/>
    </row>
    <row r="315" spans="2:15" x14ac:dyDescent="0.25">
      <c r="K315" s="20"/>
    </row>
    <row r="316" spans="2:15" ht="94.5" customHeight="1" x14ac:dyDescent="0.25">
      <c r="B316" s="1060" t="s">
        <v>363</v>
      </c>
      <c r="C316" s="1061"/>
      <c r="D316" s="1061"/>
      <c r="E316" s="1062"/>
      <c r="F316" s="599"/>
      <c r="G316" s="675" t="str">
        <f>"Nog af te bouwen regulatoir saldo einde "&amp;F314-1</f>
        <v>Nog af te bouwen regulatoir saldo einde 2019</v>
      </c>
      <c r="H316" s="675" t="str">
        <f>"Afbouw oudste openstaande regulatoir saldo vanaf boekjaar "&amp;F314-32&amp;" en vroeger, door aanwending van compensatie met regulatoir saldo ontstaan over boekjaar "&amp;F314-1</f>
        <v>Afbouw oudste openstaande regulatoir saldo vanaf boekjaar 1988 en vroeger, door aanwending van compensatie met regulatoir saldo ontstaan over boekjaar 2019</v>
      </c>
      <c r="I316" s="675" t="str">
        <f>"Nog af te bouwen regulatoir saldo na compensatie einde "&amp;F314-1</f>
        <v>Nog af te bouwen regulatoir saldo na compensatie einde 2019</v>
      </c>
      <c r="J316" s="675" t="str">
        <f>"Aanwending van 50% van het geaccumuleerd regulatoir saldo door te rekenen volgens de tariefmethodologie in het boekjaar "&amp;F314</f>
        <v>Aanwending van 50% van het geaccumuleerd regulatoir saldo door te rekenen volgens de tariefmethodologie in het boekjaar 2020</v>
      </c>
      <c r="K316" s="675" t="str">
        <f>"Aanwending van 50% van het geaccumuleerd regulatoir saldo door te rekenen volgens de tariefmethodologie in het boekjaar "&amp;F314</f>
        <v>Aanwending van 50% van het geaccumuleerd regulatoir saldo door te rekenen volgens de tariefmethodologie in het boekjaar 2020</v>
      </c>
      <c r="L316" s="675" t="str">
        <f>"Totale afbouw over "&amp;F314</f>
        <v>Totale afbouw over 2020</v>
      </c>
      <c r="N316" s="675" t="str">
        <f>"Nog af te bouwen regulatoir saldo einde "&amp;F314</f>
        <v>Nog af te bouwen regulatoir saldo einde 2020</v>
      </c>
      <c r="O316" s="610"/>
    </row>
    <row r="317" spans="2:15" ht="13" x14ac:dyDescent="0.25">
      <c r="B317" s="1057">
        <v>2017</v>
      </c>
      <c r="C317" s="1058"/>
      <c r="D317" s="1058"/>
      <c r="E317" s="1059"/>
      <c r="F317" s="896"/>
      <c r="G317" s="839">
        <f>+N310</f>
        <v>0</v>
      </c>
      <c r="H317" s="898">
        <f>IF(SIGN(G319*N312)&lt;0,IF(G317&lt;&gt;0,-SIGN(G317)*MIN(ABS(G319),ABS(G317)),0),0)</f>
        <v>0</v>
      </c>
      <c r="I317" s="839">
        <f>+G317+H317</f>
        <v>0</v>
      </c>
      <c r="J317" s="698"/>
      <c r="K317" s="897">
        <f>-MIN(ABS(I317),ABS(J320))*SIGN(I317)</f>
        <v>0</v>
      </c>
      <c r="L317" s="898">
        <f>+K317+H317</f>
        <v>0</v>
      </c>
      <c r="N317" s="839">
        <f>+I317+K317</f>
        <v>0</v>
      </c>
      <c r="O317" s="610"/>
    </row>
    <row r="318" spans="2:15" ht="13" x14ac:dyDescent="0.25">
      <c r="B318" s="1057">
        <v>2018</v>
      </c>
      <c r="C318" s="1058"/>
      <c r="D318" s="1058">
        <v>2016</v>
      </c>
      <c r="E318" s="1059"/>
      <c r="F318" s="896"/>
      <c r="G318" s="839">
        <f>+N311</f>
        <v>0</v>
      </c>
      <c r="H318" s="898">
        <f>IF(SIGN(G319*N312)&lt;0,IF(G318&lt;&gt;0,-SIGN(G318)*MIN(ABS(G319-H317),ABS(G318)),0),0)</f>
        <v>0</v>
      </c>
      <c r="I318" s="839">
        <f>+G318+H318</f>
        <v>0</v>
      </c>
      <c r="J318" s="698"/>
      <c r="K318" s="897">
        <f>-MIN(ABS(I318),ABS(J320-K317))*SIGN(I318)</f>
        <v>0</v>
      </c>
      <c r="L318" s="898">
        <f>+K318+H318</f>
        <v>0</v>
      </c>
      <c r="N318" s="839">
        <f>+I318+K318</f>
        <v>0</v>
      </c>
      <c r="O318" s="610"/>
    </row>
    <row r="319" spans="2:15" ht="13" x14ac:dyDescent="0.25">
      <c r="B319" s="1057">
        <v>2019</v>
      </c>
      <c r="C319" s="1058"/>
      <c r="D319" s="1058"/>
      <c r="E319" s="1059"/>
      <c r="F319" s="896"/>
      <c r="G319" s="839">
        <f>I112</f>
        <v>0</v>
      </c>
      <c r="H319" s="898">
        <f>IF(SIGN(G319*N312)&lt;0,-SUM(H317:H318),0)</f>
        <v>0</v>
      </c>
      <c r="I319" s="839">
        <f>+G319+H319</f>
        <v>0</v>
      </c>
      <c r="J319" s="698"/>
      <c r="K319" s="897">
        <f>-MIN(ABS(I319),ABS(J320-K317-K318))*SIGN(I319)</f>
        <v>0</v>
      </c>
      <c r="L319" s="898">
        <f>+K319+H319</f>
        <v>0</v>
      </c>
      <c r="N319" s="839">
        <f>+I319+K319</f>
        <v>0</v>
      </c>
      <c r="O319" s="610"/>
    </row>
    <row r="320" spans="2:15" s="18" customFormat="1" ht="13" x14ac:dyDescent="0.3">
      <c r="G320" s="899">
        <f>SUM(G317:G319)</f>
        <v>0</v>
      </c>
      <c r="H320" s="899">
        <f>SUM(H317:H319)</f>
        <v>0</v>
      </c>
      <c r="I320" s="899">
        <f>SUM(I317:I319)</f>
        <v>0</v>
      </c>
      <c r="J320" s="899">
        <f>-I320*0.5</f>
        <v>0</v>
      </c>
      <c r="K320" s="900">
        <f>SUM(K317:K319)</f>
        <v>0</v>
      </c>
      <c r="L320" s="901"/>
      <c r="N320" s="899">
        <f>SUM(N317:N319)</f>
        <v>0</v>
      </c>
    </row>
    <row r="321" spans="2:14" x14ac:dyDescent="0.25">
      <c r="K321" s="20"/>
      <c r="M321" s="394"/>
    </row>
    <row r="322" spans="2:14" x14ac:dyDescent="0.25">
      <c r="K322" s="20"/>
      <c r="M322" s="394"/>
    </row>
    <row r="323" spans="2:14" ht="13" x14ac:dyDescent="0.3">
      <c r="B323" s="18" t="s">
        <v>364</v>
      </c>
      <c r="C323" s="381"/>
      <c r="D323" s="381"/>
      <c r="E323" s="381"/>
      <c r="K323" s="20"/>
      <c r="M323" s="394"/>
    </row>
    <row r="324" spans="2:14" ht="13" x14ac:dyDescent="0.3">
      <c r="B324" s="18"/>
      <c r="C324" s="381"/>
      <c r="D324" s="381"/>
      <c r="E324" s="381"/>
      <c r="K324" s="20"/>
      <c r="M324" s="394"/>
    </row>
    <row r="325" spans="2:14" ht="13" x14ac:dyDescent="0.3">
      <c r="B325" s="864">
        <f>F302</f>
        <v>2018</v>
      </c>
      <c r="C325" s="906">
        <f>J305</f>
        <v>0</v>
      </c>
      <c r="D325" s="381"/>
      <c r="E325" s="381"/>
      <c r="K325" s="20"/>
      <c r="M325" s="394"/>
    </row>
    <row r="326" spans="2:14" ht="13" x14ac:dyDescent="0.3">
      <c r="B326" s="864">
        <f>F307</f>
        <v>2019</v>
      </c>
      <c r="C326" s="906">
        <f>K312</f>
        <v>0</v>
      </c>
      <c r="D326" s="381"/>
      <c r="E326" s="381"/>
      <c r="K326" s="20"/>
      <c r="M326" s="394"/>
    </row>
    <row r="327" spans="2:14" ht="13" x14ac:dyDescent="0.3">
      <c r="B327" s="864">
        <f>F314</f>
        <v>2020</v>
      </c>
      <c r="C327" s="906">
        <f>K320</f>
        <v>0</v>
      </c>
      <c r="D327" s="381"/>
      <c r="E327" s="381"/>
      <c r="K327" s="20"/>
      <c r="M327" s="394"/>
    </row>
    <row r="328" spans="2:14" ht="13" x14ac:dyDescent="0.3">
      <c r="H328" s="392"/>
      <c r="I328" s="392"/>
      <c r="J328" s="392"/>
      <c r="K328" s="20"/>
      <c r="M328" s="610"/>
    </row>
    <row r="329" spans="2:14" x14ac:dyDescent="0.25">
      <c r="K329" s="20"/>
      <c r="M329" s="610"/>
    </row>
    <row r="330" spans="2:14" ht="13" x14ac:dyDescent="0.3">
      <c r="B330" s="902" t="s">
        <v>287</v>
      </c>
      <c r="C330" s="903"/>
      <c r="D330" s="903"/>
      <c r="E330" s="903"/>
      <c r="F330" s="904"/>
      <c r="G330" s="904"/>
      <c r="H330" s="904"/>
      <c r="I330" s="904"/>
      <c r="J330" s="904"/>
      <c r="K330" s="904"/>
      <c r="L330" s="904"/>
      <c r="M330" s="905"/>
      <c r="N330" s="904"/>
    </row>
    <row r="331" spans="2:14" x14ac:dyDescent="0.25">
      <c r="K331" s="20"/>
      <c r="M331" s="610"/>
    </row>
    <row r="332" spans="2:14" ht="13" x14ac:dyDescent="0.3">
      <c r="B332" s="18" t="s">
        <v>362</v>
      </c>
      <c r="F332" s="895">
        <v>2018</v>
      </c>
      <c r="K332" s="20"/>
      <c r="M332" s="610"/>
    </row>
    <row r="333" spans="2:14" x14ac:dyDescent="0.25">
      <c r="K333" s="20"/>
      <c r="L333" s="610"/>
    </row>
    <row r="334" spans="2:14" ht="82.5" customHeight="1" x14ac:dyDescent="0.25">
      <c r="B334" s="1060" t="s">
        <v>363</v>
      </c>
      <c r="C334" s="1061"/>
      <c r="D334" s="1061"/>
      <c r="E334" s="1062"/>
      <c r="F334" s="599"/>
      <c r="G334" s="675" t="str">
        <f>"Nog af te bouwen regulatoir saldo einde "&amp;F332-1</f>
        <v>Nog af te bouwen regulatoir saldo einde 2017</v>
      </c>
      <c r="H334" s="675" t="str">
        <f>"Afbouw oudste openstaande regulatoir saldo vanaf boekjaar "&amp;F332-2&amp;" en vroeger, door aanwending van compensatie met regulatoir saldo ontstaan over boekjaar "&amp;F332-1</f>
        <v>Afbouw oudste openstaande regulatoir saldo vanaf boekjaar 2016 en vroeger, door aanwending van compensatie met regulatoir saldo ontstaan over boekjaar 2017</v>
      </c>
      <c r="I334" s="675" t="str">
        <f>"Nog af te bouwen regulatoir saldo na compensatie einde "&amp;F332-1</f>
        <v>Nog af te bouwen regulatoir saldo na compensatie einde 2017</v>
      </c>
      <c r="J334" s="675" t="str">
        <f>"Aanwending van 50% van het geaccumuleerd regulatoir saldo door te rekenen volgens de tariefmethodologie in het boekjaar "&amp;F332</f>
        <v>Aanwending van 50% van het geaccumuleerd regulatoir saldo door te rekenen volgens de tariefmethodologie in het boekjaar 2018</v>
      </c>
      <c r="K334" s="675" t="str">
        <f>"Nog af te bouwen regulatoir saldo einde "&amp;F332</f>
        <v>Nog af te bouwen regulatoir saldo einde 2018</v>
      </c>
      <c r="L334" s="610"/>
    </row>
    <row r="335" spans="2:14" ht="13" x14ac:dyDescent="0.25">
      <c r="B335" s="1057">
        <v>2017</v>
      </c>
      <c r="C335" s="1058"/>
      <c r="D335" s="1058"/>
      <c r="E335" s="1059"/>
      <c r="F335" s="896"/>
      <c r="G335" s="839">
        <f>G115</f>
        <v>0</v>
      </c>
      <c r="H335" s="897">
        <v>0</v>
      </c>
      <c r="I335" s="839">
        <f>+G335+H335</f>
        <v>0</v>
      </c>
      <c r="J335" s="839">
        <f>-I335*0.5</f>
        <v>0</v>
      </c>
      <c r="K335" s="908">
        <f>+J335+G335</f>
        <v>0</v>
      </c>
      <c r="L335" s="610"/>
    </row>
    <row r="336" spans="2:14" x14ac:dyDescent="0.25">
      <c r="K336" s="20"/>
      <c r="L336" s="610"/>
    </row>
    <row r="337" spans="2:15" ht="13" x14ac:dyDescent="0.3">
      <c r="B337" s="18" t="s">
        <v>362</v>
      </c>
      <c r="F337" s="895">
        <v>2019</v>
      </c>
      <c r="K337" s="20"/>
      <c r="M337" s="610"/>
    </row>
    <row r="338" spans="2:15" x14ac:dyDescent="0.25">
      <c r="K338" s="20"/>
      <c r="M338" s="610"/>
    </row>
    <row r="339" spans="2:15" ht="84" customHeight="1" x14ac:dyDescent="0.25">
      <c r="B339" s="1060" t="s">
        <v>363</v>
      </c>
      <c r="C339" s="1061"/>
      <c r="D339" s="1061"/>
      <c r="E339" s="1062"/>
      <c r="F339" s="599"/>
      <c r="G339" s="675" t="str">
        <f>"Nog af te bouwen regulatoir saldo einde "&amp;F337-1</f>
        <v>Nog af te bouwen regulatoir saldo einde 2018</v>
      </c>
      <c r="H339" s="675" t="str">
        <f>"Afbouw oudste openstaande regulatoir saldo vanaf boekjaar "&amp;F337-2&amp;" en vroeger, door aanwending van compensatie met regulatoir saldo ontstaan over boekjaar "&amp;F337-1</f>
        <v>Afbouw oudste openstaande regulatoir saldo vanaf boekjaar 2017 en vroeger, door aanwending van compensatie met regulatoir saldo ontstaan over boekjaar 2018</v>
      </c>
      <c r="I339" s="675" t="str">
        <f>"Nog af te bouwen regulatoir saldo na compensatie einde "&amp;F337-1</f>
        <v>Nog af te bouwen regulatoir saldo na compensatie einde 2018</v>
      </c>
      <c r="J339" s="675" t="str">
        <f>"Aanwending van 50% van het geaccumuleerd regulatoir saldo door te rekenen volgens de tariefmethodologie in het boekjaar "&amp;F337</f>
        <v>Aanwending van 50% van het geaccumuleerd regulatoir saldo door te rekenen volgens de tariefmethodologie in het boekjaar 2019</v>
      </c>
      <c r="K339" s="675" t="str">
        <f>"Aanwending van 50% van het geaccumuleerd regulatoir saldo door te rekenen volgens de tariefmethodologie in het boekjaar "&amp;F337</f>
        <v>Aanwending van 50% van het geaccumuleerd regulatoir saldo door te rekenen volgens de tariefmethodologie in het boekjaar 2019</v>
      </c>
      <c r="L339" s="675" t="str">
        <f>"Totale afbouw over "&amp;F337</f>
        <v>Totale afbouw over 2019</v>
      </c>
      <c r="N339" s="675" t="str">
        <f>"Nog af te bouwen regulatoir saldo einde "&amp;F337</f>
        <v>Nog af te bouwen regulatoir saldo einde 2019</v>
      </c>
      <c r="O339" s="610"/>
    </row>
    <row r="340" spans="2:15" ht="13" x14ac:dyDescent="0.25">
      <c r="B340" s="1057">
        <v>2017</v>
      </c>
      <c r="C340" s="1058"/>
      <c r="D340" s="1058"/>
      <c r="E340" s="1059"/>
      <c r="F340" s="896"/>
      <c r="G340" s="839">
        <f>K335</f>
        <v>0</v>
      </c>
      <c r="H340" s="897">
        <f>IF(SIGN(G341*K335)&lt;0,IF(G340&lt;&gt;0,-SIGN(G340)*MIN(ABS(G341),ABS(G340)),0),0)</f>
        <v>0</v>
      </c>
      <c r="I340" s="839">
        <f>+G340+H340</f>
        <v>0</v>
      </c>
      <c r="J340" s="698"/>
      <c r="K340" s="897">
        <f>-MIN(ABS(I340),ABS(J342))*SIGN(I340)</f>
        <v>0</v>
      </c>
      <c r="L340" s="898">
        <f>+K340+H340</f>
        <v>0</v>
      </c>
      <c r="N340" s="839">
        <f>+I340+K340</f>
        <v>0</v>
      </c>
      <c r="O340" s="610"/>
    </row>
    <row r="341" spans="2:15" ht="13" x14ac:dyDescent="0.25">
      <c r="B341" s="1057">
        <v>2018</v>
      </c>
      <c r="C341" s="1058"/>
      <c r="D341" s="1058"/>
      <c r="E341" s="1059"/>
      <c r="F341" s="896"/>
      <c r="G341" s="839">
        <f>H116</f>
        <v>0</v>
      </c>
      <c r="H341" s="898">
        <f>IF(SIGN(G341*K335)&lt;0,-H340,0)</f>
        <v>0</v>
      </c>
      <c r="I341" s="839">
        <f>+G341+H341</f>
        <v>0</v>
      </c>
      <c r="J341" s="698"/>
      <c r="K341" s="897">
        <f>-MIN(ABS(I341),ABS(J342-K340))*SIGN(I341)</f>
        <v>0</v>
      </c>
      <c r="L341" s="898">
        <f>+K341+H341</f>
        <v>0</v>
      </c>
      <c r="N341" s="839">
        <f>+I341+K341</f>
        <v>0</v>
      </c>
      <c r="O341" s="610"/>
    </row>
    <row r="342" spans="2:15" s="18" customFormat="1" ht="13" x14ac:dyDescent="0.3">
      <c r="G342" s="899">
        <f>SUM(G340:G341)</f>
        <v>0</v>
      </c>
      <c r="H342" s="899">
        <f>SUM(H340:H341)</f>
        <v>0</v>
      </c>
      <c r="I342" s="899">
        <f>SUM(I340:I341)</f>
        <v>0</v>
      </c>
      <c r="J342" s="899">
        <f>-I342*0.5</f>
        <v>0</v>
      </c>
      <c r="K342" s="900">
        <f>SUM(K340:K341)</f>
        <v>0</v>
      </c>
      <c r="L342" s="901"/>
      <c r="N342" s="899">
        <f>SUM(N340:N341)</f>
        <v>0</v>
      </c>
    </row>
    <row r="343" spans="2:15" x14ac:dyDescent="0.25">
      <c r="K343" s="20"/>
      <c r="M343" s="610"/>
    </row>
    <row r="344" spans="2:15" ht="13" x14ac:dyDescent="0.3">
      <c r="B344" s="18" t="s">
        <v>362</v>
      </c>
      <c r="F344" s="895">
        <v>2020</v>
      </c>
      <c r="K344" s="20"/>
    </row>
    <row r="345" spans="2:15" x14ac:dyDescent="0.25">
      <c r="K345" s="20"/>
    </row>
    <row r="346" spans="2:15" ht="94.5" customHeight="1" x14ac:dyDescent="0.25">
      <c r="B346" s="1060" t="s">
        <v>363</v>
      </c>
      <c r="C346" s="1061"/>
      <c r="D346" s="1061"/>
      <c r="E346" s="1062"/>
      <c r="F346" s="599"/>
      <c r="G346" s="675" t="str">
        <f>"Nog af te bouwen regulatoir saldo einde "&amp;F344-1</f>
        <v>Nog af te bouwen regulatoir saldo einde 2019</v>
      </c>
      <c r="H346" s="675" t="str">
        <f>"Afbouw oudste openstaande regulatoir saldo vanaf boekjaar "&amp;F344-32&amp;" en vroeger, door aanwending van compensatie met regulatoir saldo ontstaan over boekjaar "&amp;F344-1</f>
        <v>Afbouw oudste openstaande regulatoir saldo vanaf boekjaar 1988 en vroeger, door aanwending van compensatie met regulatoir saldo ontstaan over boekjaar 2019</v>
      </c>
      <c r="I346" s="675" t="str">
        <f>"Nog af te bouwen regulatoir saldo na compensatie einde "&amp;F344-1</f>
        <v>Nog af te bouwen regulatoir saldo na compensatie einde 2019</v>
      </c>
      <c r="J346" s="675" t="str">
        <f>"Aanwending van 50% van het geaccumuleerd regulatoir saldo door te rekenen volgens de tariefmethodologie in het boekjaar "&amp;F344</f>
        <v>Aanwending van 50% van het geaccumuleerd regulatoir saldo door te rekenen volgens de tariefmethodologie in het boekjaar 2020</v>
      </c>
      <c r="K346" s="675" t="str">
        <f>"Aanwending van 50% van het geaccumuleerd regulatoir saldo door te rekenen volgens de tariefmethodologie in het boekjaar "&amp;F344</f>
        <v>Aanwending van 50% van het geaccumuleerd regulatoir saldo door te rekenen volgens de tariefmethodologie in het boekjaar 2020</v>
      </c>
      <c r="L346" s="675" t="str">
        <f>"Totale afbouw over "&amp;F344</f>
        <v>Totale afbouw over 2020</v>
      </c>
      <c r="N346" s="675" t="str">
        <f>"Nog af te bouwen regulatoir saldo einde "&amp;F344</f>
        <v>Nog af te bouwen regulatoir saldo einde 2020</v>
      </c>
      <c r="O346" s="610"/>
    </row>
    <row r="347" spans="2:15" ht="13" x14ac:dyDescent="0.25">
      <c r="B347" s="1057">
        <v>2017</v>
      </c>
      <c r="C347" s="1058"/>
      <c r="D347" s="1058"/>
      <c r="E347" s="1059"/>
      <c r="F347" s="896"/>
      <c r="G347" s="839">
        <f>+N340</f>
        <v>0</v>
      </c>
      <c r="H347" s="898">
        <f>IF(SIGN(G349*N342)&lt;0,IF(G347&lt;&gt;0,-SIGN(G347)*MIN(ABS(G349),ABS(G347)),0),0)</f>
        <v>0</v>
      </c>
      <c r="I347" s="839">
        <f>+G347+H347</f>
        <v>0</v>
      </c>
      <c r="J347" s="698"/>
      <c r="K347" s="897">
        <f>-MIN(ABS(I347),ABS(J350))*SIGN(I347)</f>
        <v>0</v>
      </c>
      <c r="L347" s="898">
        <f>+K347+H347</f>
        <v>0</v>
      </c>
      <c r="N347" s="839">
        <f>+I347+K347</f>
        <v>0</v>
      </c>
      <c r="O347" s="610"/>
    </row>
    <row r="348" spans="2:15" ht="13" x14ac:dyDescent="0.25">
      <c r="B348" s="1057">
        <v>2018</v>
      </c>
      <c r="C348" s="1058"/>
      <c r="D348" s="1058">
        <v>2016</v>
      </c>
      <c r="E348" s="1059"/>
      <c r="F348" s="896"/>
      <c r="G348" s="839">
        <f>+N341</f>
        <v>0</v>
      </c>
      <c r="H348" s="898">
        <f>IF(SIGN(G349*N342)&lt;0,IF(G348&lt;&gt;0,-SIGN(G348)*MIN(ABS(G349-H347),ABS(G348)),0),0)</f>
        <v>0</v>
      </c>
      <c r="I348" s="839">
        <f>+G348+H348</f>
        <v>0</v>
      </c>
      <c r="J348" s="698"/>
      <c r="K348" s="897">
        <f>-MIN(ABS(I348),ABS(J350-K347))*SIGN(I348)</f>
        <v>0</v>
      </c>
      <c r="L348" s="898">
        <f>+K348+H348</f>
        <v>0</v>
      </c>
      <c r="N348" s="839">
        <f>+I348+K348</f>
        <v>0</v>
      </c>
      <c r="O348" s="610"/>
    </row>
    <row r="349" spans="2:15" ht="13" x14ac:dyDescent="0.25">
      <c r="B349" s="1057">
        <v>2019</v>
      </c>
      <c r="C349" s="1058"/>
      <c r="D349" s="1058"/>
      <c r="E349" s="1059"/>
      <c r="F349" s="896"/>
      <c r="G349" s="839">
        <f>I117</f>
        <v>0</v>
      </c>
      <c r="H349" s="898">
        <f>IF(SIGN(G349*N342)&lt;0,-SUM(H347:H348),0)</f>
        <v>0</v>
      </c>
      <c r="I349" s="839">
        <f>+G349+H349</f>
        <v>0</v>
      </c>
      <c r="J349" s="698"/>
      <c r="K349" s="897">
        <f>-MIN(ABS(I349),ABS(J350-K347-K348))*SIGN(I349)</f>
        <v>0</v>
      </c>
      <c r="L349" s="898">
        <f>+K349+H349</f>
        <v>0</v>
      </c>
      <c r="N349" s="839">
        <f>+I349+K349</f>
        <v>0</v>
      </c>
      <c r="O349" s="610"/>
    </row>
    <row r="350" spans="2:15" s="18" customFormat="1" ht="13" x14ac:dyDescent="0.3">
      <c r="G350" s="899">
        <f>SUM(G347:G349)</f>
        <v>0</v>
      </c>
      <c r="H350" s="899">
        <f>SUM(H347:H349)</f>
        <v>0</v>
      </c>
      <c r="I350" s="899">
        <f>SUM(I347:I349)</f>
        <v>0</v>
      </c>
      <c r="J350" s="899">
        <f>-I350*0.5</f>
        <v>0</v>
      </c>
      <c r="K350" s="900">
        <f>SUM(K347:K349)</f>
        <v>0</v>
      </c>
      <c r="L350" s="901"/>
      <c r="N350" s="899">
        <f>SUM(N347:N349)</f>
        <v>0</v>
      </c>
    </row>
    <row r="351" spans="2:15" x14ac:dyDescent="0.25">
      <c r="K351" s="20"/>
      <c r="M351" s="394"/>
    </row>
    <row r="352" spans="2:15" x14ac:dyDescent="0.25">
      <c r="K352" s="20"/>
      <c r="M352" s="394"/>
    </row>
    <row r="353" spans="2:14" ht="13" x14ac:dyDescent="0.3">
      <c r="B353" s="18" t="s">
        <v>364</v>
      </c>
      <c r="C353" s="381"/>
      <c r="D353" s="381"/>
      <c r="E353" s="381"/>
      <c r="K353" s="20"/>
      <c r="M353" s="394"/>
    </row>
    <row r="354" spans="2:14" ht="13" x14ac:dyDescent="0.3">
      <c r="B354" s="18"/>
      <c r="C354" s="381"/>
      <c r="D354" s="381"/>
      <c r="E354" s="381"/>
      <c r="K354" s="20"/>
      <c r="M354" s="394"/>
    </row>
    <row r="355" spans="2:14" ht="13" x14ac:dyDescent="0.3">
      <c r="B355" s="864">
        <f>F332</f>
        <v>2018</v>
      </c>
      <c r="C355" s="906">
        <f>J335</f>
        <v>0</v>
      </c>
      <c r="D355" s="381"/>
      <c r="E355" s="381"/>
      <c r="K355" s="20"/>
      <c r="M355" s="394"/>
    </row>
    <row r="356" spans="2:14" ht="13" x14ac:dyDescent="0.3">
      <c r="B356" s="864">
        <f>F337</f>
        <v>2019</v>
      </c>
      <c r="C356" s="906">
        <f>K342</f>
        <v>0</v>
      </c>
      <c r="D356" s="381"/>
      <c r="E356" s="381"/>
      <c r="K356" s="20"/>
      <c r="M356" s="394"/>
    </row>
    <row r="357" spans="2:14" ht="13" x14ac:dyDescent="0.3">
      <c r="B357" s="864">
        <f>F344</f>
        <v>2020</v>
      </c>
      <c r="C357" s="906">
        <f>K350</f>
        <v>0</v>
      </c>
      <c r="D357" s="381"/>
      <c r="E357" s="381"/>
      <c r="K357" s="20"/>
      <c r="M357" s="394"/>
    </row>
    <row r="358" spans="2:14" ht="13" x14ac:dyDescent="0.3">
      <c r="H358" s="392"/>
      <c r="I358" s="392"/>
      <c r="J358" s="392"/>
      <c r="K358" s="20"/>
      <c r="M358" s="610"/>
    </row>
    <row r="359" spans="2:14" x14ac:dyDescent="0.25">
      <c r="K359" s="20"/>
      <c r="M359" s="610"/>
    </row>
    <row r="360" spans="2:14" ht="13" x14ac:dyDescent="0.3">
      <c r="B360" s="902" t="s">
        <v>134</v>
      </c>
      <c r="C360" s="903"/>
      <c r="D360" s="903"/>
      <c r="E360" s="903"/>
      <c r="F360" s="904"/>
      <c r="G360" s="904"/>
      <c r="H360" s="904"/>
      <c r="I360" s="904"/>
      <c r="J360" s="904"/>
      <c r="K360" s="904"/>
      <c r="L360" s="904"/>
      <c r="M360" s="905"/>
      <c r="N360" s="904"/>
    </row>
    <row r="361" spans="2:14" x14ac:dyDescent="0.25">
      <c r="K361" s="20"/>
      <c r="M361" s="610"/>
    </row>
    <row r="362" spans="2:14" ht="13" x14ac:dyDescent="0.3">
      <c r="B362" s="18" t="s">
        <v>362</v>
      </c>
      <c r="F362" s="895">
        <v>2018</v>
      </c>
      <c r="K362" s="20"/>
      <c r="M362" s="610"/>
    </row>
    <row r="363" spans="2:14" x14ac:dyDescent="0.25">
      <c r="K363" s="20"/>
      <c r="L363" s="610"/>
    </row>
    <row r="364" spans="2:14" ht="82.5" customHeight="1" x14ac:dyDescent="0.25">
      <c r="B364" s="1060" t="s">
        <v>363</v>
      </c>
      <c r="C364" s="1061"/>
      <c r="D364" s="1061"/>
      <c r="E364" s="1062"/>
      <c r="F364" s="599"/>
      <c r="G364" s="675" t="str">
        <f>"Nog af te bouwen regulatoir saldo einde "&amp;F362-1</f>
        <v>Nog af te bouwen regulatoir saldo einde 2017</v>
      </c>
      <c r="H364" s="675" t="str">
        <f>"Afbouw oudste openstaande regulatoir saldo vanaf boekjaar "&amp;F362-2&amp;" en vroeger, door aanwending van compensatie met regulatoir saldo ontstaan over boekjaar "&amp;F362-1</f>
        <v>Afbouw oudste openstaande regulatoir saldo vanaf boekjaar 2016 en vroeger, door aanwending van compensatie met regulatoir saldo ontstaan over boekjaar 2017</v>
      </c>
      <c r="I364" s="675" t="str">
        <f>"Nog af te bouwen regulatoir saldo na compensatie einde "&amp;F362-1</f>
        <v>Nog af te bouwen regulatoir saldo na compensatie einde 2017</v>
      </c>
      <c r="J364" s="675" t="str">
        <f>"Aanwending van 50% van het geaccumuleerd regulatoir saldo door te rekenen volgens de tariefmethodologie in het boekjaar "&amp;F362</f>
        <v>Aanwending van 50% van het geaccumuleerd regulatoir saldo door te rekenen volgens de tariefmethodologie in het boekjaar 2018</v>
      </c>
      <c r="K364" s="675" t="str">
        <f>"Nog af te bouwen regulatoir saldo einde "&amp;F362</f>
        <v>Nog af te bouwen regulatoir saldo einde 2018</v>
      </c>
      <c r="L364" s="610"/>
    </row>
    <row r="365" spans="2:14" ht="13" x14ac:dyDescent="0.25">
      <c r="B365" s="1057">
        <v>2017</v>
      </c>
      <c r="C365" s="1058"/>
      <c r="D365" s="1058"/>
      <c r="E365" s="1059"/>
      <c r="F365" s="896"/>
      <c r="G365" s="839">
        <f>G120</f>
        <v>0</v>
      </c>
      <c r="H365" s="897">
        <v>0</v>
      </c>
      <c r="I365" s="839">
        <f>+G365+H365</f>
        <v>0</v>
      </c>
      <c r="J365" s="839">
        <f>-I365*0.5</f>
        <v>0</v>
      </c>
      <c r="K365" s="908">
        <f>+J365+G365</f>
        <v>0</v>
      </c>
      <c r="L365" s="610"/>
    </row>
    <row r="366" spans="2:14" x14ac:dyDescent="0.25">
      <c r="K366" s="20"/>
      <c r="L366" s="610"/>
    </row>
    <row r="367" spans="2:14" ht="13" x14ac:dyDescent="0.3">
      <c r="B367" s="18" t="s">
        <v>362</v>
      </c>
      <c r="F367" s="895">
        <v>2019</v>
      </c>
      <c r="K367" s="20"/>
      <c r="M367" s="610"/>
    </row>
    <row r="368" spans="2:14" x14ac:dyDescent="0.25">
      <c r="K368" s="20"/>
      <c r="M368" s="610"/>
    </row>
    <row r="369" spans="2:15" ht="84" customHeight="1" x14ac:dyDescent="0.25">
      <c r="B369" s="1060" t="s">
        <v>363</v>
      </c>
      <c r="C369" s="1061"/>
      <c r="D369" s="1061"/>
      <c r="E369" s="1062"/>
      <c r="F369" s="599"/>
      <c r="G369" s="675" t="str">
        <f>"Nog af te bouwen regulatoir saldo einde "&amp;F367-1</f>
        <v>Nog af te bouwen regulatoir saldo einde 2018</v>
      </c>
      <c r="H369" s="675" t="str">
        <f>"Afbouw oudste openstaande regulatoir saldo vanaf boekjaar "&amp;F367-2&amp;" en vroeger, door aanwending van compensatie met regulatoir saldo ontstaan over boekjaar "&amp;F367-1</f>
        <v>Afbouw oudste openstaande regulatoir saldo vanaf boekjaar 2017 en vroeger, door aanwending van compensatie met regulatoir saldo ontstaan over boekjaar 2018</v>
      </c>
      <c r="I369" s="675" t="str">
        <f>"Nog af te bouwen regulatoir saldo na compensatie einde "&amp;F367-1</f>
        <v>Nog af te bouwen regulatoir saldo na compensatie einde 2018</v>
      </c>
      <c r="J369" s="675" t="str">
        <f>"Aanwending van 50% van het geaccumuleerd regulatoir saldo door te rekenen volgens de tariefmethodologie in het boekjaar "&amp;F367</f>
        <v>Aanwending van 50% van het geaccumuleerd regulatoir saldo door te rekenen volgens de tariefmethodologie in het boekjaar 2019</v>
      </c>
      <c r="K369" s="675" t="str">
        <f>"Aanwending van 50% van het geaccumuleerd regulatoir saldo door te rekenen volgens de tariefmethodologie in het boekjaar "&amp;F367</f>
        <v>Aanwending van 50% van het geaccumuleerd regulatoir saldo door te rekenen volgens de tariefmethodologie in het boekjaar 2019</v>
      </c>
      <c r="L369" s="675" t="str">
        <f>"Totale afbouw over "&amp;F367</f>
        <v>Totale afbouw over 2019</v>
      </c>
      <c r="N369" s="675" t="str">
        <f>"Nog af te bouwen regulatoir saldo einde "&amp;F367</f>
        <v>Nog af te bouwen regulatoir saldo einde 2019</v>
      </c>
      <c r="O369" s="610"/>
    </row>
    <row r="370" spans="2:15" ht="13" x14ac:dyDescent="0.25">
      <c r="B370" s="1057">
        <v>2017</v>
      </c>
      <c r="C370" s="1058"/>
      <c r="D370" s="1058"/>
      <c r="E370" s="1059"/>
      <c r="F370" s="896"/>
      <c r="G370" s="839">
        <f>K365</f>
        <v>0</v>
      </c>
      <c r="H370" s="897">
        <f>IF(SIGN(G371*K365)&lt;0,IF(G370&lt;&gt;0,-SIGN(G370)*MIN(ABS(G371),ABS(G370)),0),0)</f>
        <v>0</v>
      </c>
      <c r="I370" s="839">
        <f>+G370+H370</f>
        <v>0</v>
      </c>
      <c r="J370" s="698"/>
      <c r="K370" s="897">
        <f>-MIN(ABS(I370),ABS(J372))*SIGN(I370)</f>
        <v>0</v>
      </c>
      <c r="L370" s="898">
        <f>+K370+H370</f>
        <v>0</v>
      </c>
      <c r="N370" s="839">
        <f>+I370+K370</f>
        <v>0</v>
      </c>
      <c r="O370" s="610"/>
    </row>
    <row r="371" spans="2:15" ht="13" x14ac:dyDescent="0.25">
      <c r="B371" s="1057">
        <v>2018</v>
      </c>
      <c r="C371" s="1058"/>
      <c r="D371" s="1058"/>
      <c r="E371" s="1059"/>
      <c r="F371" s="896"/>
      <c r="G371" s="839">
        <f>H121</f>
        <v>0</v>
      </c>
      <c r="H371" s="898">
        <f>IF(SIGN(G371*K365)&lt;0,-H370,0)</f>
        <v>0</v>
      </c>
      <c r="I371" s="839">
        <f>+G371+H371</f>
        <v>0</v>
      </c>
      <c r="J371" s="698"/>
      <c r="K371" s="897">
        <f>-MIN(ABS(I371),ABS(J372-K370))*SIGN(I371)</f>
        <v>0</v>
      </c>
      <c r="L371" s="898">
        <f>+K371+H371</f>
        <v>0</v>
      </c>
      <c r="N371" s="839">
        <f>+I371+K371</f>
        <v>0</v>
      </c>
      <c r="O371" s="610"/>
    </row>
    <row r="372" spans="2:15" s="18" customFormat="1" ht="13" x14ac:dyDescent="0.3">
      <c r="G372" s="899">
        <f>SUM(G370:G371)</f>
        <v>0</v>
      </c>
      <c r="H372" s="899">
        <f>SUM(H370:H371)</f>
        <v>0</v>
      </c>
      <c r="I372" s="899">
        <f>SUM(I370:I371)</f>
        <v>0</v>
      </c>
      <c r="J372" s="899">
        <f>-I372*0.5</f>
        <v>0</v>
      </c>
      <c r="K372" s="900">
        <f>SUM(K370:K371)</f>
        <v>0</v>
      </c>
      <c r="L372" s="901"/>
      <c r="N372" s="899">
        <f>SUM(N370:N371)</f>
        <v>0</v>
      </c>
    </row>
    <row r="373" spans="2:15" x14ac:dyDescent="0.25">
      <c r="K373" s="20"/>
      <c r="M373" s="610"/>
    </row>
    <row r="374" spans="2:15" ht="13" x14ac:dyDescent="0.3">
      <c r="B374" s="18" t="s">
        <v>362</v>
      </c>
      <c r="F374" s="895">
        <v>2020</v>
      </c>
      <c r="K374" s="20"/>
    </row>
    <row r="375" spans="2:15" x14ac:dyDescent="0.25">
      <c r="K375" s="20"/>
    </row>
    <row r="376" spans="2:15" ht="94.5" customHeight="1" x14ac:dyDescent="0.25">
      <c r="B376" s="1060" t="s">
        <v>363</v>
      </c>
      <c r="C376" s="1061"/>
      <c r="D376" s="1061"/>
      <c r="E376" s="1062"/>
      <c r="F376" s="599"/>
      <c r="G376" s="675" t="str">
        <f>"Nog af te bouwen regulatoir saldo einde "&amp;F374-1</f>
        <v>Nog af te bouwen regulatoir saldo einde 2019</v>
      </c>
      <c r="H376" s="675" t="str">
        <f>"Afbouw oudste openstaande regulatoir saldo vanaf boekjaar "&amp;F374-32&amp;" en vroeger, door aanwending van compensatie met regulatoir saldo ontstaan over boekjaar "&amp;F374-1</f>
        <v>Afbouw oudste openstaande regulatoir saldo vanaf boekjaar 1988 en vroeger, door aanwending van compensatie met regulatoir saldo ontstaan over boekjaar 2019</v>
      </c>
      <c r="I376" s="675" t="str">
        <f>"Nog af te bouwen regulatoir saldo na compensatie einde "&amp;F374-1</f>
        <v>Nog af te bouwen regulatoir saldo na compensatie einde 2019</v>
      </c>
      <c r="J376" s="675" t="str">
        <f>"Aanwending van 50% van het geaccumuleerd regulatoir saldo door te rekenen volgens de tariefmethodologie in het boekjaar "&amp;F374</f>
        <v>Aanwending van 50% van het geaccumuleerd regulatoir saldo door te rekenen volgens de tariefmethodologie in het boekjaar 2020</v>
      </c>
      <c r="K376" s="675" t="str">
        <f>"Aanwending van 50% van het geaccumuleerd regulatoir saldo door te rekenen volgens de tariefmethodologie in het boekjaar "&amp;F374</f>
        <v>Aanwending van 50% van het geaccumuleerd regulatoir saldo door te rekenen volgens de tariefmethodologie in het boekjaar 2020</v>
      </c>
      <c r="L376" s="675" t="str">
        <f>"Totale afbouw over "&amp;F374</f>
        <v>Totale afbouw over 2020</v>
      </c>
      <c r="N376" s="675" t="str">
        <f>"Nog af te bouwen regulatoir saldo einde "&amp;F374</f>
        <v>Nog af te bouwen regulatoir saldo einde 2020</v>
      </c>
      <c r="O376" s="610"/>
    </row>
    <row r="377" spans="2:15" ht="13" x14ac:dyDescent="0.25">
      <c r="B377" s="1057">
        <v>2017</v>
      </c>
      <c r="C377" s="1058"/>
      <c r="D377" s="1058"/>
      <c r="E377" s="1059"/>
      <c r="F377" s="896"/>
      <c r="G377" s="839">
        <f>+N370</f>
        <v>0</v>
      </c>
      <c r="H377" s="898">
        <f>IF(SIGN(G379*N372)&lt;0,IF(G377&lt;&gt;0,-SIGN(G377)*MIN(ABS(G379),ABS(G377)),0),0)</f>
        <v>0</v>
      </c>
      <c r="I377" s="839">
        <f>+G377+H377</f>
        <v>0</v>
      </c>
      <c r="J377" s="698"/>
      <c r="K377" s="897">
        <f>-MIN(ABS(I377),ABS(J380))*SIGN(I377)</f>
        <v>0</v>
      </c>
      <c r="L377" s="898">
        <f>+K377+H377</f>
        <v>0</v>
      </c>
      <c r="N377" s="839">
        <f>+I377+K377</f>
        <v>0</v>
      </c>
      <c r="O377" s="610"/>
    </row>
    <row r="378" spans="2:15" ht="13" x14ac:dyDescent="0.25">
      <c r="B378" s="1057">
        <v>2018</v>
      </c>
      <c r="C378" s="1058"/>
      <c r="D378" s="1058">
        <v>2016</v>
      </c>
      <c r="E378" s="1059"/>
      <c r="F378" s="896"/>
      <c r="G378" s="839">
        <f>+N371</f>
        <v>0</v>
      </c>
      <c r="H378" s="898">
        <f>IF(SIGN(G379*N372)&lt;0,IF(G378&lt;&gt;0,-SIGN(G378)*MIN(ABS(G379-H377),ABS(G378)),0),0)</f>
        <v>0</v>
      </c>
      <c r="I378" s="839">
        <f>+G378+H378</f>
        <v>0</v>
      </c>
      <c r="J378" s="698"/>
      <c r="K378" s="897">
        <f>-MIN(ABS(I378),ABS(J380-K377))*SIGN(I378)</f>
        <v>0</v>
      </c>
      <c r="L378" s="898">
        <f>+K378+H378</f>
        <v>0</v>
      </c>
      <c r="N378" s="839">
        <f>+I378+K378</f>
        <v>0</v>
      </c>
      <c r="O378" s="610"/>
    </row>
    <row r="379" spans="2:15" ht="13" x14ac:dyDescent="0.25">
      <c r="B379" s="1057">
        <v>2019</v>
      </c>
      <c r="C379" s="1058"/>
      <c r="D379" s="1058"/>
      <c r="E379" s="1059"/>
      <c r="F379" s="896"/>
      <c r="G379" s="839">
        <f>I122</f>
        <v>0</v>
      </c>
      <c r="H379" s="898">
        <f>IF(SIGN(G379*N372)&lt;0,-SUM(H377:H378),0)</f>
        <v>0</v>
      </c>
      <c r="I379" s="839">
        <f>+G379+H379</f>
        <v>0</v>
      </c>
      <c r="J379" s="698"/>
      <c r="K379" s="897">
        <f>-MIN(ABS(I379),ABS(J380-K377-K378))*SIGN(I379)</f>
        <v>0</v>
      </c>
      <c r="L379" s="898">
        <f>+K379+H379</f>
        <v>0</v>
      </c>
      <c r="N379" s="839">
        <f>+I379+K379</f>
        <v>0</v>
      </c>
      <c r="O379" s="610"/>
    </row>
    <row r="380" spans="2:15" s="18" customFormat="1" ht="13" x14ac:dyDescent="0.3">
      <c r="G380" s="899">
        <f>SUM(G377:G379)</f>
        <v>0</v>
      </c>
      <c r="H380" s="899">
        <f>SUM(H377:H379)</f>
        <v>0</v>
      </c>
      <c r="I380" s="899">
        <f>SUM(I377:I379)</f>
        <v>0</v>
      </c>
      <c r="J380" s="899">
        <f>-I380*0.5</f>
        <v>0</v>
      </c>
      <c r="K380" s="900">
        <f>SUM(K377:K379)</f>
        <v>0</v>
      </c>
      <c r="L380" s="901"/>
      <c r="N380" s="899">
        <f>SUM(N377:N379)</f>
        <v>0</v>
      </c>
    </row>
    <row r="381" spans="2:15" x14ac:dyDescent="0.25">
      <c r="K381" s="20"/>
      <c r="M381" s="394"/>
    </row>
    <row r="382" spans="2:15" x14ac:dyDescent="0.25">
      <c r="K382" s="20"/>
      <c r="M382" s="394"/>
    </row>
    <row r="383" spans="2:15" ht="13" x14ac:dyDescent="0.3">
      <c r="B383" s="18" t="s">
        <v>364</v>
      </c>
      <c r="C383" s="381"/>
      <c r="D383" s="381"/>
      <c r="E383" s="381"/>
      <c r="K383" s="20"/>
      <c r="M383" s="394"/>
    </row>
    <row r="384" spans="2:15" ht="13" x14ac:dyDescent="0.3">
      <c r="B384" s="18"/>
      <c r="C384" s="381"/>
      <c r="D384" s="381"/>
      <c r="E384" s="381"/>
      <c r="K384" s="20"/>
      <c r="M384" s="394"/>
    </row>
    <row r="385" spans="2:13" ht="13" x14ac:dyDescent="0.3">
      <c r="B385" s="864">
        <f>F362</f>
        <v>2018</v>
      </c>
      <c r="C385" s="906">
        <f>J365</f>
        <v>0</v>
      </c>
      <c r="D385" s="381"/>
      <c r="E385" s="381"/>
      <c r="K385" s="20"/>
      <c r="M385" s="394"/>
    </row>
    <row r="386" spans="2:13" ht="13" x14ac:dyDescent="0.3">
      <c r="B386" s="864">
        <f>F367</f>
        <v>2019</v>
      </c>
      <c r="C386" s="906">
        <f>K372</f>
        <v>0</v>
      </c>
      <c r="D386" s="381"/>
      <c r="E386" s="381"/>
      <c r="K386" s="20"/>
      <c r="M386" s="394"/>
    </row>
    <row r="387" spans="2:13" ht="13" x14ac:dyDescent="0.3">
      <c r="B387" s="864">
        <f>F374</f>
        <v>2020</v>
      </c>
      <c r="C387" s="906">
        <f>K380</f>
        <v>0</v>
      </c>
      <c r="D387" s="381"/>
      <c r="E387" s="381"/>
      <c r="K387" s="20"/>
      <c r="M387" s="394"/>
    </row>
    <row r="388" spans="2:13" ht="13" x14ac:dyDescent="0.3">
      <c r="H388" s="392"/>
      <c r="I388" s="392"/>
      <c r="J388" s="392"/>
      <c r="K388" s="20"/>
      <c r="M388" s="610"/>
    </row>
    <row r="389" spans="2:13" x14ac:dyDescent="0.25">
      <c r="K389" s="20"/>
      <c r="M389" s="610"/>
    </row>
    <row r="390" spans="2:13" x14ac:dyDescent="0.25">
      <c r="K390" s="20"/>
      <c r="M390" s="610"/>
    </row>
    <row r="391" spans="2:13" x14ac:dyDescent="0.25">
      <c r="K391" s="20"/>
      <c r="M391" s="610"/>
    </row>
  </sheetData>
  <mergeCells count="192">
    <mergeCell ref="B377:E377"/>
    <mergeCell ref="B378:E378"/>
    <mergeCell ref="B379:E379"/>
    <mergeCell ref="B364:E364"/>
    <mergeCell ref="B365:E365"/>
    <mergeCell ref="B369:E369"/>
    <mergeCell ref="B370:E370"/>
    <mergeCell ref="B371:E371"/>
    <mergeCell ref="B376:E376"/>
    <mergeCell ref="B334:E334"/>
    <mergeCell ref="B335:E335"/>
    <mergeCell ref="B339:E339"/>
    <mergeCell ref="B340:E340"/>
    <mergeCell ref="B341:E341"/>
    <mergeCell ref="B346:E346"/>
    <mergeCell ref="B347:E347"/>
    <mergeCell ref="B348:E348"/>
    <mergeCell ref="B349:E349"/>
    <mergeCell ref="B304:E304"/>
    <mergeCell ref="B305:E305"/>
    <mergeCell ref="B309:E309"/>
    <mergeCell ref="B310:E310"/>
    <mergeCell ref="B311:E311"/>
    <mergeCell ref="B316:E316"/>
    <mergeCell ref="B317:E317"/>
    <mergeCell ref="B318:E318"/>
    <mergeCell ref="B319:E319"/>
    <mergeCell ref="B274:E274"/>
    <mergeCell ref="B275:E275"/>
    <mergeCell ref="B279:E279"/>
    <mergeCell ref="B280:E280"/>
    <mergeCell ref="B281:E281"/>
    <mergeCell ref="B286:E286"/>
    <mergeCell ref="B287:E287"/>
    <mergeCell ref="B288:E288"/>
    <mergeCell ref="B289:E289"/>
    <mergeCell ref="B244:E244"/>
    <mergeCell ref="B245:E245"/>
    <mergeCell ref="B249:E249"/>
    <mergeCell ref="B250:E250"/>
    <mergeCell ref="B251:E251"/>
    <mergeCell ref="B256:E256"/>
    <mergeCell ref="B257:E257"/>
    <mergeCell ref="B258:E258"/>
    <mergeCell ref="B259:E259"/>
    <mergeCell ref="B214:E214"/>
    <mergeCell ref="B215:E215"/>
    <mergeCell ref="B219:E219"/>
    <mergeCell ref="B220:E220"/>
    <mergeCell ref="B221:E221"/>
    <mergeCell ref="B226:E226"/>
    <mergeCell ref="B227:E227"/>
    <mergeCell ref="B228:E228"/>
    <mergeCell ref="B229:E229"/>
    <mergeCell ref="B184:E184"/>
    <mergeCell ref="B185:E185"/>
    <mergeCell ref="B189:E189"/>
    <mergeCell ref="B190:E190"/>
    <mergeCell ref="B191:E191"/>
    <mergeCell ref="B196:E196"/>
    <mergeCell ref="B197:E197"/>
    <mergeCell ref="B198:E198"/>
    <mergeCell ref="B199:E199"/>
    <mergeCell ref="B142:E142"/>
    <mergeCell ref="B143:E143"/>
    <mergeCell ref="B144:E144"/>
    <mergeCell ref="B145:E145"/>
    <mergeCell ref="B147:E147"/>
    <mergeCell ref="B131:E131"/>
    <mergeCell ref="B136:E136"/>
    <mergeCell ref="B138:E138"/>
    <mergeCell ref="B139:E139"/>
    <mergeCell ref="B140:E140"/>
    <mergeCell ref="B120:E120"/>
    <mergeCell ref="B113:E113"/>
    <mergeCell ref="B114:E114"/>
    <mergeCell ref="B115:E115"/>
    <mergeCell ref="B116:E116"/>
    <mergeCell ref="B141:E141"/>
    <mergeCell ref="B127:E127"/>
    <mergeCell ref="B128:E128"/>
    <mergeCell ref="B129:E129"/>
    <mergeCell ref="B130:E130"/>
    <mergeCell ref="B121:E121"/>
    <mergeCell ref="B122:E122"/>
    <mergeCell ref="B123:E123"/>
    <mergeCell ref="B126:E126"/>
    <mergeCell ref="B125:E125"/>
    <mergeCell ref="B112:E112"/>
    <mergeCell ref="B104:E104"/>
    <mergeCell ref="B105:E105"/>
    <mergeCell ref="B106:E106"/>
    <mergeCell ref="B107:E107"/>
    <mergeCell ref="B108:E108"/>
    <mergeCell ref="B117:E117"/>
    <mergeCell ref="B118:E118"/>
    <mergeCell ref="B119:E119"/>
    <mergeCell ref="B102:E102"/>
    <mergeCell ref="B103:E103"/>
    <mergeCell ref="B95:E95"/>
    <mergeCell ref="B96:E96"/>
    <mergeCell ref="B97:E97"/>
    <mergeCell ref="B98:E98"/>
    <mergeCell ref="B109:E109"/>
    <mergeCell ref="B110:E110"/>
    <mergeCell ref="B111:E111"/>
    <mergeCell ref="B93:E93"/>
    <mergeCell ref="B94:E94"/>
    <mergeCell ref="B87:E87"/>
    <mergeCell ref="B88:E88"/>
    <mergeCell ref="B89:E89"/>
    <mergeCell ref="B90:E90"/>
    <mergeCell ref="B99:E99"/>
    <mergeCell ref="B100:E100"/>
    <mergeCell ref="B101:E101"/>
    <mergeCell ref="B85:E85"/>
    <mergeCell ref="B86:E86"/>
    <mergeCell ref="B73:E73"/>
    <mergeCell ref="B74:E74"/>
    <mergeCell ref="B75:E75"/>
    <mergeCell ref="B76:E76"/>
    <mergeCell ref="B77:E77"/>
    <mergeCell ref="B91:E91"/>
    <mergeCell ref="B92:E92"/>
    <mergeCell ref="B69:E69"/>
    <mergeCell ref="B70:E70"/>
    <mergeCell ref="B64:E64"/>
    <mergeCell ref="B65:E65"/>
    <mergeCell ref="B66:E66"/>
    <mergeCell ref="B67:E67"/>
    <mergeCell ref="B78:E78"/>
    <mergeCell ref="B82:E82"/>
    <mergeCell ref="B84:E84"/>
    <mergeCell ref="B72:E72"/>
    <mergeCell ref="B60:E60"/>
    <mergeCell ref="B61:E61"/>
    <mergeCell ref="B62:E62"/>
    <mergeCell ref="B63:E63"/>
    <mergeCell ref="B56:E56"/>
    <mergeCell ref="B57:E57"/>
    <mergeCell ref="B58:E58"/>
    <mergeCell ref="B59:E59"/>
    <mergeCell ref="B68:E68"/>
    <mergeCell ref="B52:E52"/>
    <mergeCell ref="B53:E53"/>
    <mergeCell ref="B54:E54"/>
    <mergeCell ref="B55:E55"/>
    <mergeCell ref="B46:E46"/>
    <mergeCell ref="B47:E47"/>
    <mergeCell ref="B48:E48"/>
    <mergeCell ref="B49:E49"/>
    <mergeCell ref="B50:E50"/>
    <mergeCell ref="B42:E42"/>
    <mergeCell ref="B43:E43"/>
    <mergeCell ref="B44:E44"/>
    <mergeCell ref="B45:E45"/>
    <mergeCell ref="B38:E38"/>
    <mergeCell ref="B39:E39"/>
    <mergeCell ref="B40:E40"/>
    <mergeCell ref="B41:E41"/>
    <mergeCell ref="B51:E51"/>
    <mergeCell ref="A1:J1"/>
    <mergeCell ref="B4:E4"/>
    <mergeCell ref="B7:E7"/>
    <mergeCell ref="B13:E13"/>
    <mergeCell ref="B15:E15"/>
    <mergeCell ref="B16:E16"/>
    <mergeCell ref="B17:E17"/>
    <mergeCell ref="B18:E18"/>
    <mergeCell ref="B19:E19"/>
    <mergeCell ref="B20:E20"/>
    <mergeCell ref="B21:E21"/>
    <mergeCell ref="B22:E22"/>
    <mergeCell ref="B34:E34"/>
    <mergeCell ref="B35:E35"/>
    <mergeCell ref="B36:E36"/>
    <mergeCell ref="B37:E37"/>
    <mergeCell ref="B24:E24"/>
    <mergeCell ref="B25:E25"/>
    <mergeCell ref="B29:E29"/>
    <mergeCell ref="B31:E31"/>
    <mergeCell ref="B32:E32"/>
    <mergeCell ref="B33:E33"/>
    <mergeCell ref="B167:E167"/>
    <mergeCell ref="B168:E168"/>
    <mergeCell ref="B169:E169"/>
    <mergeCell ref="B154:E154"/>
    <mergeCell ref="B155:E155"/>
    <mergeCell ref="B159:E159"/>
    <mergeCell ref="B160:E160"/>
    <mergeCell ref="B161:E161"/>
    <mergeCell ref="B166:E166"/>
  </mergeCells>
  <conditionalFormatting sqref="B51:J60 B104:J113 B19:J20 B142:G143">
    <cfRule type="expression" dxfId="25" priority="14" stopIfTrue="1">
      <formula>$B$7="gas"</formula>
    </cfRule>
  </conditionalFormatting>
  <conditionalFormatting sqref="B21:J21 B61:J65 B114:J118 B144:G144">
    <cfRule type="expression" dxfId="24" priority="13" stopIfTrue="1">
      <formula>$B$7="elektriciteit"</formula>
    </cfRule>
  </conditionalFormatting>
  <conditionalFormatting sqref="B134:G147">
    <cfRule type="expression" dxfId="23" priority="11" stopIfTrue="1">
      <formula>$K$2=2017</formula>
    </cfRule>
  </conditionalFormatting>
  <conditionalFormatting sqref="L51:L60 L104:L113 L19:L20">
    <cfRule type="expression" dxfId="22" priority="9" stopIfTrue="1">
      <formula>$B$7="gas"</formula>
    </cfRule>
  </conditionalFormatting>
  <conditionalFormatting sqref="L21 L61:L65 L114:L118">
    <cfRule type="expression" dxfId="21" priority="8" stopIfTrue="1">
      <formula>$B$7="elektriciteit"</formula>
    </cfRule>
  </conditionalFormatting>
  <conditionalFormatting sqref="H134:J148">
    <cfRule type="expression" dxfId="20" priority="5" stopIfTrue="1">
      <formula>$K$2=2017</formula>
    </cfRule>
  </conditionalFormatting>
  <conditionalFormatting sqref="B134:J134 B135:G147 H135:J148">
    <cfRule type="expression" dxfId="19" priority="4" stopIfTrue="1">
      <formula>$E$2="ex-post"</formula>
    </cfRule>
  </conditionalFormatting>
  <conditionalFormatting sqref="B270:N327">
    <cfRule type="expression" dxfId="18" priority="2" stopIfTrue="1">
      <formula>$B$7="gas"</formula>
    </cfRule>
  </conditionalFormatting>
  <conditionalFormatting sqref="B330:N357">
    <cfRule type="expression" dxfId="17" priority="1" stopIfTrue="1">
      <formula>$B$7="elektriciteit"</formula>
    </cfRule>
  </conditionalFormatting>
  <pageMargins left="0.70866141732283472" right="0.70866141732283472" top="0.74803149606299213" bottom="0.74803149606299213" header="0.31496062992125984" footer="0.31496062992125984"/>
  <pageSetup paperSize="8" scale="27" fitToWidth="2" fitToHeight="2" orientation="portrait" r:id="rId1"/>
  <rowBreaks count="1" manualBreakCount="1">
    <brk id="78" max="13" man="1"/>
  </rowBreaks>
  <ignoredErrors>
    <ignoredError sqref="G24:G25 L23:L25 G131 L131" evalError="1"/>
    <ignoredError sqref="G77:I77 H15:J22 L32:L35 L74:L77 L37:L40 L42:L45 L47:L50 L52:L55 L57:L60 L62:L65 L67:L70 G75 G76:H76 L85" unlockedFormula="1"/>
    <ignoredError sqref="G16:G22 L15:L22 G85 H120:J120 H115:J115 H110:J110 H105:J105 H100:J100 H95:J95 H90:J90 H127:J127 J129 I128:J128 J122 I121:J121 G121 G122:H122 J117 I116:J116 G116 G117:H117 J112 I111:J111 G111 G112:H112 J107 I106:J106 G106 G107:H107 J102 I101:J101 G101 G102:H102 J97 I96:J96 G96 G97:H97 J92 I91:J91 G91 G92:H92 J87 I86:J86 G86 L123 G123:I123 L118 G118:I118 G119:L119 L113 G113:I113 G114:L114 L108 G108:I108 G109:L109 L103 G103:I103 G104:L104 L98 G98:I98 G99:L99 L93 G93:I93 G94:L94 L130 L88 G88:I88 G89:L89 H124:K124 G125:L126 G87:H87 G124 G127:G130 G90 G95 G100 G105 G110 G115 G120 L124 J88 H130:J130 J93 J98 J103 J108 J113 J118 J123 H86 I87 H91 I92 H96 I97 H101 I102 H106 I107 H111 I112 H116 I117 H121 I122 H128 H129:I129 L86 L87 L90 L92 L91 L95 L97 L96 L100 L102 L101 L105 L107 L106 L110 L112 L111 L115 L117 L116 L120 L122 L121 L127 L129 L128" evalError="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8"/>
  <sheetViews>
    <sheetView zoomScale="80" zoomScaleNormal="80" zoomScaleSheetLayoutView="80" workbookViewId="0">
      <selection activeCell="B22" sqref="B22"/>
    </sheetView>
  </sheetViews>
  <sheetFormatPr defaultColWidth="11.453125" defaultRowHeight="12.5" x14ac:dyDescent="0.25"/>
  <cols>
    <col min="1" max="1" width="25.453125" style="187" customWidth="1"/>
    <col min="2" max="2" width="14.26953125" style="187" customWidth="1"/>
    <col min="3" max="6" width="21.26953125" style="187" customWidth="1"/>
    <col min="7" max="7" width="35.26953125" style="187" customWidth="1"/>
    <col min="8" max="8" width="27.453125" style="187" customWidth="1"/>
    <col min="9" max="9" width="28.26953125" style="187" customWidth="1"/>
    <col min="10" max="10" width="31.453125" style="187" customWidth="1"/>
    <col min="11" max="11" width="28.7265625" style="187" bestFit="1" customWidth="1"/>
    <col min="12" max="12" width="14" style="187" customWidth="1"/>
    <col min="13" max="13" width="29.1796875" style="187" customWidth="1"/>
    <col min="14" max="14" width="12.26953125" style="187" bestFit="1" customWidth="1"/>
    <col min="15" max="16384" width="11.453125" style="187"/>
  </cols>
  <sheetData>
    <row r="1" spans="1:27" ht="21.75" customHeight="1" thickBot="1" x14ac:dyDescent="0.45">
      <c r="A1" s="1157" t="s">
        <v>272</v>
      </c>
      <c r="B1" s="1158"/>
      <c r="C1" s="1158"/>
      <c r="D1" s="1158"/>
      <c r="E1" s="1158"/>
      <c r="F1" s="1158"/>
      <c r="G1" s="1158"/>
      <c r="H1" s="1159"/>
      <c r="I1" s="50"/>
      <c r="J1" s="48"/>
      <c r="K1" s="46"/>
    </row>
    <row r="2" spans="1:27" x14ac:dyDescent="0.25">
      <c r="A2" s="188"/>
      <c r="B2" s="188"/>
      <c r="C2" s="188"/>
      <c r="D2" s="188"/>
      <c r="E2" s="188"/>
      <c r="F2" s="188"/>
      <c r="G2" s="188"/>
      <c r="H2" s="188"/>
      <c r="I2" s="50"/>
      <c r="J2" s="48"/>
      <c r="K2" s="188"/>
    </row>
    <row r="3" spans="1:27" ht="13" thickBot="1" x14ac:dyDescent="0.3">
      <c r="A3" s="188"/>
      <c r="B3" s="188"/>
      <c r="C3" s="188"/>
      <c r="D3" s="188"/>
      <c r="E3" s="188"/>
      <c r="F3" s="188"/>
      <c r="G3" s="188"/>
      <c r="H3" s="188"/>
      <c r="I3" s="50"/>
      <c r="J3" s="48"/>
      <c r="K3" s="188"/>
    </row>
    <row r="4" spans="1:27" s="190" customFormat="1" ht="24" customHeight="1" thickBot="1" x14ac:dyDescent="0.4">
      <c r="A4" s="1040" t="s">
        <v>333</v>
      </c>
      <c r="B4" s="1041"/>
      <c r="C4" s="1041"/>
      <c r="D4" s="1041"/>
      <c r="E4" s="1041"/>
      <c r="F4" s="1041"/>
      <c r="G4" s="1041"/>
      <c r="H4" s="1042"/>
      <c r="I4" s="189"/>
      <c r="J4" s="189"/>
      <c r="K4" s="187"/>
      <c r="L4" s="187"/>
      <c r="M4" s="187"/>
      <c r="N4" s="187"/>
      <c r="O4" s="187"/>
      <c r="P4" s="187"/>
      <c r="Q4" s="187"/>
      <c r="R4" s="187"/>
      <c r="S4" s="187"/>
      <c r="T4" s="187"/>
      <c r="U4" s="187"/>
      <c r="V4" s="187"/>
      <c r="W4" s="187"/>
      <c r="X4" s="187"/>
      <c r="Y4" s="187"/>
      <c r="Z4" s="187"/>
      <c r="AA4" s="187"/>
    </row>
    <row r="5" spans="1:27" ht="13" thickBot="1" x14ac:dyDescent="0.3"/>
    <row r="6" spans="1:27" s="190" customFormat="1" ht="17" thickBot="1" x14ac:dyDescent="0.4">
      <c r="A6" s="187"/>
      <c r="B6" s="187"/>
      <c r="C6" s="1043" t="s">
        <v>43</v>
      </c>
      <c r="D6" s="1044"/>
      <c r="E6" s="1044"/>
      <c r="F6" s="1045"/>
      <c r="G6" s="187"/>
      <c r="H6" s="187"/>
      <c r="I6" s="187"/>
      <c r="J6" s="187"/>
      <c r="K6" s="187"/>
      <c r="L6" s="187"/>
      <c r="M6" s="187"/>
      <c r="N6" s="187"/>
      <c r="O6" s="187"/>
      <c r="P6" s="187"/>
      <c r="Q6" s="187"/>
      <c r="R6" s="187"/>
      <c r="S6" s="187"/>
      <c r="T6" s="187"/>
      <c r="U6" s="187"/>
      <c r="V6" s="187"/>
      <c r="W6" s="187"/>
      <c r="X6" s="187"/>
      <c r="Y6" s="187"/>
      <c r="Z6" s="187"/>
      <c r="AA6" s="187"/>
    </row>
    <row r="7" spans="1:27" s="190" customFormat="1" ht="13.5" thickBot="1" x14ac:dyDescent="0.35">
      <c r="A7" s="187"/>
      <c r="B7" s="187"/>
      <c r="C7" s="191">
        <v>2017</v>
      </c>
      <c r="D7" s="192">
        <f>+C7+1</f>
        <v>2018</v>
      </c>
      <c r="E7" s="192">
        <f>+D7+1</f>
        <v>2019</v>
      </c>
      <c r="F7" s="192">
        <f>+E7+1</f>
        <v>2020</v>
      </c>
      <c r="G7" s="187"/>
      <c r="H7" s="187"/>
      <c r="I7" s="187"/>
      <c r="J7" s="187"/>
      <c r="K7" s="187"/>
      <c r="L7" s="187"/>
      <c r="M7" s="187"/>
      <c r="N7" s="187"/>
      <c r="O7" s="187"/>
      <c r="P7" s="187"/>
      <c r="Q7" s="187"/>
      <c r="R7" s="187"/>
      <c r="S7" s="187"/>
      <c r="T7" s="187"/>
      <c r="U7" s="187"/>
      <c r="V7" s="187"/>
      <c r="W7" s="187"/>
      <c r="X7" s="187"/>
      <c r="Y7" s="187"/>
      <c r="Z7" s="187"/>
      <c r="AA7" s="187"/>
    </row>
    <row r="8" spans="1:27" s="190" customFormat="1" x14ac:dyDescent="0.25">
      <c r="A8" s="187"/>
      <c r="B8" s="187"/>
      <c r="C8" s="467">
        <v>0</v>
      </c>
      <c r="D8" s="467">
        <v>0</v>
      </c>
      <c r="E8" s="467">
        <v>0</v>
      </c>
      <c r="F8" s="467">
        <v>0</v>
      </c>
      <c r="G8" s="187"/>
      <c r="H8" s="187"/>
      <c r="I8" s="187"/>
      <c r="J8" s="187"/>
      <c r="K8" s="187"/>
      <c r="L8" s="187"/>
      <c r="M8" s="187"/>
      <c r="N8" s="187"/>
      <c r="O8" s="187"/>
      <c r="P8" s="187"/>
      <c r="Q8" s="187"/>
      <c r="R8" s="187"/>
      <c r="S8" s="187"/>
      <c r="T8" s="187"/>
      <c r="U8" s="187"/>
      <c r="V8" s="187"/>
      <c r="W8" s="187"/>
      <c r="X8" s="187"/>
      <c r="Y8" s="187"/>
      <c r="Z8" s="187"/>
      <c r="AA8" s="187"/>
    </row>
    <row r="9" spans="1:27" ht="13" x14ac:dyDescent="0.3">
      <c r="C9" s="194" t="s">
        <v>339</v>
      </c>
      <c r="F9" s="195"/>
    </row>
    <row r="10" spans="1:27" ht="13" x14ac:dyDescent="0.3">
      <c r="C10" s="194" t="s">
        <v>145</v>
      </c>
    </row>
    <row r="11" spans="1:27" ht="13" x14ac:dyDescent="0.3">
      <c r="C11" s="197"/>
    </row>
    <row r="12" spans="1:27" ht="13.5" thickBot="1" x14ac:dyDescent="0.35">
      <c r="C12" s="197"/>
    </row>
    <row r="13" spans="1:27" s="739" customFormat="1" ht="20.25" customHeight="1" thickBot="1" x14ac:dyDescent="0.3">
      <c r="A13" s="1046" t="s">
        <v>29</v>
      </c>
      <c r="B13" s="1047"/>
      <c r="C13" s="1047"/>
      <c r="D13" s="1047"/>
      <c r="E13" s="1047"/>
      <c r="F13" s="1047"/>
      <c r="G13" s="1047"/>
      <c r="H13" s="1047"/>
      <c r="I13" s="1047"/>
      <c r="J13" s="1048"/>
    </row>
    <row r="15" spans="1:27" ht="13" x14ac:dyDescent="0.3">
      <c r="C15" s="194" t="s">
        <v>144</v>
      </c>
    </row>
    <row r="16" spans="1:27" ht="13" x14ac:dyDescent="0.3">
      <c r="C16" s="194" t="s">
        <v>145</v>
      </c>
    </row>
    <row r="17" spans="1:27" ht="16.5" x14ac:dyDescent="0.35">
      <c r="C17" s="1023" t="s">
        <v>30</v>
      </c>
      <c r="D17" s="1024"/>
      <c r="E17" s="1024"/>
      <c r="F17" s="1025"/>
      <c r="H17" s="200" t="s">
        <v>31</v>
      </c>
    </row>
    <row r="18" spans="1:27" ht="13.5" thickBot="1" x14ac:dyDescent="0.35">
      <c r="A18" s="1035"/>
      <c r="B18" s="1035"/>
      <c r="C18" s="201">
        <f>C7</f>
        <v>2017</v>
      </c>
      <c r="D18" s="202">
        <f>D7</f>
        <v>2018</v>
      </c>
      <c r="E18" s="202">
        <f>E7</f>
        <v>2019</v>
      </c>
      <c r="F18" s="202">
        <f>F7</f>
        <v>2020</v>
      </c>
      <c r="H18" s="203"/>
    </row>
    <row r="19" spans="1:27" s="190" customFormat="1" ht="13" thickBot="1" x14ac:dyDescent="0.3">
      <c r="A19" s="1026" t="s">
        <v>32</v>
      </c>
      <c r="B19" s="204">
        <f>C7</f>
        <v>2017</v>
      </c>
      <c r="C19" s="728">
        <v>0</v>
      </c>
      <c r="D19" s="205"/>
      <c r="E19" s="205"/>
      <c r="F19" s="206"/>
      <c r="G19" s="207"/>
      <c r="H19" s="208">
        <f>SUM(C19:F19)</f>
        <v>0</v>
      </c>
      <c r="I19" s="187"/>
      <c r="J19" s="187"/>
      <c r="K19" s="187"/>
      <c r="L19" s="187"/>
      <c r="M19" s="187"/>
      <c r="N19" s="187"/>
      <c r="O19" s="187"/>
      <c r="P19" s="187"/>
      <c r="Q19" s="187"/>
      <c r="R19" s="187"/>
      <c r="S19" s="187"/>
      <c r="T19" s="187"/>
      <c r="U19" s="187"/>
      <c r="V19" s="187"/>
      <c r="W19" s="187"/>
      <c r="X19" s="187"/>
      <c r="Y19" s="187"/>
      <c r="Z19" s="187"/>
      <c r="AA19" s="187"/>
    </row>
    <row r="20" spans="1:27" s="190" customFormat="1" ht="13" thickBot="1" x14ac:dyDescent="0.3">
      <c r="A20" s="1108"/>
      <c r="B20" s="726">
        <f>D7</f>
        <v>2018</v>
      </c>
      <c r="C20" s="468">
        <f>+C8-C19</f>
        <v>0</v>
      </c>
      <c r="D20" s="669">
        <v>0</v>
      </c>
      <c r="E20" s="210"/>
      <c r="F20" s="211"/>
      <c r="G20" s="207"/>
      <c r="H20" s="208">
        <f>SUM(C20:F20)</f>
        <v>0</v>
      </c>
      <c r="I20" s="187"/>
      <c r="J20" s="187"/>
      <c r="K20" s="187"/>
      <c r="L20" s="187"/>
      <c r="M20" s="187"/>
      <c r="N20" s="187"/>
      <c r="O20" s="187"/>
      <c r="P20" s="187"/>
      <c r="Q20" s="187"/>
      <c r="R20" s="187"/>
      <c r="S20" s="187"/>
      <c r="T20" s="187"/>
      <c r="U20" s="187"/>
      <c r="V20" s="187"/>
      <c r="W20" s="187"/>
      <c r="X20" s="187"/>
      <c r="Y20" s="187"/>
      <c r="Z20" s="187"/>
      <c r="AA20" s="187"/>
    </row>
    <row r="21" spans="1:27" s="190" customFormat="1" ht="13" thickBot="1" x14ac:dyDescent="0.3">
      <c r="A21" s="1108"/>
      <c r="B21" s="726">
        <f>E7</f>
        <v>2019</v>
      </c>
      <c r="C21" s="729"/>
      <c r="D21" s="468">
        <f>+D8-D20</f>
        <v>0</v>
      </c>
      <c r="E21" s="669">
        <v>0</v>
      </c>
      <c r="F21" s="211"/>
      <c r="G21" s="207"/>
      <c r="H21" s="208">
        <f>SUM(C21:F21)</f>
        <v>0</v>
      </c>
      <c r="I21" s="187"/>
      <c r="J21" s="187"/>
      <c r="K21" s="187"/>
      <c r="L21" s="187"/>
      <c r="M21" s="187"/>
      <c r="N21" s="187"/>
      <c r="O21" s="187"/>
      <c r="P21" s="187"/>
      <c r="Q21" s="187"/>
      <c r="R21" s="187"/>
      <c r="S21" s="187"/>
      <c r="T21" s="187"/>
      <c r="U21" s="187"/>
      <c r="V21" s="187"/>
      <c r="W21" s="187"/>
      <c r="X21" s="187"/>
      <c r="Y21" s="187"/>
      <c r="Z21" s="187"/>
      <c r="AA21" s="187"/>
    </row>
    <row r="22" spans="1:27" s="190" customFormat="1" ht="13" thickBot="1" x14ac:dyDescent="0.3">
      <c r="A22" s="1108"/>
      <c r="B22" s="726">
        <f>F7</f>
        <v>2020</v>
      </c>
      <c r="C22" s="729"/>
      <c r="D22" s="210"/>
      <c r="E22" s="468">
        <f>+E8-E21</f>
        <v>0</v>
      </c>
      <c r="F22" s="730">
        <v>0</v>
      </c>
      <c r="G22" s="207"/>
      <c r="H22" s="208">
        <f>SUM(C22:F22)</f>
        <v>0</v>
      </c>
      <c r="I22" s="187"/>
      <c r="J22" s="187"/>
      <c r="K22" s="187"/>
      <c r="L22" s="187"/>
      <c r="M22" s="187"/>
      <c r="N22" s="187"/>
      <c r="O22" s="187"/>
      <c r="P22" s="187"/>
      <c r="Q22" s="187"/>
      <c r="R22" s="187"/>
      <c r="S22" s="187"/>
      <c r="T22" s="187"/>
      <c r="U22" s="187"/>
      <c r="V22" s="187"/>
      <c r="W22" s="187"/>
      <c r="X22" s="187"/>
      <c r="Y22" s="187"/>
      <c r="Z22" s="187"/>
      <c r="AA22" s="187"/>
    </row>
    <row r="23" spans="1:27" s="199" customFormat="1" ht="15.5" x14ac:dyDescent="0.35">
      <c r="A23" s="1109"/>
      <c r="B23" s="727" t="s">
        <v>33</v>
      </c>
      <c r="C23" s="213">
        <f>SUM(C19:C22)</f>
        <v>0</v>
      </c>
      <c r="D23" s="213">
        <f>SUM(D19:D22)</f>
        <v>0</v>
      </c>
      <c r="E23" s="213">
        <f>SUM(E19:E22)</f>
        <v>0</v>
      </c>
      <c r="F23" s="731">
        <f>SUM(F19:F22)</f>
        <v>0</v>
      </c>
      <c r="G23" s="215"/>
      <c r="H23" s="216">
        <f>SUM(H19:H22)</f>
        <v>0</v>
      </c>
      <c r="I23" s="198"/>
      <c r="J23" s="198"/>
      <c r="K23" s="198"/>
      <c r="L23" s="198"/>
      <c r="M23" s="198"/>
      <c r="N23" s="198"/>
      <c r="O23" s="198"/>
      <c r="P23" s="198"/>
      <c r="Q23" s="198"/>
      <c r="R23" s="198"/>
      <c r="S23" s="198"/>
      <c r="T23" s="198"/>
      <c r="U23" s="198"/>
      <c r="V23" s="198"/>
      <c r="W23" s="198"/>
      <c r="X23" s="198"/>
      <c r="Y23" s="198"/>
      <c r="Z23" s="198"/>
      <c r="AA23" s="198"/>
    </row>
    <row r="24" spans="1:27" s="196" customFormat="1" ht="13" x14ac:dyDescent="0.3">
      <c r="A24" s="217" t="s">
        <v>58</v>
      </c>
      <c r="C24" s="218">
        <f>+C23+C34</f>
        <v>0</v>
      </c>
      <c r="D24" s="218">
        <f>+D23+D34</f>
        <v>0</v>
      </c>
      <c r="E24" s="218">
        <f>+E23+E34</f>
        <v>0</v>
      </c>
      <c r="F24" s="218">
        <f>+F23+F34</f>
        <v>0</v>
      </c>
      <c r="G24" s="218"/>
      <c r="H24" s="218">
        <f>+H23+H34</f>
        <v>0</v>
      </c>
      <c r="I24" s="218"/>
    </row>
    <row r="25" spans="1:27" s="219" customFormat="1" ht="13" x14ac:dyDescent="0.3">
      <c r="A25" s="196"/>
      <c r="B25" s="196"/>
      <c r="C25" s="218"/>
      <c r="D25" s="218"/>
      <c r="E25" s="218"/>
      <c r="F25" s="218"/>
      <c r="G25" s="196"/>
      <c r="H25" s="196"/>
      <c r="I25" s="196"/>
      <c r="J25" s="196"/>
      <c r="K25" s="196"/>
      <c r="L25" s="196"/>
      <c r="M25" s="196"/>
      <c r="N25" s="196"/>
      <c r="O25" s="196"/>
      <c r="P25" s="196"/>
      <c r="Q25" s="196"/>
      <c r="R25" s="196"/>
      <c r="S25" s="196"/>
      <c r="T25" s="196"/>
      <c r="U25" s="196"/>
      <c r="V25" s="196"/>
      <c r="W25" s="196"/>
      <c r="X25" s="196"/>
      <c r="Y25" s="196"/>
      <c r="Z25" s="196"/>
      <c r="AA25" s="196"/>
    </row>
    <row r="26" spans="1:27" s="196" customFormat="1" ht="13" x14ac:dyDescent="0.3">
      <c r="C26" s="194" t="s">
        <v>340</v>
      </c>
      <c r="D26" s="218"/>
      <c r="E26" s="218"/>
      <c r="F26" s="218"/>
      <c r="G26" s="218"/>
      <c r="H26" s="218"/>
    </row>
    <row r="27" spans="1:27" ht="13" x14ac:dyDescent="0.3">
      <c r="C27" s="194" t="s">
        <v>341</v>
      </c>
    </row>
    <row r="28" spans="1:27" s="190" customFormat="1" ht="16.5" x14ac:dyDescent="0.35">
      <c r="A28" s="187"/>
      <c r="B28" s="187"/>
      <c r="C28" s="1029" t="s">
        <v>30</v>
      </c>
      <c r="D28" s="1030"/>
      <c r="E28" s="1030"/>
      <c r="F28" s="1031"/>
      <c r="G28" s="187"/>
      <c r="H28" s="200" t="s">
        <v>31</v>
      </c>
      <c r="I28" s="187"/>
      <c r="J28" s="200" t="s">
        <v>31</v>
      </c>
      <c r="K28" s="187"/>
      <c r="L28" s="187"/>
      <c r="M28" s="187"/>
      <c r="N28" s="187"/>
      <c r="O28" s="187"/>
      <c r="P28" s="187"/>
      <c r="Q28" s="187"/>
      <c r="R28" s="187"/>
      <c r="S28" s="187"/>
      <c r="T28" s="187"/>
      <c r="U28" s="187"/>
      <c r="V28" s="187"/>
      <c r="W28" s="187"/>
      <c r="X28" s="187"/>
      <c r="Y28" s="187"/>
      <c r="Z28" s="187"/>
      <c r="AA28" s="187"/>
    </row>
    <row r="29" spans="1:27" s="190" customFormat="1" x14ac:dyDescent="0.25">
      <c r="A29" s="187"/>
      <c r="B29" s="187"/>
      <c r="C29" s="202">
        <f>+C18</f>
        <v>2017</v>
      </c>
      <c r="D29" s="202">
        <f>+D18</f>
        <v>2018</v>
      </c>
      <c r="E29" s="202">
        <f>+E18</f>
        <v>2019</v>
      </c>
      <c r="F29" s="202">
        <f>+F18</f>
        <v>2020</v>
      </c>
      <c r="G29" s="187"/>
      <c r="H29" s="203" t="s">
        <v>34</v>
      </c>
      <c r="I29" s="187"/>
      <c r="J29" s="203" t="s">
        <v>35</v>
      </c>
      <c r="K29" s="187"/>
      <c r="L29" s="187"/>
      <c r="M29" s="187"/>
      <c r="N29" s="187"/>
      <c r="O29" s="187"/>
      <c r="P29" s="187"/>
      <c r="Q29" s="187"/>
      <c r="R29" s="187"/>
      <c r="S29" s="187"/>
      <c r="T29" s="187"/>
      <c r="U29" s="187"/>
      <c r="V29" s="187"/>
      <c r="W29" s="187"/>
      <c r="X29" s="187"/>
      <c r="Y29" s="187"/>
      <c r="Z29" s="187"/>
      <c r="AA29" s="187"/>
    </row>
    <row r="30" spans="1:27" s="190" customFormat="1" ht="12.75" customHeight="1" x14ac:dyDescent="0.3">
      <c r="A30" s="1032" t="s">
        <v>224</v>
      </c>
      <c r="B30" s="668">
        <f>+B19</f>
        <v>2017</v>
      </c>
      <c r="C30" s="732"/>
      <c r="D30" s="221"/>
      <c r="E30" s="221"/>
      <c r="F30" s="224"/>
      <c r="G30" s="207"/>
      <c r="H30" s="208">
        <f>SUM(C30:F30)</f>
        <v>0</v>
      </c>
      <c r="I30" s="207"/>
      <c r="J30" s="223">
        <f>SUM(H19,H30)</f>
        <v>0</v>
      </c>
      <c r="K30" s="187"/>
      <c r="L30" s="187"/>
      <c r="M30" s="187"/>
      <c r="N30" s="187"/>
      <c r="O30" s="187"/>
      <c r="P30" s="187"/>
      <c r="Q30" s="187"/>
      <c r="R30" s="187"/>
      <c r="S30" s="187"/>
      <c r="T30" s="187"/>
      <c r="U30" s="187"/>
      <c r="V30" s="187"/>
      <c r="W30" s="187"/>
      <c r="X30" s="187"/>
      <c r="Y30" s="187"/>
      <c r="Z30" s="187"/>
      <c r="AA30" s="187"/>
    </row>
    <row r="31" spans="1:27" s="190" customFormat="1" ht="12.75" customHeight="1" x14ac:dyDescent="0.3">
      <c r="A31" s="1033"/>
      <c r="B31" s="220">
        <f>+B20</f>
        <v>2018</v>
      </c>
      <c r="C31" s="732"/>
      <c r="D31" s="221"/>
      <c r="E31" s="221"/>
      <c r="F31" s="224"/>
      <c r="G31" s="207"/>
      <c r="H31" s="208">
        <f>SUM(C31:F31)</f>
        <v>0</v>
      </c>
      <c r="I31" s="207"/>
      <c r="J31" s="223">
        <f>SUM(H20,H31)</f>
        <v>0</v>
      </c>
      <c r="K31" s="187"/>
      <c r="L31" s="187"/>
      <c r="M31" s="187"/>
      <c r="N31" s="187"/>
      <c r="O31" s="187"/>
      <c r="P31" s="187"/>
      <c r="Q31" s="187"/>
      <c r="R31" s="187"/>
      <c r="S31" s="187"/>
      <c r="T31" s="187"/>
      <c r="U31" s="187"/>
      <c r="V31" s="187"/>
      <c r="W31" s="187"/>
      <c r="X31" s="187"/>
      <c r="Y31" s="187"/>
      <c r="Z31" s="187"/>
      <c r="AA31" s="187"/>
    </row>
    <row r="32" spans="1:27" s="190" customFormat="1" ht="12.75" customHeight="1" x14ac:dyDescent="0.3">
      <c r="A32" s="1033" t="s">
        <v>36</v>
      </c>
      <c r="B32" s="220">
        <f>+B21</f>
        <v>2019</v>
      </c>
      <c r="C32" s="470">
        <f>I54</f>
        <v>0</v>
      </c>
      <c r="D32" s="221"/>
      <c r="E32" s="221"/>
      <c r="F32" s="224"/>
      <c r="G32" s="207"/>
      <c r="H32" s="208">
        <f>SUM(C32:F32)</f>
        <v>0</v>
      </c>
      <c r="I32" s="207"/>
      <c r="J32" s="223">
        <f>SUM(H21,H32)</f>
        <v>0</v>
      </c>
      <c r="K32" s="187"/>
      <c r="L32" s="187"/>
      <c r="M32" s="187"/>
      <c r="N32" s="187"/>
      <c r="O32" s="187"/>
      <c r="P32" s="187"/>
      <c r="Q32" s="187"/>
      <c r="R32" s="187"/>
      <c r="S32" s="187"/>
      <c r="T32" s="187"/>
      <c r="U32" s="187"/>
      <c r="V32" s="187"/>
      <c r="W32" s="187"/>
      <c r="X32" s="187"/>
      <c r="Y32" s="187"/>
      <c r="Z32" s="187"/>
      <c r="AA32" s="187"/>
    </row>
    <row r="33" spans="1:27" s="190" customFormat="1" ht="12.75" customHeight="1" x14ac:dyDescent="0.3">
      <c r="A33" s="1033"/>
      <c r="B33" s="220">
        <f>+B22</f>
        <v>2020</v>
      </c>
      <c r="C33" s="470">
        <f>K59</f>
        <v>0</v>
      </c>
      <c r="D33" s="470">
        <f>K60</f>
        <v>0</v>
      </c>
      <c r="E33" s="221"/>
      <c r="F33" s="224"/>
      <c r="G33" s="207"/>
      <c r="H33" s="208">
        <f>SUM(C33:F33)</f>
        <v>0</v>
      </c>
      <c r="I33" s="207"/>
      <c r="J33" s="223">
        <f>SUM(H22,H33)</f>
        <v>0</v>
      </c>
      <c r="K33" s="197" t="s">
        <v>38</v>
      </c>
      <c r="L33" s="187"/>
      <c r="M33" s="187"/>
      <c r="N33" s="187"/>
      <c r="O33" s="187"/>
      <c r="P33" s="187"/>
      <c r="Q33" s="187"/>
      <c r="R33" s="187"/>
      <c r="S33" s="187"/>
      <c r="T33" s="187"/>
      <c r="U33" s="187"/>
      <c r="V33" s="187"/>
      <c r="W33" s="187"/>
      <c r="X33" s="187"/>
      <c r="Y33" s="187"/>
      <c r="Z33" s="187"/>
      <c r="AA33" s="187"/>
    </row>
    <row r="34" spans="1:27" s="199" customFormat="1" ht="16.5" customHeight="1" x14ac:dyDescent="0.35">
      <c r="A34" s="1034"/>
      <c r="B34" s="212" t="s">
        <v>33</v>
      </c>
      <c r="C34" s="225">
        <f>SUM(C30:C33)</f>
        <v>0</v>
      </c>
      <c r="D34" s="225">
        <f>SUM(D30:D33)</f>
        <v>0</v>
      </c>
      <c r="E34" s="225">
        <f>SUM(E30:E33)</f>
        <v>0</v>
      </c>
      <c r="F34" s="225">
        <f>SUM(F30:F33)</f>
        <v>0</v>
      </c>
      <c r="G34" s="207"/>
      <c r="H34" s="216">
        <f>SUM(H30:H33)</f>
        <v>0</v>
      </c>
      <c r="I34" s="215"/>
      <c r="J34" s="216">
        <f>SUM(J30:J33)</f>
        <v>0</v>
      </c>
      <c r="K34" s="198"/>
      <c r="L34" s="198"/>
      <c r="M34" s="198"/>
      <c r="N34" s="198"/>
      <c r="O34" s="198"/>
      <c r="P34" s="198"/>
      <c r="Q34" s="198"/>
      <c r="R34" s="198"/>
      <c r="S34" s="198"/>
      <c r="T34" s="198"/>
      <c r="U34" s="198"/>
      <c r="V34" s="198"/>
      <c r="W34" s="198"/>
      <c r="X34" s="198"/>
      <c r="Y34" s="198"/>
      <c r="Z34" s="198"/>
      <c r="AA34" s="198"/>
    </row>
    <row r="35" spans="1:27" x14ac:dyDescent="0.25">
      <c r="G35" s="207"/>
    </row>
    <row r="36" spans="1:27" ht="13" thickBot="1" x14ac:dyDescent="0.3">
      <c r="G36" s="207"/>
    </row>
    <row r="37" spans="1:27" s="740" customFormat="1" ht="21.75" customHeight="1" thickBot="1" x14ac:dyDescent="0.3">
      <c r="A37" s="1037" t="s">
        <v>368</v>
      </c>
      <c r="B37" s="1038"/>
      <c r="C37" s="1038"/>
      <c r="D37" s="1038"/>
      <c r="E37" s="1038"/>
      <c r="F37" s="1038"/>
      <c r="G37" s="1038"/>
      <c r="H37" s="1038"/>
      <c r="I37" s="1038"/>
      <c r="J37" s="1039"/>
      <c r="K37" s="739"/>
      <c r="L37" s="739"/>
      <c r="M37" s="739"/>
      <c r="N37" s="739"/>
      <c r="O37" s="739"/>
      <c r="P37" s="739"/>
      <c r="Q37" s="739"/>
      <c r="R37" s="739"/>
      <c r="S37" s="739"/>
      <c r="T37" s="739"/>
      <c r="U37" s="739"/>
      <c r="V37" s="739"/>
      <c r="W37" s="739"/>
      <c r="X37" s="739"/>
      <c r="Y37" s="739"/>
      <c r="Z37" s="739"/>
      <c r="AA37" s="739"/>
    </row>
    <row r="39" spans="1:27" ht="13" x14ac:dyDescent="0.3">
      <c r="C39" s="194" t="s">
        <v>342</v>
      </c>
    </row>
    <row r="40" spans="1:27" ht="13" x14ac:dyDescent="0.3">
      <c r="C40" s="194" t="s">
        <v>42</v>
      </c>
    </row>
    <row r="41" spans="1:27" ht="16.5" x14ac:dyDescent="0.35">
      <c r="C41" s="1023" t="s">
        <v>41</v>
      </c>
      <c r="D41" s="1024"/>
      <c r="E41" s="1024"/>
      <c r="F41" s="1025"/>
    </row>
    <row r="42" spans="1:27" x14ac:dyDescent="0.25">
      <c r="C42" s="202">
        <f>+C29</f>
        <v>2017</v>
      </c>
      <c r="D42" s="202">
        <f>+D29</f>
        <v>2018</v>
      </c>
      <c r="E42" s="202">
        <f>+E29</f>
        <v>2019</v>
      </c>
      <c r="F42" s="202">
        <f>+F29</f>
        <v>2020</v>
      </c>
      <c r="H42" s="226" t="s">
        <v>31</v>
      </c>
    </row>
    <row r="43" spans="1:27" ht="13.5" customHeight="1" x14ac:dyDescent="0.25">
      <c r="A43" s="1026" t="s">
        <v>345</v>
      </c>
      <c r="B43" s="674">
        <f>+B30</f>
        <v>2017</v>
      </c>
      <c r="C43" s="470">
        <f>+C19</f>
        <v>0</v>
      </c>
      <c r="D43" s="227"/>
      <c r="E43" s="221"/>
      <c r="F43" s="224"/>
      <c r="H43" s="228">
        <f>SUM(C43:F43)</f>
        <v>0</v>
      </c>
    </row>
    <row r="44" spans="1:27" ht="13.5" customHeight="1" x14ac:dyDescent="0.25">
      <c r="A44" s="1027"/>
      <c r="B44" s="202">
        <f>+B31</f>
        <v>2018</v>
      </c>
      <c r="C44" s="470">
        <f>+C43+C31+C20</f>
        <v>0</v>
      </c>
      <c r="D44" s="470">
        <f>+D20</f>
        <v>0</v>
      </c>
      <c r="E44" s="229"/>
      <c r="F44" s="230"/>
      <c r="H44" s="228">
        <f>SUM(C44:F44)</f>
        <v>0</v>
      </c>
    </row>
    <row r="45" spans="1:27" ht="16.5" customHeight="1" x14ac:dyDescent="0.25">
      <c r="A45" s="1027"/>
      <c r="B45" s="202">
        <f>+B32</f>
        <v>2019</v>
      </c>
      <c r="C45" s="470">
        <f>+C44+C32+C21</f>
        <v>0</v>
      </c>
      <c r="D45" s="470">
        <f>+D44+D32+D21</f>
        <v>0</v>
      </c>
      <c r="E45" s="470">
        <f>+E21</f>
        <v>0</v>
      </c>
      <c r="F45" s="230"/>
      <c r="H45" s="228">
        <f>SUM(C45:F45)</f>
        <v>0</v>
      </c>
    </row>
    <row r="46" spans="1:27" ht="15.75" customHeight="1" x14ac:dyDescent="0.25">
      <c r="A46" s="1028"/>
      <c r="B46" s="202">
        <f>+B33</f>
        <v>2020</v>
      </c>
      <c r="C46" s="470">
        <f>+C45+C33+C22</f>
        <v>0</v>
      </c>
      <c r="D46" s="470">
        <f>+D45+D33+D22</f>
        <v>0</v>
      </c>
      <c r="E46" s="470">
        <f>+E45+E33+E22</f>
        <v>0</v>
      </c>
      <c r="F46" s="470">
        <f>+F22</f>
        <v>0</v>
      </c>
      <c r="H46" s="228">
        <f>SUM(C46:F46)</f>
        <v>0</v>
      </c>
    </row>
    <row r="47" spans="1:27" ht="13" x14ac:dyDescent="0.3">
      <c r="C47" s="194"/>
    </row>
    <row r="48" spans="1:27" ht="13.5" thickBot="1" x14ac:dyDescent="0.35">
      <c r="C48" s="194"/>
    </row>
    <row r="49" spans="1:29" s="190" customFormat="1" ht="22.5" customHeight="1" thickBot="1" x14ac:dyDescent="0.3">
      <c r="A49" s="1037" t="s">
        <v>369</v>
      </c>
      <c r="B49" s="1038"/>
      <c r="C49" s="1038"/>
      <c r="D49" s="1038"/>
      <c r="E49" s="1038"/>
      <c r="F49" s="1038"/>
      <c r="G49" s="1038"/>
      <c r="H49" s="1038"/>
      <c r="I49" s="1038"/>
      <c r="J49" s="1039"/>
      <c r="L49" s="187"/>
      <c r="M49" s="187"/>
      <c r="N49" s="187"/>
      <c r="O49" s="187"/>
      <c r="P49" s="187"/>
      <c r="Q49" s="187"/>
      <c r="R49" s="187"/>
      <c r="S49" s="187"/>
      <c r="T49" s="187"/>
      <c r="U49" s="187"/>
      <c r="V49" s="187"/>
      <c r="W49" s="187"/>
      <c r="X49" s="187"/>
      <c r="Y49" s="187"/>
      <c r="Z49" s="187"/>
      <c r="AA49" s="187"/>
      <c r="AB49" s="187"/>
      <c r="AC49" s="187"/>
    </row>
    <row r="50" spans="1:29" x14ac:dyDescent="0.25">
      <c r="A50" s="20"/>
      <c r="B50" s="20"/>
      <c r="C50" s="20"/>
      <c r="D50" s="20"/>
      <c r="E50" s="20"/>
      <c r="F50" s="20"/>
      <c r="G50" s="20"/>
      <c r="H50" s="20"/>
      <c r="I50" s="20"/>
      <c r="J50" s="20"/>
      <c r="K50" s="20"/>
      <c r="L50" s="610"/>
      <c r="M50" s="20"/>
    </row>
    <row r="51" spans="1:29" ht="13" x14ac:dyDescent="0.3">
      <c r="A51" s="18" t="s">
        <v>362</v>
      </c>
      <c r="B51" s="20"/>
      <c r="C51" s="20"/>
      <c r="D51" s="20"/>
      <c r="E51" s="895">
        <v>2019</v>
      </c>
      <c r="F51" s="20"/>
      <c r="G51" s="20"/>
      <c r="H51" s="20"/>
      <c r="I51" s="20"/>
      <c r="J51" s="20"/>
      <c r="K51" s="20"/>
      <c r="L51" s="610"/>
      <c r="M51" s="20"/>
    </row>
    <row r="52" spans="1:29" x14ac:dyDescent="0.25">
      <c r="A52" s="20"/>
      <c r="B52" s="20"/>
      <c r="C52" s="20"/>
      <c r="D52" s="20"/>
      <c r="E52" s="20"/>
      <c r="F52" s="20"/>
      <c r="G52" s="20"/>
      <c r="H52" s="20"/>
      <c r="I52" s="20"/>
      <c r="J52" s="20"/>
      <c r="K52" s="610"/>
      <c r="L52" s="20"/>
      <c r="M52" s="20"/>
    </row>
    <row r="53" spans="1:29" ht="102" customHeight="1" x14ac:dyDescent="0.25">
      <c r="A53" s="1060" t="s">
        <v>363</v>
      </c>
      <c r="B53" s="1061"/>
      <c r="C53" s="1061"/>
      <c r="D53" s="1062"/>
      <c r="E53" s="599"/>
      <c r="F53" s="675" t="str">
        <f>"Nog af te bouwen regulatoir saldo einde "&amp;E51-1</f>
        <v>Nog af te bouwen regulatoir saldo einde 2018</v>
      </c>
      <c r="G53" s="675" t="str">
        <f>"Afbouw oudste openstaande regulatoir saldo vanaf boekjaar "&amp;E51-3&amp;" en vroeger, door aanwending van compensatie met regulatoir saldo ontstaan over boekjaar "&amp;E51-2</f>
        <v>Afbouw oudste openstaande regulatoir saldo vanaf boekjaar 2016 en vroeger, door aanwending van compensatie met regulatoir saldo ontstaan over boekjaar 2017</v>
      </c>
      <c r="H53" s="675" t="str">
        <f>"Nog af te bouwen regulatoir saldo na compensatie einde "&amp;E51-1</f>
        <v>Nog af te bouwen regulatoir saldo na compensatie einde 2018</v>
      </c>
      <c r="I53" s="675" t="str">
        <f>"Aanwending van 100% van het regulatoir saldo door te rekenen volgens de tariefmethodologie in het boekjaar "&amp;E51</f>
        <v>Aanwending van 100% van het regulatoir saldo door te rekenen volgens de tariefmethodologie in het boekjaar 2019</v>
      </c>
      <c r="J53" s="675" t="str">
        <f>"Nog af te bouwen regulatoir saldo einde "&amp;E51</f>
        <v>Nog af te bouwen regulatoir saldo einde 2019</v>
      </c>
      <c r="K53" s="610"/>
      <c r="L53" s="20"/>
      <c r="M53" s="20"/>
    </row>
    <row r="54" spans="1:29" ht="13" x14ac:dyDescent="0.25">
      <c r="A54" s="1057">
        <v>2017</v>
      </c>
      <c r="B54" s="1058"/>
      <c r="C54" s="1058"/>
      <c r="D54" s="1059"/>
      <c r="E54" s="896"/>
      <c r="F54" s="839">
        <f>+C19+C20</f>
        <v>0</v>
      </c>
      <c r="G54" s="897">
        <v>0</v>
      </c>
      <c r="H54" s="839">
        <f>+F54+G54</f>
        <v>0</v>
      </c>
      <c r="I54" s="839">
        <f>-H54*1</f>
        <v>0</v>
      </c>
      <c r="J54" s="908">
        <f>+I54+F54</f>
        <v>0</v>
      </c>
      <c r="K54" s="610"/>
      <c r="L54" s="20"/>
      <c r="M54" s="20"/>
    </row>
    <row r="55" spans="1:29" x14ac:dyDescent="0.25">
      <c r="A55" s="20"/>
      <c r="B55" s="20"/>
      <c r="C55" s="20"/>
      <c r="D55" s="20"/>
      <c r="E55" s="20"/>
      <c r="F55" s="20"/>
      <c r="G55" s="20"/>
      <c r="H55" s="20"/>
      <c r="I55" s="20"/>
      <c r="J55" s="20"/>
      <c r="K55" s="610"/>
      <c r="L55" s="20"/>
      <c r="M55" s="20"/>
    </row>
    <row r="56" spans="1:29" ht="13" x14ac:dyDescent="0.3">
      <c r="A56" s="18" t="s">
        <v>362</v>
      </c>
      <c r="B56" s="20"/>
      <c r="C56" s="20"/>
      <c r="D56" s="20"/>
      <c r="E56" s="895">
        <v>2020</v>
      </c>
      <c r="F56" s="20"/>
      <c r="G56" s="20"/>
      <c r="H56" s="20"/>
      <c r="I56" s="20"/>
      <c r="J56" s="20"/>
      <c r="K56" s="20"/>
      <c r="L56" s="610"/>
      <c r="M56" s="20"/>
    </row>
    <row r="57" spans="1:29" x14ac:dyDescent="0.25">
      <c r="A57" s="20"/>
      <c r="B57" s="20"/>
      <c r="C57" s="20"/>
      <c r="D57" s="20"/>
      <c r="E57" s="20"/>
      <c r="F57" s="20"/>
      <c r="G57" s="20"/>
      <c r="H57" s="20"/>
      <c r="I57" s="20"/>
      <c r="J57" s="20"/>
      <c r="K57" s="20"/>
      <c r="L57" s="610"/>
      <c r="M57" s="20"/>
    </row>
    <row r="58" spans="1:29" ht="109.5" customHeight="1" x14ac:dyDescent="0.25">
      <c r="A58" s="1060" t="s">
        <v>363</v>
      </c>
      <c r="B58" s="1061"/>
      <c r="C58" s="1061"/>
      <c r="D58" s="1062"/>
      <c r="E58" s="599"/>
      <c r="F58" s="675" t="str">
        <f>"Nog af te bouwen regulatoir saldo einde "&amp;E56-1</f>
        <v>Nog af te bouwen regulatoir saldo einde 2019</v>
      </c>
      <c r="G58" s="675" t="str">
        <f>"Afbouw oudste openstaande regulatoir saldo vanaf boekjaar "&amp;E56-3&amp;" en vroeger, door aanwending van compensatie met regulatoir saldo ontstaan over boekjaar "&amp;E56-2</f>
        <v>Afbouw oudste openstaande regulatoir saldo vanaf boekjaar 2017 en vroeger, door aanwending van compensatie met regulatoir saldo ontstaan over boekjaar 2018</v>
      </c>
      <c r="H58" s="675" t="str">
        <f>"Nog af te bouwen regulatoir saldo na compensatie einde "&amp;E56-1</f>
        <v>Nog af te bouwen regulatoir saldo na compensatie einde 2019</v>
      </c>
      <c r="I58" s="675" t="str">
        <f>"100% van het regulatoir saldo door te rekenen volgens de tariefmethodologie in het boekjaar "&amp;E56</f>
        <v>100% van het regulatoir saldo door te rekenen volgens de tariefmethodologie in het boekjaar 2020</v>
      </c>
      <c r="J58" s="675" t="str">
        <f>"Aanwending van 100% van het regulatoir saldo door te rekenen volgens de tariefmethodologie in het boekjaar "&amp;E56</f>
        <v>Aanwending van 100% van het regulatoir saldo door te rekenen volgens de tariefmethodologie in het boekjaar 2020</v>
      </c>
      <c r="K58" s="675" t="str">
        <f>"Totale afbouw over "&amp;E56</f>
        <v>Totale afbouw over 2020</v>
      </c>
      <c r="L58" s="20"/>
      <c r="M58" s="675" t="str">
        <f>"Nog af te bouwen regulatoir saldo einde "&amp;E56</f>
        <v>Nog af te bouwen regulatoir saldo einde 2020</v>
      </c>
    </row>
    <row r="59" spans="1:29" ht="13" x14ac:dyDescent="0.25">
      <c r="A59" s="1057">
        <v>2017</v>
      </c>
      <c r="B59" s="1058"/>
      <c r="C59" s="1058"/>
      <c r="D59" s="1059"/>
      <c r="E59" s="896"/>
      <c r="F59" s="839">
        <f>J54</f>
        <v>0</v>
      </c>
      <c r="G59" s="897">
        <f>IF(SIGN(F60*J54)&lt;0,IF(F59&lt;&gt;0,-SIGN(F59)*MIN(ABS(F60),ABS(F59)),0),0)</f>
        <v>0</v>
      </c>
      <c r="H59" s="839">
        <f>+F59+G59</f>
        <v>0</v>
      </c>
      <c r="I59" s="698"/>
      <c r="J59" s="897">
        <f>-MIN(ABS(H59),ABS(I61))*SIGN(H59)</f>
        <v>0</v>
      </c>
      <c r="K59" s="898">
        <f>+J59+G59</f>
        <v>0</v>
      </c>
      <c r="L59" s="20"/>
      <c r="M59" s="839">
        <f>+H59+J59</f>
        <v>0</v>
      </c>
    </row>
    <row r="60" spans="1:29" ht="13" x14ac:dyDescent="0.25">
      <c r="A60" s="1057">
        <v>2018</v>
      </c>
      <c r="B60" s="1058"/>
      <c r="C60" s="1058"/>
      <c r="D60" s="1059"/>
      <c r="E60" s="896"/>
      <c r="F60" s="839">
        <f>+D20+D21</f>
        <v>0</v>
      </c>
      <c r="G60" s="898">
        <f>IF(SIGN(F60*J54)&lt;0,-G59,0)</f>
        <v>0</v>
      </c>
      <c r="H60" s="839">
        <f>+F60+G60</f>
        <v>0</v>
      </c>
      <c r="I60" s="698"/>
      <c r="J60" s="897">
        <f>-MIN(ABS(H60),ABS(I61-J59))*SIGN(H60)</f>
        <v>0</v>
      </c>
      <c r="K60" s="898">
        <f>+J60+G60</f>
        <v>0</v>
      </c>
      <c r="L60" s="20"/>
      <c r="M60" s="839">
        <f>+H60+J60</f>
        <v>0</v>
      </c>
    </row>
    <row r="61" spans="1:29" ht="13" x14ac:dyDescent="0.3">
      <c r="A61" s="18"/>
      <c r="B61" s="18"/>
      <c r="C61" s="18"/>
      <c r="D61" s="18"/>
      <c r="E61" s="18"/>
      <c r="F61" s="899">
        <f>SUM(F59:F60)</f>
        <v>0</v>
      </c>
      <c r="G61" s="899">
        <f>SUM(G59:G60)</f>
        <v>0</v>
      </c>
      <c r="H61" s="899">
        <f>SUM(H59:H60)</f>
        <v>0</v>
      </c>
      <c r="I61" s="899">
        <f>-H61*1</f>
        <v>0</v>
      </c>
      <c r="J61" s="900">
        <f>SUM(J59:J60)</f>
        <v>0</v>
      </c>
      <c r="K61" s="901"/>
      <c r="L61" s="18"/>
      <c r="M61" s="899">
        <f>SUM(M59:M60)</f>
        <v>0</v>
      </c>
    </row>
    <row r="62" spans="1:29" x14ac:dyDescent="0.25">
      <c r="A62" s="20"/>
      <c r="B62" s="20"/>
      <c r="C62" s="20"/>
      <c r="D62" s="20"/>
      <c r="E62" s="20"/>
      <c r="F62" s="20"/>
      <c r="G62" s="20"/>
      <c r="H62" s="20"/>
      <c r="I62" s="20"/>
      <c r="J62" s="20"/>
      <c r="K62" s="20"/>
      <c r="L62" s="394"/>
      <c r="M62" s="20"/>
    </row>
    <row r="63" spans="1:29" x14ac:dyDescent="0.25">
      <c r="A63" s="20"/>
      <c r="B63" s="20"/>
      <c r="C63" s="20"/>
      <c r="D63" s="20"/>
      <c r="E63" s="20"/>
      <c r="F63" s="20"/>
      <c r="G63" s="20"/>
      <c r="H63" s="20"/>
      <c r="I63" s="20"/>
      <c r="J63" s="20"/>
      <c r="K63" s="20"/>
      <c r="L63" s="394"/>
      <c r="M63" s="20"/>
    </row>
    <row r="64" spans="1:29" ht="13" x14ac:dyDescent="0.3">
      <c r="A64" s="18" t="s">
        <v>364</v>
      </c>
      <c r="B64" s="381"/>
      <c r="C64" s="381"/>
      <c r="D64" s="381"/>
      <c r="E64" s="20"/>
      <c r="F64" s="20"/>
      <c r="G64" s="20"/>
      <c r="H64" s="20"/>
      <c r="I64" s="20"/>
      <c r="J64" s="20"/>
      <c r="K64" s="20"/>
      <c r="L64" s="394"/>
      <c r="M64" s="20"/>
    </row>
    <row r="65" spans="1:13" ht="13" x14ac:dyDescent="0.3">
      <c r="A65" s="18"/>
      <c r="B65" s="381"/>
      <c r="C65" s="381"/>
      <c r="D65" s="381"/>
      <c r="E65" s="20"/>
      <c r="F65" s="20"/>
      <c r="G65" s="20"/>
      <c r="H65" s="20"/>
      <c r="I65" s="20"/>
      <c r="J65" s="20"/>
      <c r="K65" s="20"/>
      <c r="L65" s="394"/>
      <c r="M65" s="20"/>
    </row>
    <row r="66" spans="1:13" ht="13" x14ac:dyDescent="0.3">
      <c r="A66" s="864">
        <f>E51</f>
        <v>2019</v>
      </c>
      <c r="B66" s="906">
        <f>I54</f>
        <v>0</v>
      </c>
      <c r="C66" s="381"/>
      <c r="D66" s="381"/>
      <c r="E66" s="20"/>
      <c r="F66" s="20"/>
      <c r="G66" s="20"/>
      <c r="H66" s="20"/>
      <c r="I66" s="20"/>
      <c r="J66" s="20"/>
      <c r="K66" s="20"/>
      <c r="L66" s="394"/>
      <c r="M66" s="20"/>
    </row>
    <row r="67" spans="1:13" ht="13" x14ac:dyDescent="0.3">
      <c r="A67" s="864">
        <f>E56</f>
        <v>2020</v>
      </c>
      <c r="B67" s="906">
        <f>J61</f>
        <v>0</v>
      </c>
      <c r="C67" s="381"/>
      <c r="D67" s="381"/>
      <c r="E67" s="20"/>
      <c r="F67" s="20"/>
      <c r="G67" s="20"/>
      <c r="H67" s="20"/>
      <c r="I67" s="20"/>
      <c r="J67" s="20"/>
      <c r="K67" s="20"/>
      <c r="L67" s="394"/>
      <c r="M67" s="20"/>
    </row>
    <row r="131" spans="2:7" x14ac:dyDescent="0.25">
      <c r="F131" s="187">
        <v>2018</v>
      </c>
    </row>
    <row r="134" spans="2:7" x14ac:dyDescent="0.25">
      <c r="B134" s="187">
        <v>2017</v>
      </c>
      <c r="G134" s="187">
        <f>G66</f>
        <v>0</v>
      </c>
    </row>
    <row r="136" spans="2:7" x14ac:dyDescent="0.25">
      <c r="F136" s="187">
        <v>2019</v>
      </c>
    </row>
    <row r="139" spans="2:7" x14ac:dyDescent="0.25">
      <c r="B139" s="187">
        <v>2017</v>
      </c>
    </row>
    <row r="140" spans="2:7" x14ac:dyDescent="0.25">
      <c r="B140" s="187">
        <v>2018</v>
      </c>
      <c r="G140" s="187">
        <f>H67</f>
        <v>0</v>
      </c>
    </row>
    <row r="143" spans="2:7" x14ac:dyDescent="0.25">
      <c r="F143" s="187">
        <v>2020</v>
      </c>
    </row>
    <row r="146" spans="2:7" x14ac:dyDescent="0.25">
      <c r="B146" s="187">
        <v>2017</v>
      </c>
    </row>
    <row r="147" spans="2:7" x14ac:dyDescent="0.25">
      <c r="B147" s="187">
        <v>2018</v>
      </c>
    </row>
    <row r="148" spans="2:7" x14ac:dyDescent="0.25">
      <c r="B148" s="187">
        <v>2019</v>
      </c>
      <c r="G148" s="187" t="e">
        <f>#REF!</f>
        <v>#REF!</v>
      </c>
    </row>
  </sheetData>
  <mergeCells count="18">
    <mergeCell ref="A60:D60"/>
    <mergeCell ref="A43:A46"/>
    <mergeCell ref="A18:B18"/>
    <mergeCell ref="A19:A23"/>
    <mergeCell ref="C28:F28"/>
    <mergeCell ref="A54:D54"/>
    <mergeCell ref="A58:D58"/>
    <mergeCell ref="A30:A34"/>
    <mergeCell ref="C41:F41"/>
    <mergeCell ref="A37:J37"/>
    <mergeCell ref="A49:J49"/>
    <mergeCell ref="A53:D53"/>
    <mergeCell ref="A4:H4"/>
    <mergeCell ref="C6:F6"/>
    <mergeCell ref="C17:F17"/>
    <mergeCell ref="A1:H1"/>
    <mergeCell ref="A59:D59"/>
    <mergeCell ref="A13:J13"/>
  </mergeCells>
  <conditionalFormatting sqref="C9:C10">
    <cfRule type="expression" dxfId="16" priority="7" stopIfTrue="1">
      <formula>$L$1="ex-post"</formula>
    </cfRule>
  </conditionalFormatting>
  <conditionalFormatting sqref="C9:C10">
    <cfRule type="expression" dxfId="15" priority="6" stopIfTrue="1">
      <formula>$L$2="ex-post"</formula>
    </cfRule>
  </conditionalFormatting>
  <conditionalFormatting sqref="C15:C16">
    <cfRule type="expression" dxfId="14" priority="5" stopIfTrue="1">
      <formula>$L$1="ex-post"</formula>
    </cfRule>
  </conditionalFormatting>
  <conditionalFormatting sqref="C15:C16">
    <cfRule type="expression" dxfId="13" priority="4" stopIfTrue="1">
      <formula>$L$2="ex-post"</formula>
    </cfRule>
  </conditionalFormatting>
  <conditionalFormatting sqref="A49:XFD49">
    <cfRule type="expression" dxfId="12" priority="1" stopIfTrue="1">
      <formula>$C$7="gas"</formula>
    </cfRule>
  </conditionalFormatting>
  <pageMargins left="0.78740157480314965" right="0.78740157480314965" top="0.98425196850393704" bottom="0.98425196850393704" header="0.51181102362204722" footer="0.51181102362204722"/>
  <pageSetup paperSize="8" scale="92" orientation="landscape" r:id="rId1"/>
  <headerFooter alignWithMargins="0">
    <oddFooter>&amp;CPage &amp;P</oddFooter>
  </headerFooter>
  <ignoredErrors>
    <ignoredError sqref="H29 J29"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Blad9"/>
  <dimension ref="A1:S254"/>
  <sheetViews>
    <sheetView zoomScale="80" zoomScaleNormal="80" workbookViewId="0">
      <selection activeCell="G253" sqref="G253"/>
    </sheetView>
  </sheetViews>
  <sheetFormatPr defaultColWidth="9.1796875" defaultRowHeight="12.5" x14ac:dyDescent="0.25"/>
  <cols>
    <col min="1" max="1" width="4.1796875" style="20" customWidth="1"/>
    <col min="2" max="4" width="9.1796875" style="20"/>
    <col min="5" max="5" width="24.26953125" style="20" customWidth="1"/>
    <col min="6" max="6" width="4" style="20" customWidth="1"/>
    <col min="7" max="7" width="47.81640625" style="20" customWidth="1"/>
    <col min="8" max="9" width="41.81640625" style="20" customWidth="1"/>
    <col min="10" max="10" width="42" style="20" customWidth="1"/>
    <col min="11" max="13" width="43.453125" style="20" customWidth="1"/>
    <col min="14" max="14" width="3.54296875" style="20" customWidth="1"/>
    <col min="15" max="15" width="43.453125" style="610" customWidth="1"/>
    <col min="16" max="16384" width="9.1796875" style="20"/>
  </cols>
  <sheetData>
    <row r="1" spans="1:19" ht="37.5" customHeight="1" thickBot="1" x14ac:dyDescent="0.45">
      <c r="A1" s="1113" t="s">
        <v>377</v>
      </c>
      <c r="B1" s="1114"/>
      <c r="C1" s="1114"/>
      <c r="D1" s="1114"/>
      <c r="E1" s="1114"/>
      <c r="F1" s="1114"/>
      <c r="G1" s="1114"/>
      <c r="H1" s="1114"/>
      <c r="I1" s="1114"/>
      <c r="J1" s="1115"/>
      <c r="K1" s="380"/>
      <c r="L1" s="593">
        <f>+TITELBLAD!E18</f>
        <v>2019</v>
      </c>
      <c r="M1" s="593" t="str">
        <f>+TITELBLAD!F18</f>
        <v>ex-ante</v>
      </c>
      <c r="N1" s="106"/>
      <c r="O1" s="106">
        <f>+TITELBLAD!H18</f>
        <v>0</v>
      </c>
      <c r="P1" s="106"/>
      <c r="Q1" s="106"/>
      <c r="R1" s="106"/>
      <c r="S1" s="106"/>
    </row>
    <row r="2" spans="1:19" ht="13" x14ac:dyDescent="0.3">
      <c r="D2" s="394">
        <f>TITELBLAD!E18</f>
        <v>2019</v>
      </c>
      <c r="E2" s="394" t="str">
        <f>TITELBLAD!F18</f>
        <v>ex-ante</v>
      </c>
      <c r="H2" s="194"/>
      <c r="I2" s="188"/>
      <c r="J2" s="188"/>
      <c r="K2" s="188"/>
      <c r="L2" s="491"/>
      <c r="M2" s="491"/>
      <c r="O2" s="233"/>
    </row>
    <row r="3" spans="1:19" ht="13.5" thickBot="1" x14ac:dyDescent="0.35">
      <c r="B3" s="107" t="s">
        <v>26</v>
      </c>
      <c r="H3" s="194"/>
      <c r="I3" s="188"/>
      <c r="J3" s="188"/>
      <c r="K3" s="188"/>
      <c r="L3" s="491"/>
      <c r="M3" s="491"/>
      <c r="O3" s="233"/>
    </row>
    <row r="4" spans="1:19" ht="17.25" customHeight="1" thickBot="1" x14ac:dyDescent="0.35">
      <c r="A4" s="109"/>
      <c r="B4" s="1162" t="str">
        <f>+TITELBLAD!C7</f>
        <v>Naam distributienetbeheerder</v>
      </c>
      <c r="C4" s="1163"/>
      <c r="D4" s="1163"/>
      <c r="E4" s="1164"/>
      <c r="H4" s="194"/>
      <c r="I4" s="188"/>
      <c r="J4" s="188"/>
      <c r="K4" s="188"/>
      <c r="L4" s="188"/>
      <c r="M4" s="188"/>
      <c r="O4" s="233"/>
    </row>
    <row r="5" spans="1:19" ht="13" x14ac:dyDescent="0.3">
      <c r="H5" s="194"/>
      <c r="I5" s="188"/>
      <c r="J5" s="188"/>
      <c r="K5" s="378" t="s">
        <v>376</v>
      </c>
      <c r="L5" s="188"/>
      <c r="M5" s="188"/>
      <c r="O5" s="233"/>
    </row>
    <row r="6" spans="1:19" ht="13.5" thickBot="1" x14ac:dyDescent="0.35">
      <c r="B6" s="107" t="s">
        <v>27</v>
      </c>
      <c r="H6" s="194"/>
      <c r="I6" s="188"/>
      <c r="J6" s="188"/>
      <c r="K6" s="188"/>
      <c r="L6" s="188"/>
      <c r="M6" s="188"/>
      <c r="O6" s="233"/>
    </row>
    <row r="7" spans="1:19" ht="17.25" customHeight="1" thickBot="1" x14ac:dyDescent="0.35">
      <c r="A7" s="109"/>
      <c r="B7" s="1165" t="str">
        <f>+TITELBLAD!C12</f>
        <v>elektriciteit</v>
      </c>
      <c r="C7" s="1166"/>
      <c r="D7" s="1166"/>
      <c r="E7" s="1167"/>
      <c r="H7" s="194"/>
      <c r="I7" s="188"/>
      <c r="J7" s="188"/>
      <c r="K7" s="188"/>
      <c r="L7" s="188"/>
      <c r="M7" s="188"/>
      <c r="O7" s="233"/>
    </row>
    <row r="8" spans="1:19" ht="13" x14ac:dyDescent="0.3">
      <c r="H8" s="194"/>
      <c r="I8" s="188"/>
      <c r="J8" s="188"/>
      <c r="K8" s="188"/>
      <c r="L8" s="188"/>
      <c r="M8" s="188"/>
      <c r="O8" s="233"/>
    </row>
    <row r="10" spans="1:19" ht="13" x14ac:dyDescent="0.3">
      <c r="B10" s="110" t="s">
        <v>253</v>
      </c>
    </row>
    <row r="11" spans="1:19" ht="13" x14ac:dyDescent="0.3">
      <c r="B11" s="381" t="s">
        <v>378</v>
      </c>
    </row>
    <row r="12" spans="1:19" ht="15.75" customHeight="1" x14ac:dyDescent="0.25">
      <c r="B12" s="1016" t="s">
        <v>379</v>
      </c>
      <c r="C12" s="1016"/>
      <c r="D12" s="1016"/>
      <c r="E12" s="1016"/>
      <c r="F12" s="1016"/>
      <c r="G12" s="1016"/>
      <c r="H12" s="1016"/>
      <c r="I12" s="947"/>
      <c r="J12" s="947"/>
    </row>
    <row r="13" spans="1:19" ht="13" x14ac:dyDescent="0.3">
      <c r="B13" s="381"/>
    </row>
    <row r="14" spans="1:19" ht="12.75" customHeight="1" x14ac:dyDescent="0.3">
      <c r="B14" s="381"/>
    </row>
    <row r="15" spans="1:19" ht="13" x14ac:dyDescent="0.3">
      <c r="B15" s="381"/>
      <c r="G15" s="434" t="s">
        <v>339</v>
      </c>
      <c r="H15" s="383"/>
      <c r="I15" s="382"/>
    </row>
    <row r="16" spans="1:19" ht="13" x14ac:dyDescent="0.3">
      <c r="G16" s="434" t="s">
        <v>145</v>
      </c>
      <c r="H16" s="383"/>
      <c r="I16" s="382"/>
    </row>
    <row r="17" spans="2:15" s="48" customFormat="1" ht="72" customHeight="1" x14ac:dyDescent="0.25">
      <c r="B17" s="1060" t="s">
        <v>380</v>
      </c>
      <c r="C17" s="1061"/>
      <c r="D17" s="1061"/>
      <c r="E17" s="1062"/>
      <c r="F17" s="162"/>
      <c r="G17" s="675" t="s">
        <v>385</v>
      </c>
      <c r="H17" s="675" t="s">
        <v>385</v>
      </c>
      <c r="I17" s="675">
        <f t="shared" ref="I17:M17" si="0">+I35</f>
        <v>2010</v>
      </c>
      <c r="J17" s="675">
        <f t="shared" si="0"/>
        <v>2011</v>
      </c>
      <c r="K17" s="675">
        <f t="shared" si="0"/>
        <v>2012</v>
      </c>
      <c r="L17" s="675">
        <f t="shared" si="0"/>
        <v>2013</v>
      </c>
      <c r="M17" s="675">
        <f t="shared" si="0"/>
        <v>2014</v>
      </c>
      <c r="O17" s="675" t="s">
        <v>31</v>
      </c>
    </row>
    <row r="18" spans="2:15" s="130" customFormat="1" ht="12" customHeight="1" x14ac:dyDescent="0.25">
      <c r="B18" s="384"/>
      <c r="C18" s="384"/>
      <c r="D18" s="384"/>
      <c r="E18" s="384"/>
      <c r="F18" s="385"/>
      <c r="G18" s="925"/>
      <c r="H18" s="926"/>
      <c r="I18" s="387"/>
      <c r="O18" s="714"/>
    </row>
    <row r="19" spans="2:15" s="685" customFormat="1" ht="28.5" customHeight="1" x14ac:dyDescent="0.25">
      <c r="B19" s="1081" t="s">
        <v>131</v>
      </c>
      <c r="C19" s="1081"/>
      <c r="D19" s="1081"/>
      <c r="E19" s="1081"/>
      <c r="F19" s="688"/>
      <c r="G19" s="927"/>
      <c r="H19" s="927"/>
      <c r="I19" s="689">
        <v>0</v>
      </c>
      <c r="J19" s="689">
        <v>0</v>
      </c>
      <c r="K19" s="689">
        <v>0</v>
      </c>
      <c r="L19" s="689">
        <v>0</v>
      </c>
      <c r="M19" s="689">
        <v>0</v>
      </c>
      <c r="O19" s="842">
        <f>SUM(I19:M19)</f>
        <v>0</v>
      </c>
    </row>
    <row r="20" spans="2:15" s="685" customFormat="1" ht="26.25" customHeight="1" x14ac:dyDescent="0.25">
      <c r="B20" s="1081" t="s">
        <v>132</v>
      </c>
      <c r="C20" s="1081"/>
      <c r="D20" s="1081"/>
      <c r="E20" s="1081"/>
      <c r="F20" s="688"/>
      <c r="G20" s="927"/>
      <c r="H20" s="927"/>
      <c r="I20" s="689">
        <v>0</v>
      </c>
      <c r="J20" s="689">
        <v>0</v>
      </c>
      <c r="K20" s="689">
        <v>0</v>
      </c>
      <c r="L20" s="689">
        <v>0</v>
      </c>
      <c r="M20" s="689">
        <v>0</v>
      </c>
      <c r="O20" s="842">
        <f t="shared" ref="O20:O30" si="1">SUM(I20:M20)</f>
        <v>0</v>
      </c>
    </row>
    <row r="21" spans="2:15" s="685" customFormat="1" ht="27.75" customHeight="1" x14ac:dyDescent="0.25">
      <c r="B21" s="1081" t="s">
        <v>138</v>
      </c>
      <c r="C21" s="1081"/>
      <c r="D21" s="1081"/>
      <c r="E21" s="1081"/>
      <c r="F21" s="688"/>
      <c r="G21" s="927"/>
      <c r="H21" s="927"/>
      <c r="I21" s="689">
        <v>0</v>
      </c>
      <c r="J21" s="689">
        <v>0</v>
      </c>
      <c r="K21" s="689">
        <v>0</v>
      </c>
      <c r="L21" s="689">
        <v>0</v>
      </c>
      <c r="M21" s="689">
        <v>0</v>
      </c>
      <c r="O21" s="842">
        <f t="shared" si="1"/>
        <v>0</v>
      </c>
    </row>
    <row r="22" spans="2:15" s="685" customFormat="1" ht="24.75" customHeight="1" x14ac:dyDescent="0.25">
      <c r="B22" s="1081" t="s">
        <v>133</v>
      </c>
      <c r="C22" s="1081"/>
      <c r="D22" s="1081"/>
      <c r="E22" s="1081"/>
      <c r="F22" s="688"/>
      <c r="G22" s="927"/>
      <c r="H22" s="927"/>
      <c r="I22" s="689">
        <v>0</v>
      </c>
      <c r="J22" s="689">
        <v>0</v>
      </c>
      <c r="K22" s="689">
        <v>0</v>
      </c>
      <c r="L22" s="689">
        <v>0</v>
      </c>
      <c r="M22" s="689">
        <v>0</v>
      </c>
      <c r="O22" s="842">
        <f t="shared" si="1"/>
        <v>0</v>
      </c>
    </row>
    <row r="23" spans="2:15" s="685" customFormat="1" ht="27.75" customHeight="1" x14ac:dyDescent="0.25">
      <c r="B23" s="1081" t="s">
        <v>277</v>
      </c>
      <c r="C23" s="1081"/>
      <c r="D23" s="1081"/>
      <c r="E23" s="1081"/>
      <c r="F23" s="688"/>
      <c r="G23" s="927"/>
      <c r="H23" s="927"/>
      <c r="I23" s="689">
        <v>0</v>
      </c>
      <c r="J23" s="689">
        <v>0</v>
      </c>
      <c r="K23" s="689">
        <v>0</v>
      </c>
      <c r="L23" s="689">
        <v>0</v>
      </c>
      <c r="M23" s="689">
        <v>0</v>
      </c>
      <c r="O23" s="842">
        <f t="shared" si="1"/>
        <v>0</v>
      </c>
    </row>
    <row r="24" spans="2:15" s="685" customFormat="1" ht="27" customHeight="1" x14ac:dyDescent="0.25">
      <c r="B24" s="1081" t="s">
        <v>239</v>
      </c>
      <c r="C24" s="1081"/>
      <c r="D24" s="1081"/>
      <c r="E24" s="1081"/>
      <c r="F24" s="688"/>
      <c r="G24" s="927"/>
      <c r="H24" s="927"/>
      <c r="I24" s="689">
        <v>0</v>
      </c>
      <c r="J24" s="689">
        <v>0</v>
      </c>
      <c r="K24" s="689">
        <v>0</v>
      </c>
      <c r="L24" s="689">
        <v>0</v>
      </c>
      <c r="M24" s="689">
        <v>0</v>
      </c>
      <c r="O24" s="842">
        <f t="shared" si="1"/>
        <v>0</v>
      </c>
    </row>
    <row r="25" spans="2:15" s="685" customFormat="1" ht="18.75" customHeight="1" x14ac:dyDescent="0.25">
      <c r="B25" s="1081" t="s">
        <v>237</v>
      </c>
      <c r="C25" s="1081"/>
      <c r="D25" s="1081"/>
      <c r="E25" s="1081"/>
      <c r="F25" s="688"/>
      <c r="G25" s="927"/>
      <c r="H25" s="927"/>
      <c r="I25" s="689">
        <v>0</v>
      </c>
      <c r="J25" s="689">
        <v>0</v>
      </c>
      <c r="K25" s="689">
        <v>0</v>
      </c>
      <c r="L25" s="689">
        <v>0</v>
      </c>
      <c r="M25" s="689">
        <v>0</v>
      </c>
      <c r="O25" s="842">
        <f t="shared" si="1"/>
        <v>0</v>
      </c>
    </row>
    <row r="26" spans="2:15" s="685" customFormat="1" ht="27" customHeight="1" x14ac:dyDescent="0.25">
      <c r="B26" s="1081" t="s">
        <v>287</v>
      </c>
      <c r="C26" s="1081"/>
      <c r="D26" s="1081"/>
      <c r="E26" s="1081"/>
      <c r="F26" s="688"/>
      <c r="G26" s="927"/>
      <c r="H26" s="927"/>
      <c r="I26" s="689">
        <v>0</v>
      </c>
      <c r="J26" s="689">
        <v>0</v>
      </c>
      <c r="K26" s="689">
        <v>0</v>
      </c>
      <c r="L26" s="689">
        <v>0</v>
      </c>
      <c r="M26" s="689">
        <v>0</v>
      </c>
      <c r="O26" s="842">
        <f t="shared" si="1"/>
        <v>0</v>
      </c>
    </row>
    <row r="27" spans="2:15" s="685" customFormat="1" ht="28.5" customHeight="1" x14ac:dyDescent="0.25">
      <c r="B27" s="1082" t="s">
        <v>134</v>
      </c>
      <c r="C27" s="1083"/>
      <c r="D27" s="1083"/>
      <c r="E27" s="1084"/>
      <c r="F27" s="688"/>
      <c r="G27" s="927"/>
      <c r="H27" s="927"/>
      <c r="I27" s="689">
        <v>0</v>
      </c>
      <c r="J27" s="689">
        <v>0</v>
      </c>
      <c r="K27" s="689">
        <v>0</v>
      </c>
      <c r="L27" s="689">
        <v>0</v>
      </c>
      <c r="M27" s="689">
        <v>0</v>
      </c>
      <c r="O27" s="842">
        <f t="shared" si="1"/>
        <v>0</v>
      </c>
    </row>
    <row r="28" spans="2:15" s="685" customFormat="1" ht="18.75" customHeight="1" x14ac:dyDescent="0.25">
      <c r="B28" s="1082" t="s">
        <v>276</v>
      </c>
      <c r="C28" s="1083"/>
      <c r="D28" s="1083"/>
      <c r="E28" s="1084"/>
      <c r="F28" s="688"/>
      <c r="G28" s="927"/>
      <c r="H28" s="927"/>
      <c r="I28" s="689">
        <v>0</v>
      </c>
      <c r="J28" s="689">
        <v>0</v>
      </c>
      <c r="K28" s="689">
        <v>0</v>
      </c>
      <c r="L28" s="689">
        <v>0</v>
      </c>
      <c r="M28" s="689">
        <v>0</v>
      </c>
      <c r="O28" s="842">
        <f t="shared" si="1"/>
        <v>0</v>
      </c>
    </row>
    <row r="29" spans="2:15" x14ac:dyDescent="0.25">
      <c r="B29" s="48"/>
      <c r="C29" s="48"/>
      <c r="D29" s="48"/>
      <c r="E29" s="48"/>
      <c r="F29" s="48"/>
      <c r="G29" s="928"/>
      <c r="H29" s="928"/>
      <c r="I29" s="678"/>
      <c r="J29" s="678"/>
      <c r="K29" s="678"/>
      <c r="L29" s="678"/>
      <c r="M29" s="678"/>
      <c r="O29" s="955"/>
    </row>
    <row r="30" spans="2:15" s="685" customFormat="1" ht="23.25" customHeight="1" x14ac:dyDescent="0.25">
      <c r="B30" s="1071" t="s">
        <v>33</v>
      </c>
      <c r="C30" s="1072"/>
      <c r="D30" s="1072"/>
      <c r="E30" s="1073"/>
      <c r="F30" s="700"/>
      <c r="G30" s="929"/>
      <c r="H30" s="929"/>
      <c r="I30" s="701">
        <f t="shared" ref="I30:M30" si="2">SUM(I19:I28)</f>
        <v>0</v>
      </c>
      <c r="J30" s="701">
        <f t="shared" si="2"/>
        <v>0</v>
      </c>
      <c r="K30" s="701">
        <f t="shared" si="2"/>
        <v>0</v>
      </c>
      <c r="L30" s="701">
        <f t="shared" si="2"/>
        <v>0</v>
      </c>
      <c r="M30" s="701">
        <f t="shared" si="2"/>
        <v>0</v>
      </c>
      <c r="O30" s="701">
        <f t="shared" si="1"/>
        <v>0</v>
      </c>
    </row>
    <row r="33" spans="2:15" ht="13" x14ac:dyDescent="0.3">
      <c r="G33" s="435" t="s">
        <v>56</v>
      </c>
    </row>
    <row r="34" spans="2:15" ht="13" x14ac:dyDescent="0.3">
      <c r="G34" s="435" t="s">
        <v>57</v>
      </c>
    </row>
    <row r="35" spans="2:15" s="48" customFormat="1" ht="60" customHeight="1" x14ac:dyDescent="0.25">
      <c r="B35" s="1060" t="s">
        <v>381</v>
      </c>
      <c r="C35" s="1061"/>
      <c r="D35" s="1061"/>
      <c r="E35" s="1062"/>
      <c r="F35" s="162"/>
      <c r="G35" s="675" t="s">
        <v>385</v>
      </c>
      <c r="H35" s="675" t="s">
        <v>385</v>
      </c>
      <c r="I35" s="675">
        <v>2010</v>
      </c>
      <c r="J35" s="675">
        <f t="shared" ref="J35:M35" si="3">+I35+1</f>
        <v>2011</v>
      </c>
      <c r="K35" s="675">
        <f t="shared" si="3"/>
        <v>2012</v>
      </c>
      <c r="L35" s="675">
        <f t="shared" si="3"/>
        <v>2013</v>
      </c>
      <c r="M35" s="675">
        <f t="shared" si="3"/>
        <v>2014</v>
      </c>
      <c r="O35" s="675" t="s">
        <v>31</v>
      </c>
    </row>
    <row r="36" spans="2:15" s="130" customFormat="1" ht="12" customHeight="1" x14ac:dyDescent="0.25">
      <c r="B36" s="384"/>
      <c r="C36" s="384"/>
      <c r="D36" s="384"/>
      <c r="E36" s="384"/>
      <c r="F36" s="385"/>
      <c r="G36" s="925"/>
      <c r="H36" s="926"/>
      <c r="I36" s="387"/>
      <c r="O36" s="714"/>
    </row>
    <row r="37" spans="2:15" ht="36" customHeight="1" x14ac:dyDescent="0.25">
      <c r="B37" s="1077" t="s">
        <v>131</v>
      </c>
      <c r="C37" s="1078"/>
      <c r="D37" s="1078"/>
      <c r="E37" s="1079"/>
      <c r="F37" s="162"/>
      <c r="G37" s="930"/>
      <c r="H37" s="930"/>
      <c r="I37" s="686"/>
      <c r="J37" s="686"/>
      <c r="K37" s="686"/>
      <c r="L37" s="686"/>
      <c r="M37" s="686"/>
      <c r="O37" s="686"/>
    </row>
    <row r="38" spans="2:15" ht="28.5" customHeight="1" x14ac:dyDescent="0.25">
      <c r="B38" s="1068" t="str">
        <f>"per 31/12/"&amp;$M$35</f>
        <v>per 31/12/2014</v>
      </c>
      <c r="C38" s="1069"/>
      <c r="D38" s="1069"/>
      <c r="E38" s="1070"/>
      <c r="F38" s="162"/>
      <c r="G38" s="931"/>
      <c r="H38" s="931"/>
      <c r="I38" s="677">
        <v>0</v>
      </c>
      <c r="J38" s="677">
        <v>0</v>
      </c>
      <c r="K38" s="677">
        <v>0</v>
      </c>
      <c r="L38" s="677">
        <v>0</v>
      </c>
      <c r="M38" s="677">
        <v>0</v>
      </c>
      <c r="O38" s="679">
        <f t="shared" ref="O38:O44" si="4">SUM(I38:M38)</f>
        <v>0</v>
      </c>
    </row>
    <row r="39" spans="2:15" ht="28.5" customHeight="1" x14ac:dyDescent="0.25">
      <c r="B39" s="1068" t="str">
        <f>"per 31/12/"&amp;$M$35+1</f>
        <v>per 31/12/2015</v>
      </c>
      <c r="C39" s="1069"/>
      <c r="D39" s="1069"/>
      <c r="E39" s="1070"/>
      <c r="F39" s="162"/>
      <c r="G39" s="931"/>
      <c r="H39" s="931"/>
      <c r="I39" s="677">
        <v>0</v>
      </c>
      <c r="J39" s="677">
        <v>0</v>
      </c>
      <c r="K39" s="677">
        <v>0</v>
      </c>
      <c r="L39" s="677">
        <v>0</v>
      </c>
      <c r="M39" s="677">
        <v>0</v>
      </c>
      <c r="O39" s="679">
        <f t="shared" si="4"/>
        <v>0</v>
      </c>
    </row>
    <row r="40" spans="2:15" ht="28.5" customHeight="1" x14ac:dyDescent="0.25">
      <c r="B40" s="1068" t="str">
        <f>"per 31/12/"&amp;$M$35+2</f>
        <v>per 31/12/2016</v>
      </c>
      <c r="C40" s="1069"/>
      <c r="D40" s="1069"/>
      <c r="E40" s="1070"/>
      <c r="F40" s="162"/>
      <c r="G40" s="931"/>
      <c r="H40" s="931"/>
      <c r="I40" s="677">
        <v>0</v>
      </c>
      <c r="J40" s="677">
        <v>0</v>
      </c>
      <c r="K40" s="677">
        <v>0</v>
      </c>
      <c r="L40" s="677">
        <v>0</v>
      </c>
      <c r="M40" s="677">
        <v>0</v>
      </c>
      <c r="O40" s="679">
        <f t="shared" si="4"/>
        <v>0</v>
      </c>
    </row>
    <row r="41" spans="2:15" ht="28.5" customHeight="1" x14ac:dyDescent="0.25">
      <c r="B41" s="1068" t="str">
        <f>"per 31/12/"&amp;$M$35+3</f>
        <v>per 31/12/2017</v>
      </c>
      <c r="C41" s="1069"/>
      <c r="D41" s="1069"/>
      <c r="E41" s="1070"/>
      <c r="F41" s="162"/>
      <c r="G41" s="931"/>
      <c r="H41" s="931"/>
      <c r="I41" s="677">
        <v>0</v>
      </c>
      <c r="J41" s="677">
        <v>0</v>
      </c>
      <c r="K41" s="677">
        <v>0</v>
      </c>
      <c r="L41" s="677">
        <v>0</v>
      </c>
      <c r="M41" s="677">
        <v>0</v>
      </c>
      <c r="O41" s="679">
        <f t="shared" si="4"/>
        <v>0</v>
      </c>
    </row>
    <row r="42" spans="2:15" ht="28.5" customHeight="1" x14ac:dyDescent="0.25">
      <c r="B42" s="1068" t="str">
        <f>"per 31/12/"&amp;$M$35+4</f>
        <v>per 31/12/2018</v>
      </c>
      <c r="C42" s="1069"/>
      <c r="D42" s="1069"/>
      <c r="E42" s="1070"/>
      <c r="F42" s="162"/>
      <c r="G42" s="931"/>
      <c r="H42" s="931"/>
      <c r="I42" s="677">
        <v>0</v>
      </c>
      <c r="J42" s="677">
        <v>0</v>
      </c>
      <c r="K42" s="677">
        <v>0</v>
      </c>
      <c r="L42" s="677">
        <v>0</v>
      </c>
      <c r="M42" s="677">
        <v>0</v>
      </c>
      <c r="O42" s="679">
        <f t="shared" si="4"/>
        <v>0</v>
      </c>
    </row>
    <row r="43" spans="2:15" ht="28.5" customHeight="1" x14ac:dyDescent="0.25">
      <c r="B43" s="1068" t="str">
        <f>"per 31/12/"&amp;$M$35+5</f>
        <v>per 31/12/2019</v>
      </c>
      <c r="C43" s="1069"/>
      <c r="D43" s="1069"/>
      <c r="E43" s="1070"/>
      <c r="F43" s="162"/>
      <c r="G43" s="931"/>
      <c r="H43" s="931"/>
      <c r="I43" s="677">
        <v>0</v>
      </c>
      <c r="J43" s="677">
        <v>0</v>
      </c>
      <c r="K43" s="677">
        <v>0</v>
      </c>
      <c r="L43" s="677">
        <v>0</v>
      </c>
      <c r="M43" s="677">
        <v>0</v>
      </c>
      <c r="O43" s="679">
        <f t="shared" si="4"/>
        <v>0</v>
      </c>
    </row>
    <row r="44" spans="2:15" ht="28.5" customHeight="1" x14ac:dyDescent="0.25">
      <c r="B44" s="1068" t="str">
        <f>"per 31/12/"&amp;$M$35+6</f>
        <v>per 31/12/2020</v>
      </c>
      <c r="C44" s="1069"/>
      <c r="D44" s="1069"/>
      <c r="E44" s="1070"/>
      <c r="F44" s="162"/>
      <c r="G44" s="931"/>
      <c r="H44" s="931"/>
      <c r="I44" s="677">
        <v>0</v>
      </c>
      <c r="J44" s="677">
        <v>0</v>
      </c>
      <c r="K44" s="677">
        <v>0</v>
      </c>
      <c r="L44" s="677">
        <v>0</v>
      </c>
      <c r="M44" s="677">
        <v>0</v>
      </c>
      <c r="O44" s="679">
        <f t="shared" si="4"/>
        <v>0</v>
      </c>
    </row>
    <row r="45" spans="2:15" ht="27.75" customHeight="1" x14ac:dyDescent="0.25">
      <c r="B45" s="1077" t="s">
        <v>132</v>
      </c>
      <c r="C45" s="1078"/>
      <c r="D45" s="1078"/>
      <c r="E45" s="1079"/>
      <c r="F45" s="162"/>
      <c r="G45" s="930"/>
      <c r="H45" s="930"/>
      <c r="I45" s="686"/>
      <c r="J45" s="686"/>
      <c r="K45" s="686"/>
      <c r="L45" s="686"/>
      <c r="M45" s="686"/>
      <c r="O45" s="686"/>
    </row>
    <row r="46" spans="2:15" ht="28.5" customHeight="1" x14ac:dyDescent="0.25">
      <c r="B46" s="1068" t="str">
        <f>"per 31/12/"&amp;$M$35</f>
        <v>per 31/12/2014</v>
      </c>
      <c r="C46" s="1069"/>
      <c r="D46" s="1069"/>
      <c r="E46" s="1070"/>
      <c r="F46" s="162"/>
      <c r="G46" s="931"/>
      <c r="H46" s="931"/>
      <c r="I46" s="677">
        <v>0</v>
      </c>
      <c r="J46" s="677">
        <v>0</v>
      </c>
      <c r="K46" s="677">
        <v>0</v>
      </c>
      <c r="L46" s="677">
        <v>0</v>
      </c>
      <c r="M46" s="677">
        <v>0</v>
      </c>
      <c r="O46" s="679">
        <f t="shared" ref="O46:O52" si="5">SUM(I46:M46)</f>
        <v>0</v>
      </c>
    </row>
    <row r="47" spans="2:15" ht="28.5" customHeight="1" x14ac:dyDescent="0.25">
      <c r="B47" s="1068" t="str">
        <f>"per 31/12/"&amp;$M$35+1</f>
        <v>per 31/12/2015</v>
      </c>
      <c r="C47" s="1069"/>
      <c r="D47" s="1069"/>
      <c r="E47" s="1070"/>
      <c r="F47" s="162"/>
      <c r="G47" s="931"/>
      <c r="H47" s="931"/>
      <c r="I47" s="677">
        <v>0</v>
      </c>
      <c r="J47" s="677">
        <v>0</v>
      </c>
      <c r="K47" s="677">
        <v>0</v>
      </c>
      <c r="L47" s="677">
        <v>0</v>
      </c>
      <c r="M47" s="677">
        <v>0</v>
      </c>
      <c r="O47" s="679">
        <f t="shared" si="5"/>
        <v>0</v>
      </c>
    </row>
    <row r="48" spans="2:15" ht="28.5" customHeight="1" x14ac:dyDescent="0.25">
      <c r="B48" s="1068" t="str">
        <f>"per 31/12/"&amp;$M$35+2</f>
        <v>per 31/12/2016</v>
      </c>
      <c r="C48" s="1069"/>
      <c r="D48" s="1069"/>
      <c r="E48" s="1070"/>
      <c r="F48" s="162"/>
      <c r="G48" s="931"/>
      <c r="H48" s="931"/>
      <c r="I48" s="677">
        <v>0</v>
      </c>
      <c r="J48" s="677">
        <v>0</v>
      </c>
      <c r="K48" s="677">
        <v>0</v>
      </c>
      <c r="L48" s="677">
        <v>0</v>
      </c>
      <c r="M48" s="677">
        <v>0</v>
      </c>
      <c r="O48" s="679">
        <f t="shared" si="5"/>
        <v>0</v>
      </c>
    </row>
    <row r="49" spans="2:15" ht="28.5" customHeight="1" x14ac:dyDescent="0.25">
      <c r="B49" s="1068" t="str">
        <f>"per 31/12/"&amp;$M$35+3</f>
        <v>per 31/12/2017</v>
      </c>
      <c r="C49" s="1069"/>
      <c r="D49" s="1069"/>
      <c r="E49" s="1070"/>
      <c r="F49" s="162"/>
      <c r="G49" s="931"/>
      <c r="H49" s="931"/>
      <c r="I49" s="677">
        <v>0</v>
      </c>
      <c r="J49" s="677">
        <v>0</v>
      </c>
      <c r="K49" s="677">
        <v>0</v>
      </c>
      <c r="L49" s="677">
        <v>0</v>
      </c>
      <c r="M49" s="677">
        <v>0</v>
      </c>
      <c r="O49" s="679">
        <f t="shared" si="5"/>
        <v>0</v>
      </c>
    </row>
    <row r="50" spans="2:15" ht="28.5" customHeight="1" x14ac:dyDescent="0.25">
      <c r="B50" s="1068" t="str">
        <f>"per 31/12/"&amp;$M$35+4</f>
        <v>per 31/12/2018</v>
      </c>
      <c r="C50" s="1069"/>
      <c r="D50" s="1069"/>
      <c r="E50" s="1070"/>
      <c r="F50" s="162"/>
      <c r="G50" s="931"/>
      <c r="H50" s="931"/>
      <c r="I50" s="677">
        <v>0</v>
      </c>
      <c r="J50" s="677">
        <v>0</v>
      </c>
      <c r="K50" s="677">
        <v>0</v>
      </c>
      <c r="L50" s="677">
        <v>0</v>
      </c>
      <c r="M50" s="677">
        <v>0</v>
      </c>
      <c r="O50" s="679">
        <f t="shared" si="5"/>
        <v>0</v>
      </c>
    </row>
    <row r="51" spans="2:15" ht="28.5" customHeight="1" x14ac:dyDescent="0.25">
      <c r="B51" s="1068" t="str">
        <f>"per 31/12/"&amp;$M$35+5</f>
        <v>per 31/12/2019</v>
      </c>
      <c r="C51" s="1069"/>
      <c r="D51" s="1069"/>
      <c r="E51" s="1070"/>
      <c r="F51" s="162"/>
      <c r="G51" s="931"/>
      <c r="H51" s="931"/>
      <c r="I51" s="677">
        <v>0</v>
      </c>
      <c r="J51" s="677">
        <v>0</v>
      </c>
      <c r="K51" s="677">
        <v>0</v>
      </c>
      <c r="L51" s="677">
        <v>0</v>
      </c>
      <c r="M51" s="677">
        <v>0</v>
      </c>
      <c r="O51" s="679">
        <f t="shared" si="5"/>
        <v>0</v>
      </c>
    </row>
    <row r="52" spans="2:15" ht="28.5" customHeight="1" x14ac:dyDescent="0.25">
      <c r="B52" s="1068" t="str">
        <f>"per 31/12/"&amp;$M$35+6</f>
        <v>per 31/12/2020</v>
      </c>
      <c r="C52" s="1069"/>
      <c r="D52" s="1069"/>
      <c r="E52" s="1070"/>
      <c r="F52" s="162"/>
      <c r="G52" s="931"/>
      <c r="H52" s="931"/>
      <c r="I52" s="677">
        <v>0</v>
      </c>
      <c r="J52" s="677">
        <v>0</v>
      </c>
      <c r="K52" s="677">
        <v>0</v>
      </c>
      <c r="L52" s="677">
        <v>0</v>
      </c>
      <c r="M52" s="677">
        <v>0</v>
      </c>
      <c r="O52" s="679">
        <f t="shared" si="5"/>
        <v>0</v>
      </c>
    </row>
    <row r="53" spans="2:15" ht="27.75" customHeight="1" x14ac:dyDescent="0.25">
      <c r="B53" s="1077" t="s">
        <v>275</v>
      </c>
      <c r="C53" s="1078"/>
      <c r="D53" s="1078"/>
      <c r="E53" s="1079"/>
      <c r="F53" s="162"/>
      <c r="G53" s="930"/>
      <c r="H53" s="930"/>
      <c r="I53" s="686"/>
      <c r="J53" s="686"/>
      <c r="K53" s="686"/>
      <c r="L53" s="686"/>
      <c r="M53" s="686"/>
      <c r="O53" s="686"/>
    </row>
    <row r="54" spans="2:15" ht="28.5" customHeight="1" x14ac:dyDescent="0.25">
      <c r="B54" s="1068" t="str">
        <f>"per 31/12/"&amp;$M$35</f>
        <v>per 31/12/2014</v>
      </c>
      <c r="C54" s="1069"/>
      <c r="D54" s="1069"/>
      <c r="E54" s="1070"/>
      <c r="F54" s="162"/>
      <c r="G54" s="931"/>
      <c r="H54" s="931"/>
      <c r="I54" s="677">
        <v>0</v>
      </c>
      <c r="J54" s="677">
        <v>0</v>
      </c>
      <c r="K54" s="677">
        <v>0</v>
      </c>
      <c r="L54" s="677">
        <v>0</v>
      </c>
      <c r="M54" s="677">
        <v>0</v>
      </c>
      <c r="O54" s="679">
        <f t="shared" ref="O54:O60" si="6">SUM(I54:M54)</f>
        <v>0</v>
      </c>
    </row>
    <row r="55" spans="2:15" ht="28.5" customHeight="1" x14ac:dyDescent="0.25">
      <c r="B55" s="1068" t="str">
        <f>"per 31/12/"&amp;$M$35+1</f>
        <v>per 31/12/2015</v>
      </c>
      <c r="C55" s="1069"/>
      <c r="D55" s="1069"/>
      <c r="E55" s="1070"/>
      <c r="F55" s="162"/>
      <c r="G55" s="931"/>
      <c r="H55" s="931"/>
      <c r="I55" s="677">
        <v>0</v>
      </c>
      <c r="J55" s="677">
        <v>0</v>
      </c>
      <c r="K55" s="677">
        <v>0</v>
      </c>
      <c r="L55" s="677">
        <v>0</v>
      </c>
      <c r="M55" s="677">
        <v>0</v>
      </c>
      <c r="O55" s="679">
        <f t="shared" si="6"/>
        <v>0</v>
      </c>
    </row>
    <row r="56" spans="2:15" ht="28.5" customHeight="1" x14ac:dyDescent="0.25">
      <c r="B56" s="1068" t="str">
        <f>"per 31/12/"&amp;$M$35+2</f>
        <v>per 31/12/2016</v>
      </c>
      <c r="C56" s="1069"/>
      <c r="D56" s="1069"/>
      <c r="E56" s="1070"/>
      <c r="F56" s="162"/>
      <c r="G56" s="931"/>
      <c r="H56" s="931"/>
      <c r="I56" s="677">
        <v>0</v>
      </c>
      <c r="J56" s="677">
        <v>0</v>
      </c>
      <c r="K56" s="677">
        <v>0</v>
      </c>
      <c r="L56" s="677">
        <v>0</v>
      </c>
      <c r="M56" s="677">
        <v>0</v>
      </c>
      <c r="O56" s="679">
        <f t="shared" si="6"/>
        <v>0</v>
      </c>
    </row>
    <row r="57" spans="2:15" ht="28.5" customHeight="1" x14ac:dyDescent="0.25">
      <c r="B57" s="1068" t="str">
        <f>"per 31/12/"&amp;$M$35+3</f>
        <v>per 31/12/2017</v>
      </c>
      <c r="C57" s="1069"/>
      <c r="D57" s="1069"/>
      <c r="E57" s="1070"/>
      <c r="F57" s="162"/>
      <c r="G57" s="931"/>
      <c r="H57" s="931"/>
      <c r="I57" s="677">
        <v>0</v>
      </c>
      <c r="J57" s="677">
        <v>0</v>
      </c>
      <c r="K57" s="677">
        <v>0</v>
      </c>
      <c r="L57" s="677">
        <v>0</v>
      </c>
      <c r="M57" s="677">
        <v>0</v>
      </c>
      <c r="O57" s="679">
        <f t="shared" si="6"/>
        <v>0</v>
      </c>
    </row>
    <row r="58" spans="2:15" ht="28.5" customHeight="1" x14ac:dyDescent="0.25">
      <c r="B58" s="1068" t="str">
        <f>"per 31/12/"&amp;$M$35+4</f>
        <v>per 31/12/2018</v>
      </c>
      <c r="C58" s="1069"/>
      <c r="D58" s="1069"/>
      <c r="E58" s="1070"/>
      <c r="F58" s="162"/>
      <c r="G58" s="931"/>
      <c r="H58" s="931"/>
      <c r="I58" s="677">
        <v>0</v>
      </c>
      <c r="J58" s="677">
        <v>0</v>
      </c>
      <c r="K58" s="677">
        <v>0</v>
      </c>
      <c r="L58" s="677">
        <v>0</v>
      </c>
      <c r="M58" s="677">
        <v>0</v>
      </c>
      <c r="O58" s="679">
        <f t="shared" si="6"/>
        <v>0</v>
      </c>
    </row>
    <row r="59" spans="2:15" ht="28.5" customHeight="1" x14ac:dyDescent="0.25">
      <c r="B59" s="1068" t="str">
        <f>"per 31/12/"&amp;$M$35+5</f>
        <v>per 31/12/2019</v>
      </c>
      <c r="C59" s="1069"/>
      <c r="D59" s="1069"/>
      <c r="E59" s="1070"/>
      <c r="F59" s="162"/>
      <c r="G59" s="931"/>
      <c r="H59" s="931"/>
      <c r="I59" s="677">
        <v>0</v>
      </c>
      <c r="J59" s="677">
        <v>0</v>
      </c>
      <c r="K59" s="677">
        <v>0</v>
      </c>
      <c r="L59" s="677">
        <v>0</v>
      </c>
      <c r="M59" s="677">
        <v>0</v>
      </c>
      <c r="O59" s="679">
        <f t="shared" si="6"/>
        <v>0</v>
      </c>
    </row>
    <row r="60" spans="2:15" ht="28.5" customHeight="1" x14ac:dyDescent="0.25">
      <c r="B60" s="1068" t="str">
        <f>"per 31/12/"&amp;$M$35+6</f>
        <v>per 31/12/2020</v>
      </c>
      <c r="C60" s="1069"/>
      <c r="D60" s="1069"/>
      <c r="E60" s="1070"/>
      <c r="F60" s="162"/>
      <c r="G60" s="931"/>
      <c r="H60" s="931"/>
      <c r="I60" s="677">
        <v>0</v>
      </c>
      <c r="J60" s="677">
        <v>0</v>
      </c>
      <c r="K60" s="677">
        <v>0</v>
      </c>
      <c r="L60" s="677">
        <v>0</v>
      </c>
      <c r="M60" s="677">
        <v>0</v>
      </c>
      <c r="O60" s="679">
        <f t="shared" si="6"/>
        <v>0</v>
      </c>
    </row>
    <row r="61" spans="2:15" ht="30" customHeight="1" x14ac:dyDescent="0.25">
      <c r="B61" s="1077" t="s">
        <v>133</v>
      </c>
      <c r="C61" s="1078"/>
      <c r="D61" s="1078"/>
      <c r="E61" s="1079"/>
      <c r="F61" s="162"/>
      <c r="G61" s="930"/>
      <c r="H61" s="930"/>
      <c r="I61" s="686"/>
      <c r="J61" s="686"/>
      <c r="K61" s="686"/>
      <c r="L61" s="686"/>
      <c r="M61" s="686"/>
      <c r="O61" s="686"/>
    </row>
    <row r="62" spans="2:15" ht="28.5" customHeight="1" x14ac:dyDescent="0.25">
      <c r="B62" s="1068" t="str">
        <f>"per 31/12/"&amp;$M$35</f>
        <v>per 31/12/2014</v>
      </c>
      <c r="C62" s="1069"/>
      <c r="D62" s="1069"/>
      <c r="E62" s="1070"/>
      <c r="F62" s="162"/>
      <c r="G62" s="931"/>
      <c r="H62" s="931"/>
      <c r="I62" s="677">
        <v>0</v>
      </c>
      <c r="J62" s="677">
        <v>0</v>
      </c>
      <c r="K62" s="677">
        <v>0</v>
      </c>
      <c r="L62" s="677">
        <v>0</v>
      </c>
      <c r="M62" s="677">
        <v>0</v>
      </c>
      <c r="O62" s="679">
        <f t="shared" ref="O62:O68" si="7">SUM(I62:M62)</f>
        <v>0</v>
      </c>
    </row>
    <row r="63" spans="2:15" ht="28.5" customHeight="1" x14ac:dyDescent="0.25">
      <c r="B63" s="1068" t="str">
        <f>"per 31/12/"&amp;$M$35+1</f>
        <v>per 31/12/2015</v>
      </c>
      <c r="C63" s="1069"/>
      <c r="D63" s="1069"/>
      <c r="E63" s="1070"/>
      <c r="F63" s="162"/>
      <c r="G63" s="931"/>
      <c r="H63" s="931"/>
      <c r="I63" s="677">
        <v>0</v>
      </c>
      <c r="J63" s="677">
        <v>0</v>
      </c>
      <c r="K63" s="677">
        <v>0</v>
      </c>
      <c r="L63" s="677">
        <v>0</v>
      </c>
      <c r="M63" s="677">
        <v>0</v>
      </c>
      <c r="O63" s="679">
        <f t="shared" si="7"/>
        <v>0</v>
      </c>
    </row>
    <row r="64" spans="2:15" ht="28.5" customHeight="1" x14ac:dyDescent="0.25">
      <c r="B64" s="1068" t="str">
        <f>"per 31/12/"&amp;$M$35+2</f>
        <v>per 31/12/2016</v>
      </c>
      <c r="C64" s="1069"/>
      <c r="D64" s="1069"/>
      <c r="E64" s="1070"/>
      <c r="F64" s="162"/>
      <c r="G64" s="931"/>
      <c r="H64" s="931"/>
      <c r="I64" s="677">
        <v>0</v>
      </c>
      <c r="J64" s="677">
        <v>0</v>
      </c>
      <c r="K64" s="677">
        <v>0</v>
      </c>
      <c r="L64" s="677">
        <v>0</v>
      </c>
      <c r="M64" s="677">
        <v>0</v>
      </c>
      <c r="O64" s="679">
        <f t="shared" si="7"/>
        <v>0</v>
      </c>
    </row>
    <row r="65" spans="2:15" ht="28.5" customHeight="1" x14ac:dyDescent="0.25">
      <c r="B65" s="1068" t="str">
        <f>"per 31/12/"&amp;$M$35+3</f>
        <v>per 31/12/2017</v>
      </c>
      <c r="C65" s="1069"/>
      <c r="D65" s="1069"/>
      <c r="E65" s="1070"/>
      <c r="F65" s="162"/>
      <c r="G65" s="931"/>
      <c r="H65" s="931"/>
      <c r="I65" s="677">
        <v>0</v>
      </c>
      <c r="J65" s="677">
        <v>0</v>
      </c>
      <c r="K65" s="677">
        <v>0</v>
      </c>
      <c r="L65" s="677">
        <v>0</v>
      </c>
      <c r="M65" s="677">
        <v>0</v>
      </c>
      <c r="O65" s="679">
        <f t="shared" si="7"/>
        <v>0</v>
      </c>
    </row>
    <row r="66" spans="2:15" ht="28.5" customHeight="1" x14ac:dyDescent="0.25">
      <c r="B66" s="1068" t="str">
        <f>"per 31/12/"&amp;$M$35+4</f>
        <v>per 31/12/2018</v>
      </c>
      <c r="C66" s="1069"/>
      <c r="D66" s="1069"/>
      <c r="E66" s="1070"/>
      <c r="F66" s="162"/>
      <c r="G66" s="931"/>
      <c r="H66" s="931"/>
      <c r="I66" s="677">
        <v>0</v>
      </c>
      <c r="J66" s="677">
        <v>0</v>
      </c>
      <c r="K66" s="677">
        <v>0</v>
      </c>
      <c r="L66" s="677">
        <v>0</v>
      </c>
      <c r="M66" s="677">
        <v>0</v>
      </c>
      <c r="O66" s="679">
        <f t="shared" si="7"/>
        <v>0</v>
      </c>
    </row>
    <row r="67" spans="2:15" ht="28.5" customHeight="1" x14ac:dyDescent="0.25">
      <c r="B67" s="1068" t="str">
        <f>"per 31/12/"&amp;$M$35+5</f>
        <v>per 31/12/2019</v>
      </c>
      <c r="C67" s="1069"/>
      <c r="D67" s="1069"/>
      <c r="E67" s="1070"/>
      <c r="F67" s="162"/>
      <c r="G67" s="931"/>
      <c r="H67" s="931"/>
      <c r="I67" s="677">
        <v>0</v>
      </c>
      <c r="J67" s="677">
        <v>0</v>
      </c>
      <c r="K67" s="677">
        <v>0</v>
      </c>
      <c r="L67" s="677">
        <v>0</v>
      </c>
      <c r="M67" s="677">
        <v>0</v>
      </c>
      <c r="O67" s="679">
        <f t="shared" si="7"/>
        <v>0</v>
      </c>
    </row>
    <row r="68" spans="2:15" ht="28.5" customHeight="1" x14ac:dyDescent="0.25">
      <c r="B68" s="1068" t="str">
        <f>"per 31/12/"&amp;$M$35+6</f>
        <v>per 31/12/2020</v>
      </c>
      <c r="C68" s="1069"/>
      <c r="D68" s="1069"/>
      <c r="E68" s="1070"/>
      <c r="F68" s="162"/>
      <c r="G68" s="931"/>
      <c r="H68" s="931"/>
      <c r="I68" s="677">
        <v>0</v>
      </c>
      <c r="J68" s="677">
        <v>0</v>
      </c>
      <c r="K68" s="677">
        <v>0</v>
      </c>
      <c r="L68" s="677">
        <v>0</v>
      </c>
      <c r="M68" s="677">
        <v>0</v>
      </c>
      <c r="O68" s="679">
        <f t="shared" si="7"/>
        <v>0</v>
      </c>
    </row>
    <row r="69" spans="2:15" ht="44.25" customHeight="1" x14ac:dyDescent="0.25">
      <c r="B69" s="1077" t="s">
        <v>277</v>
      </c>
      <c r="C69" s="1078"/>
      <c r="D69" s="1078"/>
      <c r="E69" s="1079"/>
      <c r="F69" s="162"/>
      <c r="G69" s="930"/>
      <c r="H69" s="930"/>
      <c r="I69" s="686"/>
      <c r="J69" s="686"/>
      <c r="K69" s="686"/>
      <c r="L69" s="686"/>
      <c r="M69" s="686"/>
      <c r="O69" s="686"/>
    </row>
    <row r="70" spans="2:15" ht="28.5" customHeight="1" x14ac:dyDescent="0.25">
      <c r="B70" s="1068" t="str">
        <f>"per 31/12/"&amp;$M$35</f>
        <v>per 31/12/2014</v>
      </c>
      <c r="C70" s="1069"/>
      <c r="D70" s="1069"/>
      <c r="E70" s="1070"/>
      <c r="F70" s="162"/>
      <c r="G70" s="931"/>
      <c r="H70" s="931"/>
      <c r="I70" s="677">
        <v>0</v>
      </c>
      <c r="J70" s="677">
        <v>0</v>
      </c>
      <c r="K70" s="677">
        <v>0</v>
      </c>
      <c r="L70" s="677">
        <v>0</v>
      </c>
      <c r="M70" s="677">
        <v>0</v>
      </c>
      <c r="O70" s="679">
        <f t="shared" ref="O70:O76" si="8">SUM(I70:M70)</f>
        <v>0</v>
      </c>
    </row>
    <row r="71" spans="2:15" ht="28.5" customHeight="1" x14ac:dyDescent="0.25">
      <c r="B71" s="1068" t="str">
        <f>"per 31/12/"&amp;$M$35+1</f>
        <v>per 31/12/2015</v>
      </c>
      <c r="C71" s="1069"/>
      <c r="D71" s="1069"/>
      <c r="E71" s="1070"/>
      <c r="F71" s="162"/>
      <c r="G71" s="931"/>
      <c r="H71" s="931"/>
      <c r="I71" s="677">
        <v>0</v>
      </c>
      <c r="J71" s="677">
        <v>0</v>
      </c>
      <c r="K71" s="677">
        <v>0</v>
      </c>
      <c r="L71" s="677">
        <v>0</v>
      </c>
      <c r="M71" s="677">
        <v>0</v>
      </c>
      <c r="O71" s="679">
        <f t="shared" si="8"/>
        <v>0</v>
      </c>
    </row>
    <row r="72" spans="2:15" ht="28.5" customHeight="1" x14ac:dyDescent="0.25">
      <c r="B72" s="1068" t="str">
        <f>"per 31/12/"&amp;$M$35+2</f>
        <v>per 31/12/2016</v>
      </c>
      <c r="C72" s="1069"/>
      <c r="D72" s="1069"/>
      <c r="E72" s="1070"/>
      <c r="F72" s="162"/>
      <c r="G72" s="931"/>
      <c r="H72" s="931"/>
      <c r="I72" s="677">
        <v>0</v>
      </c>
      <c r="J72" s="677">
        <v>0</v>
      </c>
      <c r="K72" s="677">
        <v>0</v>
      </c>
      <c r="L72" s="677">
        <v>0</v>
      </c>
      <c r="M72" s="677">
        <v>0</v>
      </c>
      <c r="O72" s="679">
        <f t="shared" si="8"/>
        <v>0</v>
      </c>
    </row>
    <row r="73" spans="2:15" ht="28.5" customHeight="1" x14ac:dyDescent="0.25">
      <c r="B73" s="1068" t="str">
        <f>"per 31/12/"&amp;$M$35+3</f>
        <v>per 31/12/2017</v>
      </c>
      <c r="C73" s="1069"/>
      <c r="D73" s="1069"/>
      <c r="E73" s="1070"/>
      <c r="F73" s="162"/>
      <c r="G73" s="931"/>
      <c r="H73" s="931"/>
      <c r="I73" s="677">
        <v>0</v>
      </c>
      <c r="J73" s="677">
        <v>0</v>
      </c>
      <c r="K73" s="677">
        <v>0</v>
      </c>
      <c r="L73" s="677">
        <v>0</v>
      </c>
      <c r="M73" s="677">
        <v>0</v>
      </c>
      <c r="O73" s="679">
        <f t="shared" si="8"/>
        <v>0</v>
      </c>
    </row>
    <row r="74" spans="2:15" ht="28.5" customHeight="1" x14ac:dyDescent="0.25">
      <c r="B74" s="1068" t="str">
        <f>"per 31/12/"&amp;$M$35+4</f>
        <v>per 31/12/2018</v>
      </c>
      <c r="C74" s="1069"/>
      <c r="D74" s="1069"/>
      <c r="E74" s="1070"/>
      <c r="F74" s="162"/>
      <c r="G74" s="931"/>
      <c r="H74" s="931"/>
      <c r="I74" s="677">
        <v>0</v>
      </c>
      <c r="J74" s="677">
        <v>0</v>
      </c>
      <c r="K74" s="677">
        <v>0</v>
      </c>
      <c r="L74" s="677">
        <v>0</v>
      </c>
      <c r="M74" s="677">
        <v>0</v>
      </c>
      <c r="O74" s="679">
        <f t="shared" si="8"/>
        <v>0</v>
      </c>
    </row>
    <row r="75" spans="2:15" ht="28.5" customHeight="1" x14ac:dyDescent="0.25">
      <c r="B75" s="1068" t="str">
        <f>"per 31/12/"&amp;$M$35+5</f>
        <v>per 31/12/2019</v>
      </c>
      <c r="C75" s="1069"/>
      <c r="D75" s="1069"/>
      <c r="E75" s="1070"/>
      <c r="F75" s="162"/>
      <c r="G75" s="931"/>
      <c r="H75" s="931"/>
      <c r="I75" s="677">
        <v>0</v>
      </c>
      <c r="J75" s="677">
        <v>0</v>
      </c>
      <c r="K75" s="677">
        <v>0</v>
      </c>
      <c r="L75" s="677">
        <v>0</v>
      </c>
      <c r="M75" s="677">
        <v>0</v>
      </c>
      <c r="O75" s="679">
        <f t="shared" si="8"/>
        <v>0</v>
      </c>
    </row>
    <row r="76" spans="2:15" ht="28.5" customHeight="1" x14ac:dyDescent="0.25">
      <c r="B76" s="1068" t="str">
        <f>"per 31/12/"&amp;$M$35+6</f>
        <v>per 31/12/2020</v>
      </c>
      <c r="C76" s="1069"/>
      <c r="D76" s="1069"/>
      <c r="E76" s="1070"/>
      <c r="F76" s="162"/>
      <c r="G76" s="931"/>
      <c r="H76" s="931"/>
      <c r="I76" s="677">
        <v>0</v>
      </c>
      <c r="J76" s="677">
        <v>0</v>
      </c>
      <c r="K76" s="677">
        <v>0</v>
      </c>
      <c r="L76" s="677">
        <v>0</v>
      </c>
      <c r="M76" s="677">
        <v>0</v>
      </c>
      <c r="O76" s="679">
        <f t="shared" si="8"/>
        <v>0</v>
      </c>
    </row>
    <row r="77" spans="2:15" ht="33" customHeight="1" x14ac:dyDescent="0.25">
      <c r="B77" s="1077" t="s">
        <v>239</v>
      </c>
      <c r="C77" s="1078"/>
      <c r="D77" s="1078"/>
      <c r="E77" s="1079"/>
      <c r="F77" s="162"/>
      <c r="G77" s="930"/>
      <c r="H77" s="930"/>
      <c r="I77" s="686"/>
      <c r="J77" s="686"/>
      <c r="K77" s="686"/>
      <c r="L77" s="686"/>
      <c r="M77" s="686"/>
      <c r="O77" s="686"/>
    </row>
    <row r="78" spans="2:15" ht="28.5" customHeight="1" x14ac:dyDescent="0.25">
      <c r="B78" s="1068" t="str">
        <f>"per 31/12/"&amp;$M$35</f>
        <v>per 31/12/2014</v>
      </c>
      <c r="C78" s="1069"/>
      <c r="D78" s="1069"/>
      <c r="E78" s="1070"/>
      <c r="F78" s="162"/>
      <c r="G78" s="931"/>
      <c r="H78" s="931"/>
      <c r="I78" s="677">
        <v>0</v>
      </c>
      <c r="J78" s="677">
        <v>0</v>
      </c>
      <c r="K78" s="677">
        <v>0</v>
      </c>
      <c r="L78" s="677">
        <v>0</v>
      </c>
      <c r="M78" s="677">
        <v>0</v>
      </c>
      <c r="O78" s="679">
        <f t="shared" ref="O78:O84" si="9">SUM(I78:M78)</f>
        <v>0</v>
      </c>
    </row>
    <row r="79" spans="2:15" ht="28.5" customHeight="1" x14ac:dyDescent="0.25">
      <c r="B79" s="1068" t="str">
        <f>"per 31/12/"&amp;$M$35+1</f>
        <v>per 31/12/2015</v>
      </c>
      <c r="C79" s="1069"/>
      <c r="D79" s="1069"/>
      <c r="E79" s="1070"/>
      <c r="F79" s="162"/>
      <c r="G79" s="931"/>
      <c r="H79" s="931"/>
      <c r="I79" s="677">
        <v>0</v>
      </c>
      <c r="J79" s="677">
        <v>0</v>
      </c>
      <c r="K79" s="677">
        <v>0</v>
      </c>
      <c r="L79" s="677">
        <v>0</v>
      </c>
      <c r="M79" s="677">
        <v>0</v>
      </c>
      <c r="O79" s="679">
        <f t="shared" si="9"/>
        <v>0</v>
      </c>
    </row>
    <row r="80" spans="2:15" ht="28.5" customHeight="1" x14ac:dyDescent="0.25">
      <c r="B80" s="1068" t="str">
        <f>"per 31/12/"&amp;$M$35+2</f>
        <v>per 31/12/2016</v>
      </c>
      <c r="C80" s="1069"/>
      <c r="D80" s="1069"/>
      <c r="E80" s="1070"/>
      <c r="F80" s="162"/>
      <c r="G80" s="931"/>
      <c r="H80" s="931"/>
      <c r="I80" s="677">
        <v>0</v>
      </c>
      <c r="J80" s="677">
        <v>0</v>
      </c>
      <c r="K80" s="677">
        <v>0</v>
      </c>
      <c r="L80" s="677">
        <v>0</v>
      </c>
      <c r="M80" s="677">
        <v>0</v>
      </c>
      <c r="O80" s="679">
        <f t="shared" si="9"/>
        <v>0</v>
      </c>
    </row>
    <row r="81" spans="2:15" ht="28.5" customHeight="1" x14ac:dyDescent="0.25">
      <c r="B81" s="1068" t="str">
        <f>"per 31/12/"&amp;$M$35+3</f>
        <v>per 31/12/2017</v>
      </c>
      <c r="C81" s="1069"/>
      <c r="D81" s="1069"/>
      <c r="E81" s="1070"/>
      <c r="F81" s="162"/>
      <c r="G81" s="931"/>
      <c r="H81" s="931"/>
      <c r="I81" s="677">
        <v>0</v>
      </c>
      <c r="J81" s="677">
        <v>0</v>
      </c>
      <c r="K81" s="677">
        <v>0</v>
      </c>
      <c r="L81" s="677">
        <v>0</v>
      </c>
      <c r="M81" s="677">
        <v>0</v>
      </c>
      <c r="O81" s="679">
        <f t="shared" si="9"/>
        <v>0</v>
      </c>
    </row>
    <row r="82" spans="2:15" ht="28.5" customHeight="1" x14ac:dyDescent="0.25">
      <c r="B82" s="1068" t="str">
        <f>"per 31/12/"&amp;$M$35+4</f>
        <v>per 31/12/2018</v>
      </c>
      <c r="C82" s="1069"/>
      <c r="D82" s="1069"/>
      <c r="E82" s="1070"/>
      <c r="F82" s="162"/>
      <c r="G82" s="931"/>
      <c r="H82" s="931"/>
      <c r="I82" s="677">
        <v>0</v>
      </c>
      <c r="J82" s="677">
        <v>0</v>
      </c>
      <c r="K82" s="677">
        <v>0</v>
      </c>
      <c r="L82" s="677">
        <v>0</v>
      </c>
      <c r="M82" s="677">
        <v>0</v>
      </c>
      <c r="O82" s="679">
        <f t="shared" si="9"/>
        <v>0</v>
      </c>
    </row>
    <row r="83" spans="2:15" ht="28.5" customHeight="1" x14ac:dyDescent="0.25">
      <c r="B83" s="1068" t="str">
        <f>"per 31/12/"&amp;$M$35+5</f>
        <v>per 31/12/2019</v>
      </c>
      <c r="C83" s="1069"/>
      <c r="D83" s="1069"/>
      <c r="E83" s="1070"/>
      <c r="F83" s="162"/>
      <c r="G83" s="931"/>
      <c r="H83" s="931"/>
      <c r="I83" s="677">
        <v>0</v>
      </c>
      <c r="J83" s="677">
        <v>0</v>
      </c>
      <c r="K83" s="677">
        <v>0</v>
      </c>
      <c r="L83" s="677">
        <v>0</v>
      </c>
      <c r="M83" s="677">
        <v>0</v>
      </c>
      <c r="O83" s="679">
        <f t="shared" si="9"/>
        <v>0</v>
      </c>
    </row>
    <row r="84" spans="2:15" ht="28.5" customHeight="1" x14ac:dyDescent="0.25">
      <c r="B84" s="1068" t="str">
        <f>"per 31/12/"&amp;$M$35+6</f>
        <v>per 31/12/2020</v>
      </c>
      <c r="C84" s="1069"/>
      <c r="D84" s="1069"/>
      <c r="E84" s="1070"/>
      <c r="F84" s="162"/>
      <c r="G84" s="931"/>
      <c r="H84" s="931"/>
      <c r="I84" s="677">
        <v>0</v>
      </c>
      <c r="J84" s="677">
        <v>0</v>
      </c>
      <c r="K84" s="677">
        <v>0</v>
      </c>
      <c r="L84" s="677">
        <v>0</v>
      </c>
      <c r="M84" s="677">
        <v>0</v>
      </c>
      <c r="O84" s="679">
        <f t="shared" si="9"/>
        <v>0</v>
      </c>
    </row>
    <row r="85" spans="2:15" ht="26.25" customHeight="1" x14ac:dyDescent="0.25">
      <c r="B85" s="1077" t="s">
        <v>237</v>
      </c>
      <c r="C85" s="1078"/>
      <c r="D85" s="1078"/>
      <c r="E85" s="1079"/>
      <c r="F85" s="162"/>
      <c r="G85" s="930"/>
      <c r="H85" s="930"/>
      <c r="I85" s="686"/>
      <c r="J85" s="686"/>
      <c r="K85" s="686"/>
      <c r="L85" s="686"/>
      <c r="M85" s="686"/>
      <c r="O85" s="686"/>
    </row>
    <row r="86" spans="2:15" ht="28.5" customHeight="1" x14ac:dyDescent="0.25">
      <c r="B86" s="1068" t="str">
        <f>"per 31/12/"&amp;$M$35</f>
        <v>per 31/12/2014</v>
      </c>
      <c r="C86" s="1069"/>
      <c r="D86" s="1069"/>
      <c r="E86" s="1070"/>
      <c r="F86" s="162"/>
      <c r="G86" s="931"/>
      <c r="H86" s="931"/>
      <c r="I86" s="677">
        <v>0</v>
      </c>
      <c r="J86" s="677">
        <v>0</v>
      </c>
      <c r="K86" s="677">
        <v>0</v>
      </c>
      <c r="L86" s="677">
        <v>0</v>
      </c>
      <c r="M86" s="677">
        <v>0</v>
      </c>
      <c r="O86" s="679">
        <f t="shared" ref="O86:O92" si="10">SUM(I86:M86)</f>
        <v>0</v>
      </c>
    </row>
    <row r="87" spans="2:15" ht="28.5" customHeight="1" x14ac:dyDescent="0.25">
      <c r="B87" s="1068" t="str">
        <f>"per 31/12/"&amp;$M$35+1</f>
        <v>per 31/12/2015</v>
      </c>
      <c r="C87" s="1069"/>
      <c r="D87" s="1069"/>
      <c r="E87" s="1070"/>
      <c r="F87" s="162"/>
      <c r="G87" s="931"/>
      <c r="H87" s="931"/>
      <c r="I87" s="677">
        <v>0</v>
      </c>
      <c r="J87" s="677">
        <v>0</v>
      </c>
      <c r="K87" s="677">
        <v>0</v>
      </c>
      <c r="L87" s="677">
        <v>0</v>
      </c>
      <c r="M87" s="677">
        <v>0</v>
      </c>
      <c r="O87" s="679">
        <f t="shared" si="10"/>
        <v>0</v>
      </c>
    </row>
    <row r="88" spans="2:15" ht="28.5" customHeight="1" x14ac:dyDescent="0.25">
      <c r="B88" s="1068" t="str">
        <f>"per 31/12/"&amp;$M$35+2</f>
        <v>per 31/12/2016</v>
      </c>
      <c r="C88" s="1069"/>
      <c r="D88" s="1069"/>
      <c r="E88" s="1070"/>
      <c r="F88" s="162"/>
      <c r="G88" s="931"/>
      <c r="H88" s="931"/>
      <c r="I88" s="677">
        <v>0</v>
      </c>
      <c r="J88" s="677">
        <v>0</v>
      </c>
      <c r="K88" s="677">
        <v>0</v>
      </c>
      <c r="L88" s="677">
        <v>0</v>
      </c>
      <c r="M88" s="677">
        <v>0</v>
      </c>
      <c r="O88" s="679">
        <f t="shared" si="10"/>
        <v>0</v>
      </c>
    </row>
    <row r="89" spans="2:15" ht="28.5" customHeight="1" x14ac:dyDescent="0.25">
      <c r="B89" s="1068" t="str">
        <f>"per 31/12/"&amp;$M$35+3</f>
        <v>per 31/12/2017</v>
      </c>
      <c r="C89" s="1069"/>
      <c r="D89" s="1069"/>
      <c r="E89" s="1070"/>
      <c r="F89" s="162"/>
      <c r="G89" s="931"/>
      <c r="H89" s="931"/>
      <c r="I89" s="677">
        <v>0</v>
      </c>
      <c r="J89" s="677">
        <v>0</v>
      </c>
      <c r="K89" s="677">
        <v>0</v>
      </c>
      <c r="L89" s="677">
        <v>0</v>
      </c>
      <c r="M89" s="677">
        <v>0</v>
      </c>
      <c r="O89" s="679">
        <f t="shared" si="10"/>
        <v>0</v>
      </c>
    </row>
    <row r="90" spans="2:15" ht="28.5" customHeight="1" x14ac:dyDescent="0.25">
      <c r="B90" s="1068" t="str">
        <f>"per 31/12/"&amp;$M$35+4</f>
        <v>per 31/12/2018</v>
      </c>
      <c r="C90" s="1069"/>
      <c r="D90" s="1069"/>
      <c r="E90" s="1070"/>
      <c r="F90" s="162"/>
      <c r="G90" s="931"/>
      <c r="H90" s="931"/>
      <c r="I90" s="677">
        <v>0</v>
      </c>
      <c r="J90" s="677">
        <v>0</v>
      </c>
      <c r="K90" s="677">
        <v>0</v>
      </c>
      <c r="L90" s="677">
        <v>0</v>
      </c>
      <c r="M90" s="677">
        <v>0</v>
      </c>
      <c r="O90" s="679">
        <f t="shared" si="10"/>
        <v>0</v>
      </c>
    </row>
    <row r="91" spans="2:15" ht="28.5" customHeight="1" x14ac:dyDescent="0.25">
      <c r="B91" s="1068" t="str">
        <f>"per 31/12/"&amp;$M$35+5</f>
        <v>per 31/12/2019</v>
      </c>
      <c r="C91" s="1069"/>
      <c r="D91" s="1069"/>
      <c r="E91" s="1070"/>
      <c r="F91" s="162"/>
      <c r="G91" s="931"/>
      <c r="H91" s="931"/>
      <c r="I91" s="677">
        <v>0</v>
      </c>
      <c r="J91" s="677">
        <v>0</v>
      </c>
      <c r="K91" s="677">
        <v>0</v>
      </c>
      <c r="L91" s="677">
        <v>0</v>
      </c>
      <c r="M91" s="677">
        <v>0</v>
      </c>
      <c r="O91" s="679">
        <f t="shared" si="10"/>
        <v>0</v>
      </c>
    </row>
    <row r="92" spans="2:15" ht="28.5" customHeight="1" x14ac:dyDescent="0.25">
      <c r="B92" s="1068" t="str">
        <f>"per 31/12/"&amp;$M$35+6</f>
        <v>per 31/12/2020</v>
      </c>
      <c r="C92" s="1069"/>
      <c r="D92" s="1069"/>
      <c r="E92" s="1070"/>
      <c r="F92" s="162"/>
      <c r="G92" s="931"/>
      <c r="H92" s="931"/>
      <c r="I92" s="677">
        <v>0</v>
      </c>
      <c r="J92" s="677">
        <v>0</v>
      </c>
      <c r="K92" s="677">
        <v>0</v>
      </c>
      <c r="L92" s="677">
        <v>0</v>
      </c>
      <c r="M92" s="677">
        <v>0</v>
      </c>
      <c r="O92" s="679">
        <f t="shared" si="10"/>
        <v>0</v>
      </c>
    </row>
    <row r="93" spans="2:15" ht="30" customHeight="1" x14ac:dyDescent="0.25">
      <c r="B93" s="1077" t="s">
        <v>287</v>
      </c>
      <c r="C93" s="1078"/>
      <c r="D93" s="1078"/>
      <c r="E93" s="1079"/>
      <c r="F93" s="162"/>
      <c r="G93" s="930"/>
      <c r="H93" s="930"/>
      <c r="I93" s="686"/>
      <c r="J93" s="686"/>
      <c r="K93" s="686"/>
      <c r="L93" s="686"/>
      <c r="M93" s="686"/>
      <c r="O93" s="686"/>
    </row>
    <row r="94" spans="2:15" ht="28.5" customHeight="1" x14ac:dyDescent="0.25">
      <c r="B94" s="1068" t="str">
        <f>"per 31/12/"&amp;$M$35</f>
        <v>per 31/12/2014</v>
      </c>
      <c r="C94" s="1069"/>
      <c r="D94" s="1069"/>
      <c r="E94" s="1070"/>
      <c r="F94" s="162"/>
      <c r="G94" s="931"/>
      <c r="H94" s="931"/>
      <c r="I94" s="677">
        <v>0</v>
      </c>
      <c r="J94" s="677">
        <v>0</v>
      </c>
      <c r="K94" s="677">
        <v>0</v>
      </c>
      <c r="L94" s="677">
        <v>0</v>
      </c>
      <c r="M94" s="677">
        <v>0</v>
      </c>
      <c r="O94" s="679">
        <f t="shared" ref="O94:O100" si="11">SUM(I94:M94)</f>
        <v>0</v>
      </c>
    </row>
    <row r="95" spans="2:15" ht="28.5" customHeight="1" x14ac:dyDescent="0.25">
      <c r="B95" s="1068" t="str">
        <f>"per 31/12/"&amp;$M$35+1</f>
        <v>per 31/12/2015</v>
      </c>
      <c r="C95" s="1069"/>
      <c r="D95" s="1069"/>
      <c r="E95" s="1070"/>
      <c r="F95" s="162"/>
      <c r="G95" s="931"/>
      <c r="H95" s="931"/>
      <c r="I95" s="677">
        <v>0</v>
      </c>
      <c r="J95" s="677">
        <v>0</v>
      </c>
      <c r="K95" s="677">
        <v>0</v>
      </c>
      <c r="L95" s="677">
        <v>0</v>
      </c>
      <c r="M95" s="677">
        <v>0</v>
      </c>
      <c r="O95" s="679">
        <f t="shared" si="11"/>
        <v>0</v>
      </c>
    </row>
    <row r="96" spans="2:15" ht="28.5" customHeight="1" x14ac:dyDescent="0.25">
      <c r="B96" s="1068" t="str">
        <f>"per 31/12/"&amp;$M$35+2</f>
        <v>per 31/12/2016</v>
      </c>
      <c r="C96" s="1069"/>
      <c r="D96" s="1069"/>
      <c r="E96" s="1070"/>
      <c r="F96" s="162"/>
      <c r="G96" s="931"/>
      <c r="H96" s="931"/>
      <c r="I96" s="677">
        <v>0</v>
      </c>
      <c r="J96" s="677">
        <v>0</v>
      </c>
      <c r="K96" s="677">
        <v>0</v>
      </c>
      <c r="L96" s="677">
        <v>0</v>
      </c>
      <c r="M96" s="677">
        <v>0</v>
      </c>
      <c r="O96" s="679">
        <f t="shared" si="11"/>
        <v>0</v>
      </c>
    </row>
    <row r="97" spans="2:15" ht="28.5" customHeight="1" x14ac:dyDescent="0.25">
      <c r="B97" s="1068" t="str">
        <f>"per 31/12/"&amp;$M$35+3</f>
        <v>per 31/12/2017</v>
      </c>
      <c r="C97" s="1069"/>
      <c r="D97" s="1069"/>
      <c r="E97" s="1070"/>
      <c r="F97" s="162"/>
      <c r="G97" s="931"/>
      <c r="H97" s="931"/>
      <c r="I97" s="677">
        <v>0</v>
      </c>
      <c r="J97" s="677">
        <v>0</v>
      </c>
      <c r="K97" s="677">
        <v>0</v>
      </c>
      <c r="L97" s="677">
        <v>0</v>
      </c>
      <c r="M97" s="677">
        <v>0</v>
      </c>
      <c r="O97" s="679">
        <f t="shared" si="11"/>
        <v>0</v>
      </c>
    </row>
    <row r="98" spans="2:15" ht="28.5" customHeight="1" x14ac:dyDescent="0.25">
      <c r="B98" s="1068" t="str">
        <f>"per 31/12/"&amp;$M$35+4</f>
        <v>per 31/12/2018</v>
      </c>
      <c r="C98" s="1069"/>
      <c r="D98" s="1069"/>
      <c r="E98" s="1070"/>
      <c r="F98" s="162"/>
      <c r="G98" s="931"/>
      <c r="H98" s="931"/>
      <c r="I98" s="677">
        <v>0</v>
      </c>
      <c r="J98" s="677">
        <v>0</v>
      </c>
      <c r="K98" s="677">
        <v>0</v>
      </c>
      <c r="L98" s="677">
        <v>0</v>
      </c>
      <c r="M98" s="677">
        <v>0</v>
      </c>
      <c r="O98" s="679">
        <f t="shared" si="11"/>
        <v>0</v>
      </c>
    </row>
    <row r="99" spans="2:15" ht="28.5" customHeight="1" x14ac:dyDescent="0.25">
      <c r="B99" s="1068" t="str">
        <f>"per 31/12/"&amp;$M$35+5</f>
        <v>per 31/12/2019</v>
      </c>
      <c r="C99" s="1069"/>
      <c r="D99" s="1069"/>
      <c r="E99" s="1070"/>
      <c r="F99" s="162"/>
      <c r="G99" s="931"/>
      <c r="H99" s="931"/>
      <c r="I99" s="677">
        <v>0</v>
      </c>
      <c r="J99" s="677">
        <v>0</v>
      </c>
      <c r="K99" s="677">
        <v>0</v>
      </c>
      <c r="L99" s="677">
        <v>0</v>
      </c>
      <c r="M99" s="677">
        <v>0</v>
      </c>
      <c r="O99" s="679">
        <f t="shared" si="11"/>
        <v>0</v>
      </c>
    </row>
    <row r="100" spans="2:15" ht="28.5" customHeight="1" x14ac:dyDescent="0.25">
      <c r="B100" s="1068" t="str">
        <f>"per 31/12/"&amp;$M$35+6</f>
        <v>per 31/12/2020</v>
      </c>
      <c r="C100" s="1069"/>
      <c r="D100" s="1069"/>
      <c r="E100" s="1070"/>
      <c r="F100" s="162"/>
      <c r="G100" s="931"/>
      <c r="H100" s="931"/>
      <c r="I100" s="677">
        <v>0</v>
      </c>
      <c r="J100" s="677">
        <v>0</v>
      </c>
      <c r="K100" s="677">
        <v>0</v>
      </c>
      <c r="L100" s="677">
        <v>0</v>
      </c>
      <c r="M100" s="677">
        <v>0</v>
      </c>
      <c r="O100" s="679">
        <f t="shared" si="11"/>
        <v>0</v>
      </c>
    </row>
    <row r="101" spans="2:15" ht="33" customHeight="1" x14ac:dyDescent="0.25">
      <c r="B101" s="1077" t="s">
        <v>134</v>
      </c>
      <c r="C101" s="1078"/>
      <c r="D101" s="1078"/>
      <c r="E101" s="1079"/>
      <c r="F101" s="162"/>
      <c r="G101" s="930"/>
      <c r="H101" s="930"/>
      <c r="I101" s="686"/>
      <c r="J101" s="686"/>
      <c r="K101" s="686"/>
      <c r="L101" s="686"/>
      <c r="M101" s="686"/>
      <c r="O101" s="686"/>
    </row>
    <row r="102" spans="2:15" ht="28.5" customHeight="1" x14ac:dyDescent="0.25">
      <c r="B102" s="1068" t="str">
        <f>"per 31/12/"&amp;$M$35</f>
        <v>per 31/12/2014</v>
      </c>
      <c r="C102" s="1069"/>
      <c r="D102" s="1069"/>
      <c r="E102" s="1070"/>
      <c r="F102" s="162"/>
      <c r="G102" s="931"/>
      <c r="H102" s="931"/>
      <c r="I102" s="677">
        <v>0</v>
      </c>
      <c r="J102" s="677">
        <v>0</v>
      </c>
      <c r="K102" s="677">
        <v>0</v>
      </c>
      <c r="L102" s="677">
        <v>0</v>
      </c>
      <c r="M102" s="677">
        <v>0</v>
      </c>
      <c r="O102" s="679">
        <f t="shared" ref="O102:O108" si="12">SUM(I102:M102)</f>
        <v>0</v>
      </c>
    </row>
    <row r="103" spans="2:15" ht="28.5" customHeight="1" x14ac:dyDescent="0.25">
      <c r="B103" s="1068" t="str">
        <f>"per 31/12/"&amp;$M$35+1</f>
        <v>per 31/12/2015</v>
      </c>
      <c r="C103" s="1069"/>
      <c r="D103" s="1069"/>
      <c r="E103" s="1070"/>
      <c r="F103" s="162"/>
      <c r="G103" s="931"/>
      <c r="H103" s="931"/>
      <c r="I103" s="677">
        <v>0</v>
      </c>
      <c r="J103" s="677">
        <v>0</v>
      </c>
      <c r="K103" s="677">
        <v>0</v>
      </c>
      <c r="L103" s="677">
        <v>0</v>
      </c>
      <c r="M103" s="677">
        <v>0</v>
      </c>
      <c r="O103" s="679">
        <f t="shared" si="12"/>
        <v>0</v>
      </c>
    </row>
    <row r="104" spans="2:15" ht="28.5" customHeight="1" x14ac:dyDescent="0.25">
      <c r="B104" s="1068" t="str">
        <f>"per 31/12/"&amp;$M$35+2</f>
        <v>per 31/12/2016</v>
      </c>
      <c r="C104" s="1069"/>
      <c r="D104" s="1069"/>
      <c r="E104" s="1070"/>
      <c r="F104" s="162"/>
      <c r="G104" s="931"/>
      <c r="H104" s="931"/>
      <c r="I104" s="677">
        <v>0</v>
      </c>
      <c r="J104" s="677">
        <v>0</v>
      </c>
      <c r="K104" s="677">
        <v>0</v>
      </c>
      <c r="L104" s="677">
        <v>0</v>
      </c>
      <c r="M104" s="677">
        <v>0</v>
      </c>
      <c r="O104" s="679">
        <f t="shared" si="12"/>
        <v>0</v>
      </c>
    </row>
    <row r="105" spans="2:15" ht="28.5" customHeight="1" x14ac:dyDescent="0.25">
      <c r="B105" s="1068" t="str">
        <f>"per 31/12/"&amp;$M$35+3</f>
        <v>per 31/12/2017</v>
      </c>
      <c r="C105" s="1069"/>
      <c r="D105" s="1069"/>
      <c r="E105" s="1070"/>
      <c r="F105" s="162"/>
      <c r="G105" s="931"/>
      <c r="H105" s="931"/>
      <c r="I105" s="677">
        <v>0</v>
      </c>
      <c r="J105" s="677">
        <v>0</v>
      </c>
      <c r="K105" s="677">
        <v>0</v>
      </c>
      <c r="L105" s="677">
        <v>0</v>
      </c>
      <c r="M105" s="677">
        <v>0</v>
      </c>
      <c r="O105" s="679">
        <f t="shared" si="12"/>
        <v>0</v>
      </c>
    </row>
    <row r="106" spans="2:15" ht="28.5" customHeight="1" x14ac:dyDescent="0.25">
      <c r="B106" s="1068" t="str">
        <f>"per 31/12/"&amp;$M$35+4</f>
        <v>per 31/12/2018</v>
      </c>
      <c r="C106" s="1069"/>
      <c r="D106" s="1069"/>
      <c r="E106" s="1070"/>
      <c r="F106" s="162"/>
      <c r="G106" s="931"/>
      <c r="H106" s="931"/>
      <c r="I106" s="677">
        <v>0</v>
      </c>
      <c r="J106" s="677">
        <v>0</v>
      </c>
      <c r="K106" s="677">
        <v>0</v>
      </c>
      <c r="L106" s="677">
        <v>0</v>
      </c>
      <c r="M106" s="677">
        <v>0</v>
      </c>
      <c r="O106" s="679">
        <f t="shared" si="12"/>
        <v>0</v>
      </c>
    </row>
    <row r="107" spans="2:15" ht="28.5" customHeight="1" x14ac:dyDescent="0.25">
      <c r="B107" s="1068" t="str">
        <f>"per 31/12/"&amp;$M$35+5</f>
        <v>per 31/12/2019</v>
      </c>
      <c r="C107" s="1069"/>
      <c r="D107" s="1069"/>
      <c r="E107" s="1070"/>
      <c r="F107" s="162"/>
      <c r="G107" s="931"/>
      <c r="H107" s="931"/>
      <c r="I107" s="677">
        <v>0</v>
      </c>
      <c r="J107" s="677">
        <v>0</v>
      </c>
      <c r="K107" s="677">
        <v>0</v>
      </c>
      <c r="L107" s="677">
        <v>0</v>
      </c>
      <c r="M107" s="677">
        <v>0</v>
      </c>
      <c r="O107" s="679">
        <f t="shared" si="12"/>
        <v>0</v>
      </c>
    </row>
    <row r="108" spans="2:15" ht="28.5" customHeight="1" x14ac:dyDescent="0.25">
      <c r="B108" s="1068" t="str">
        <f>"per 31/12/"&amp;$M$35+6</f>
        <v>per 31/12/2020</v>
      </c>
      <c r="C108" s="1069"/>
      <c r="D108" s="1069"/>
      <c r="E108" s="1070"/>
      <c r="F108" s="162"/>
      <c r="G108" s="931"/>
      <c r="H108" s="931"/>
      <c r="I108" s="677">
        <v>0</v>
      </c>
      <c r="J108" s="677">
        <v>0</v>
      </c>
      <c r="K108" s="677">
        <v>0</v>
      </c>
      <c r="L108" s="677">
        <v>0</v>
      </c>
      <c r="M108" s="677">
        <v>0</v>
      </c>
      <c r="O108" s="679">
        <f t="shared" si="12"/>
        <v>0</v>
      </c>
    </row>
    <row r="109" spans="2:15" ht="33" customHeight="1" x14ac:dyDescent="0.25">
      <c r="B109" s="1077" t="s">
        <v>276</v>
      </c>
      <c r="C109" s="1078"/>
      <c r="D109" s="1078"/>
      <c r="E109" s="1079"/>
      <c r="F109" s="162"/>
      <c r="G109" s="930"/>
      <c r="H109" s="930"/>
      <c r="I109" s="686"/>
      <c r="J109" s="686"/>
      <c r="K109" s="686"/>
      <c r="L109" s="686"/>
      <c r="M109" s="686"/>
      <c r="O109" s="686"/>
    </row>
    <row r="110" spans="2:15" ht="28.5" customHeight="1" x14ac:dyDescent="0.25">
      <c r="B110" s="1068" t="str">
        <f>"per 31/12/"&amp;$M$35</f>
        <v>per 31/12/2014</v>
      </c>
      <c r="C110" s="1069"/>
      <c r="D110" s="1069"/>
      <c r="E110" s="1070"/>
      <c r="F110" s="162"/>
      <c r="G110" s="931"/>
      <c r="H110" s="931"/>
      <c r="I110" s="677">
        <v>0</v>
      </c>
      <c r="J110" s="677">
        <v>0</v>
      </c>
      <c r="K110" s="677">
        <v>0</v>
      </c>
      <c r="L110" s="677">
        <v>0</v>
      </c>
      <c r="M110" s="677">
        <v>0</v>
      </c>
      <c r="O110" s="679">
        <f t="shared" ref="O110:O115" si="13">SUM(I110:M110)</f>
        <v>0</v>
      </c>
    </row>
    <row r="111" spans="2:15" ht="28.5" customHeight="1" x14ac:dyDescent="0.25">
      <c r="B111" s="1068" t="str">
        <f>"per 31/12/"&amp;$M$35+1</f>
        <v>per 31/12/2015</v>
      </c>
      <c r="C111" s="1069"/>
      <c r="D111" s="1069"/>
      <c r="E111" s="1070"/>
      <c r="F111" s="162"/>
      <c r="G111" s="931"/>
      <c r="H111" s="931"/>
      <c r="I111" s="677">
        <v>0</v>
      </c>
      <c r="J111" s="677">
        <v>0</v>
      </c>
      <c r="K111" s="677">
        <v>0</v>
      </c>
      <c r="L111" s="677">
        <v>0</v>
      </c>
      <c r="M111" s="677">
        <v>0</v>
      </c>
      <c r="O111" s="679">
        <f t="shared" si="13"/>
        <v>0</v>
      </c>
    </row>
    <row r="112" spans="2:15" ht="28.5" customHeight="1" x14ac:dyDescent="0.25">
      <c r="B112" s="1068" t="str">
        <f>"per 31/12/"&amp;$M$35+2</f>
        <v>per 31/12/2016</v>
      </c>
      <c r="C112" s="1069"/>
      <c r="D112" s="1069"/>
      <c r="E112" s="1070"/>
      <c r="F112" s="162"/>
      <c r="G112" s="931"/>
      <c r="H112" s="931"/>
      <c r="I112" s="677">
        <v>0</v>
      </c>
      <c r="J112" s="677">
        <v>0</v>
      </c>
      <c r="K112" s="677">
        <v>0</v>
      </c>
      <c r="L112" s="677">
        <v>0</v>
      </c>
      <c r="M112" s="677">
        <v>0</v>
      </c>
      <c r="O112" s="679">
        <f t="shared" si="13"/>
        <v>0</v>
      </c>
    </row>
    <row r="113" spans="2:15" ht="28.5" customHeight="1" x14ac:dyDescent="0.25">
      <c r="B113" s="1068" t="str">
        <f>"per 31/12/"&amp;$M$35+3</f>
        <v>per 31/12/2017</v>
      </c>
      <c r="C113" s="1069"/>
      <c r="D113" s="1069"/>
      <c r="E113" s="1070"/>
      <c r="F113" s="162"/>
      <c r="G113" s="931"/>
      <c r="H113" s="931"/>
      <c r="I113" s="677">
        <v>0</v>
      </c>
      <c r="J113" s="677">
        <v>0</v>
      </c>
      <c r="K113" s="677">
        <v>0</v>
      </c>
      <c r="L113" s="677">
        <v>0</v>
      </c>
      <c r="M113" s="677">
        <v>0</v>
      </c>
      <c r="O113" s="679">
        <f t="shared" si="13"/>
        <v>0</v>
      </c>
    </row>
    <row r="114" spans="2:15" ht="28.5" customHeight="1" x14ac:dyDescent="0.25">
      <c r="B114" s="1068" t="str">
        <f>"per 31/12/"&amp;$M$35+4</f>
        <v>per 31/12/2018</v>
      </c>
      <c r="C114" s="1069"/>
      <c r="D114" s="1069"/>
      <c r="E114" s="1070"/>
      <c r="F114" s="162"/>
      <c r="G114" s="931"/>
      <c r="H114" s="931"/>
      <c r="I114" s="677">
        <v>0</v>
      </c>
      <c r="J114" s="677">
        <v>0</v>
      </c>
      <c r="K114" s="677">
        <v>0</v>
      </c>
      <c r="L114" s="677">
        <v>0</v>
      </c>
      <c r="M114" s="677">
        <v>0</v>
      </c>
      <c r="O114" s="679">
        <f t="shared" si="13"/>
        <v>0</v>
      </c>
    </row>
    <row r="115" spans="2:15" ht="28.5" customHeight="1" x14ac:dyDescent="0.25">
      <c r="B115" s="1068" t="str">
        <f>"per 31/12/"&amp;$M$35+5</f>
        <v>per 31/12/2019</v>
      </c>
      <c r="C115" s="1069"/>
      <c r="D115" s="1069"/>
      <c r="E115" s="1070"/>
      <c r="F115" s="162"/>
      <c r="G115" s="931"/>
      <c r="H115" s="931"/>
      <c r="I115" s="677">
        <v>0</v>
      </c>
      <c r="J115" s="677">
        <v>0</v>
      </c>
      <c r="K115" s="677">
        <v>0</v>
      </c>
      <c r="L115" s="677">
        <v>0</v>
      </c>
      <c r="M115" s="677">
        <v>0</v>
      </c>
      <c r="O115" s="679">
        <f t="shared" si="13"/>
        <v>0</v>
      </c>
    </row>
    <row r="116" spans="2:15" ht="28.5" customHeight="1" x14ac:dyDescent="0.25">
      <c r="B116" s="1068" t="str">
        <f>"per 31/12/"&amp;$M$35+6</f>
        <v>per 31/12/2020</v>
      </c>
      <c r="C116" s="1069"/>
      <c r="D116" s="1069"/>
      <c r="E116" s="1070"/>
      <c r="F116" s="162"/>
      <c r="G116" s="931"/>
      <c r="H116" s="931"/>
      <c r="I116" s="677">
        <v>0</v>
      </c>
      <c r="J116" s="677">
        <v>0</v>
      </c>
      <c r="K116" s="677">
        <v>0</v>
      </c>
      <c r="L116" s="677">
        <v>0</v>
      </c>
      <c r="M116" s="677">
        <v>0</v>
      </c>
      <c r="O116" s="679">
        <f>SUM(I116:M116)</f>
        <v>0</v>
      </c>
    </row>
    <row r="117" spans="2:15" x14ac:dyDescent="0.25">
      <c r="G117" s="932"/>
      <c r="H117" s="932"/>
      <c r="I117" s="680"/>
      <c r="J117" s="680"/>
      <c r="K117" s="680"/>
      <c r="L117" s="680"/>
      <c r="M117" s="680"/>
      <c r="O117" s="956"/>
    </row>
    <row r="118" spans="2:15" s="381" customFormat="1" ht="13" x14ac:dyDescent="0.3">
      <c r="B118" s="1168"/>
      <c r="C118" s="1168"/>
      <c r="D118" s="1168"/>
      <c r="E118" s="1168"/>
      <c r="G118" s="924"/>
      <c r="H118" s="924"/>
      <c r="I118" s="675">
        <v>2010</v>
      </c>
      <c r="J118" s="675">
        <f t="shared" ref="J118:M118" si="14">+I118+1</f>
        <v>2011</v>
      </c>
      <c r="K118" s="675">
        <f t="shared" si="14"/>
        <v>2012</v>
      </c>
      <c r="L118" s="675">
        <f t="shared" si="14"/>
        <v>2013</v>
      </c>
      <c r="M118" s="675">
        <f t="shared" si="14"/>
        <v>2014</v>
      </c>
      <c r="N118" s="48"/>
      <c r="O118" s="675" t="s">
        <v>31</v>
      </c>
    </row>
    <row r="119" spans="2:15" s="682" customFormat="1" ht="26.25" customHeight="1" x14ac:dyDescent="0.25">
      <c r="B119" s="1179" t="s">
        <v>382</v>
      </c>
      <c r="C119" s="1180"/>
      <c r="D119" s="1180"/>
      <c r="E119" s="1181"/>
      <c r="F119" s="699"/>
      <c r="G119" s="933"/>
      <c r="H119" s="933"/>
      <c r="I119" s="696"/>
      <c r="J119" s="696"/>
      <c r="K119" s="696"/>
      <c r="L119" s="696"/>
      <c r="M119" s="696"/>
      <c r="O119" s="696"/>
    </row>
    <row r="120" spans="2:15" ht="28.5" customHeight="1" x14ac:dyDescent="0.25">
      <c r="B120" s="1063" t="str">
        <f>"per 31/12/"&amp;$M$35</f>
        <v>per 31/12/2014</v>
      </c>
      <c r="C120" s="1064"/>
      <c r="D120" s="1064"/>
      <c r="E120" s="1065"/>
      <c r="F120" s="697"/>
      <c r="G120" s="934"/>
      <c r="H120" s="934"/>
      <c r="I120" s="698">
        <f t="shared" ref="I120:M126" si="15">SUM(I38,I46,I54,I62,I70,I78,I86,I94,I102,I110)</f>
        <v>0</v>
      </c>
      <c r="J120" s="698">
        <f t="shared" si="15"/>
        <v>0</v>
      </c>
      <c r="K120" s="698">
        <f t="shared" si="15"/>
        <v>0</v>
      </c>
      <c r="L120" s="698">
        <f t="shared" si="15"/>
        <v>0</v>
      </c>
      <c r="M120" s="698">
        <f t="shared" si="15"/>
        <v>0</v>
      </c>
      <c r="O120" s="844">
        <f t="shared" ref="O120:O126" si="16">SUM(O38,O46,O54,O62,O70,O78,O86,O94,O102,O110)</f>
        <v>0</v>
      </c>
    </row>
    <row r="121" spans="2:15" ht="28.5" customHeight="1" x14ac:dyDescent="0.25">
      <c r="B121" s="1063" t="str">
        <f>"per 31/12/"&amp;$M$35+1</f>
        <v>per 31/12/2015</v>
      </c>
      <c r="C121" s="1064"/>
      <c r="D121" s="1064"/>
      <c r="E121" s="1065"/>
      <c r="F121" s="697"/>
      <c r="G121" s="934"/>
      <c r="H121" s="934"/>
      <c r="I121" s="698">
        <f t="shared" si="15"/>
        <v>0</v>
      </c>
      <c r="J121" s="698">
        <f t="shared" si="15"/>
        <v>0</v>
      </c>
      <c r="K121" s="698">
        <f t="shared" si="15"/>
        <v>0</v>
      </c>
      <c r="L121" s="698">
        <f t="shared" si="15"/>
        <v>0</v>
      </c>
      <c r="M121" s="698">
        <f t="shared" si="15"/>
        <v>0</v>
      </c>
      <c r="O121" s="844">
        <f t="shared" si="16"/>
        <v>0</v>
      </c>
    </row>
    <row r="122" spans="2:15" ht="28.5" customHeight="1" x14ac:dyDescent="0.25">
      <c r="B122" s="1063" t="str">
        <f>"per 31/12/"&amp;$M$35+2</f>
        <v>per 31/12/2016</v>
      </c>
      <c r="C122" s="1064"/>
      <c r="D122" s="1064"/>
      <c r="E122" s="1065"/>
      <c r="F122" s="697"/>
      <c r="G122" s="934"/>
      <c r="H122" s="934"/>
      <c r="I122" s="698">
        <f t="shared" si="15"/>
        <v>0</v>
      </c>
      <c r="J122" s="698">
        <f t="shared" si="15"/>
        <v>0</v>
      </c>
      <c r="K122" s="698">
        <f t="shared" si="15"/>
        <v>0</v>
      </c>
      <c r="L122" s="698">
        <f t="shared" si="15"/>
        <v>0</v>
      </c>
      <c r="M122" s="698">
        <f t="shared" si="15"/>
        <v>0</v>
      </c>
      <c r="O122" s="844">
        <f t="shared" si="16"/>
        <v>0</v>
      </c>
    </row>
    <row r="123" spans="2:15" ht="28.5" customHeight="1" x14ac:dyDescent="0.25">
      <c r="B123" s="1063" t="str">
        <f>"per 31/12/"&amp;$M$35+3</f>
        <v>per 31/12/2017</v>
      </c>
      <c r="C123" s="1064"/>
      <c r="D123" s="1064"/>
      <c r="E123" s="1065"/>
      <c r="F123" s="697"/>
      <c r="G123" s="934"/>
      <c r="H123" s="934"/>
      <c r="I123" s="698">
        <f t="shared" si="15"/>
        <v>0</v>
      </c>
      <c r="J123" s="698">
        <f t="shared" si="15"/>
        <v>0</v>
      </c>
      <c r="K123" s="698">
        <f t="shared" si="15"/>
        <v>0</v>
      </c>
      <c r="L123" s="698">
        <f t="shared" si="15"/>
        <v>0</v>
      </c>
      <c r="M123" s="698">
        <f t="shared" si="15"/>
        <v>0</v>
      </c>
      <c r="O123" s="844">
        <f t="shared" si="16"/>
        <v>0</v>
      </c>
    </row>
    <row r="124" spans="2:15" ht="28.5" customHeight="1" x14ac:dyDescent="0.25">
      <c r="B124" s="1063" t="str">
        <f>"per 31/12/"&amp;$M$35+4</f>
        <v>per 31/12/2018</v>
      </c>
      <c r="C124" s="1064"/>
      <c r="D124" s="1064"/>
      <c r="E124" s="1065"/>
      <c r="F124" s="697"/>
      <c r="G124" s="934"/>
      <c r="H124" s="934"/>
      <c r="I124" s="698">
        <f t="shared" si="15"/>
        <v>0</v>
      </c>
      <c r="J124" s="698">
        <f t="shared" si="15"/>
        <v>0</v>
      </c>
      <c r="K124" s="698">
        <f t="shared" si="15"/>
        <v>0</v>
      </c>
      <c r="L124" s="698">
        <f t="shared" si="15"/>
        <v>0</v>
      </c>
      <c r="M124" s="698">
        <f t="shared" si="15"/>
        <v>0</v>
      </c>
      <c r="O124" s="844">
        <f t="shared" si="16"/>
        <v>0</v>
      </c>
    </row>
    <row r="125" spans="2:15" ht="28.5" customHeight="1" x14ac:dyDescent="0.25">
      <c r="B125" s="1063" t="str">
        <f>"per 31/12/"&amp;$M$35+5</f>
        <v>per 31/12/2019</v>
      </c>
      <c r="C125" s="1064"/>
      <c r="D125" s="1064"/>
      <c r="E125" s="1065"/>
      <c r="F125" s="697"/>
      <c r="G125" s="934"/>
      <c r="H125" s="934"/>
      <c r="I125" s="698">
        <f t="shared" si="15"/>
        <v>0</v>
      </c>
      <c r="J125" s="698">
        <f t="shared" si="15"/>
        <v>0</v>
      </c>
      <c r="K125" s="698">
        <f t="shared" si="15"/>
        <v>0</v>
      </c>
      <c r="L125" s="698">
        <f t="shared" si="15"/>
        <v>0</v>
      </c>
      <c r="M125" s="698">
        <f t="shared" si="15"/>
        <v>0</v>
      </c>
      <c r="O125" s="844">
        <f t="shared" si="16"/>
        <v>0</v>
      </c>
    </row>
    <row r="126" spans="2:15" ht="28.5" customHeight="1" x14ac:dyDescent="0.25">
      <c r="B126" s="1063" t="str">
        <f>"per 31/12/"&amp;$M$35+6</f>
        <v>per 31/12/2020</v>
      </c>
      <c r="C126" s="1064"/>
      <c r="D126" s="1064"/>
      <c r="E126" s="1065"/>
      <c r="F126" s="697"/>
      <c r="G126" s="934"/>
      <c r="H126" s="934"/>
      <c r="I126" s="698">
        <f t="shared" si="15"/>
        <v>0</v>
      </c>
      <c r="J126" s="698">
        <f t="shared" si="15"/>
        <v>0</v>
      </c>
      <c r="K126" s="698">
        <f t="shared" si="15"/>
        <v>0</v>
      </c>
      <c r="L126" s="698">
        <f t="shared" si="15"/>
        <v>0</v>
      </c>
      <c r="M126" s="698">
        <f t="shared" si="15"/>
        <v>0</v>
      </c>
      <c r="O126" s="844">
        <f t="shared" si="16"/>
        <v>0</v>
      </c>
    </row>
    <row r="127" spans="2:15" s="381" customFormat="1" ht="13" x14ac:dyDescent="0.3">
      <c r="B127" s="1066"/>
      <c r="C127" s="1066"/>
      <c r="D127" s="1066"/>
      <c r="E127" s="1066"/>
      <c r="G127" s="694"/>
      <c r="H127" s="694"/>
      <c r="I127" s="694"/>
      <c r="J127" s="694"/>
      <c r="K127" s="694"/>
      <c r="L127" s="694"/>
      <c r="M127" s="694"/>
      <c r="O127" s="694"/>
    </row>
    <row r="128" spans="2:15" s="381" customFormat="1" ht="13" x14ac:dyDescent="0.3">
      <c r="B128" s="746"/>
      <c r="C128" s="746"/>
      <c r="D128" s="746"/>
      <c r="E128" s="746"/>
      <c r="G128" s="694"/>
      <c r="H128" s="694"/>
      <c r="I128" s="694"/>
      <c r="J128" s="694"/>
      <c r="K128" s="694"/>
      <c r="L128" s="694"/>
      <c r="M128" s="694"/>
      <c r="O128" s="694"/>
    </row>
    <row r="129" spans="2:15" ht="13" x14ac:dyDescent="0.3">
      <c r="G129" s="434" t="s">
        <v>339</v>
      </c>
    </row>
    <row r="130" spans="2:15" ht="13" x14ac:dyDescent="0.3">
      <c r="G130" s="434" t="s">
        <v>145</v>
      </c>
    </row>
    <row r="131" spans="2:15" s="48" customFormat="1" ht="60" customHeight="1" x14ac:dyDescent="0.25">
      <c r="B131" s="1060" t="s">
        <v>383</v>
      </c>
      <c r="C131" s="1061"/>
      <c r="D131" s="1061"/>
      <c r="E131" s="1062"/>
      <c r="F131" s="162"/>
      <c r="G131" s="675" t="s">
        <v>385</v>
      </c>
      <c r="H131" s="675" t="s">
        <v>385</v>
      </c>
      <c r="I131" s="675">
        <v>2010</v>
      </c>
      <c r="J131" s="675">
        <f t="shared" ref="J131:M131" si="17">+I131+1</f>
        <v>2011</v>
      </c>
      <c r="K131" s="675">
        <f t="shared" si="17"/>
        <v>2012</v>
      </c>
      <c r="L131" s="675">
        <f t="shared" si="17"/>
        <v>2013</v>
      </c>
      <c r="M131" s="675">
        <f t="shared" si="17"/>
        <v>2014</v>
      </c>
      <c r="O131" s="675" t="s">
        <v>31</v>
      </c>
    </row>
    <row r="132" spans="2:15" s="130" customFormat="1" ht="12" customHeight="1" x14ac:dyDescent="0.25">
      <c r="B132" s="384"/>
      <c r="C132" s="384"/>
      <c r="D132" s="384"/>
      <c r="E132" s="384"/>
      <c r="F132" s="385"/>
      <c r="G132" s="925"/>
      <c r="H132" s="926"/>
      <c r="I132" s="387"/>
      <c r="O132" s="714"/>
    </row>
    <row r="133" spans="2:15" ht="36" customHeight="1" x14ac:dyDescent="0.25">
      <c r="B133" s="1077" t="s">
        <v>131</v>
      </c>
      <c r="C133" s="1078"/>
      <c r="D133" s="1078"/>
      <c r="E133" s="1079"/>
      <c r="F133" s="162"/>
      <c r="G133" s="930"/>
      <c r="H133" s="930"/>
      <c r="I133" s="686"/>
      <c r="J133" s="686"/>
      <c r="K133" s="686"/>
      <c r="L133" s="686"/>
      <c r="M133" s="686"/>
      <c r="O133" s="686"/>
    </row>
    <row r="134" spans="2:15" ht="28.5" customHeight="1" x14ac:dyDescent="0.25">
      <c r="B134" s="1068" t="str">
        <f>"per 31/12/"&amp;$M$35</f>
        <v>per 31/12/2014</v>
      </c>
      <c r="C134" s="1069"/>
      <c r="D134" s="1069"/>
      <c r="E134" s="1070"/>
      <c r="F134" s="162"/>
      <c r="G134" s="935"/>
      <c r="H134" s="935"/>
      <c r="I134" s="684">
        <f>+$I$19+I38</f>
        <v>0</v>
      </c>
      <c r="J134" s="684">
        <f>+$J$19+J38</f>
        <v>0</v>
      </c>
      <c r="K134" s="684">
        <f>+$K$19+K38</f>
        <v>0</v>
      </c>
      <c r="L134" s="684">
        <f>+$L$19+L38</f>
        <v>0</v>
      </c>
      <c r="M134" s="684">
        <f>+$M$19+M38</f>
        <v>0</v>
      </c>
      <c r="O134" s="679">
        <f t="shared" ref="O134:O140" si="18">SUM(I134:M134)</f>
        <v>0</v>
      </c>
    </row>
    <row r="135" spans="2:15" ht="28.5" customHeight="1" x14ac:dyDescent="0.25">
      <c r="B135" s="1068" t="str">
        <f>"per 31/12/"&amp;$M$35+1</f>
        <v>per 31/12/2015</v>
      </c>
      <c r="C135" s="1069"/>
      <c r="D135" s="1069"/>
      <c r="E135" s="1070"/>
      <c r="F135" s="162"/>
      <c r="G135" s="935"/>
      <c r="H135" s="935"/>
      <c r="I135" s="684">
        <f t="shared" ref="I135:M135" si="19">+I134+I39</f>
        <v>0</v>
      </c>
      <c r="J135" s="684">
        <f t="shared" si="19"/>
        <v>0</v>
      </c>
      <c r="K135" s="684">
        <f t="shared" si="19"/>
        <v>0</v>
      </c>
      <c r="L135" s="684">
        <f t="shared" si="19"/>
        <v>0</v>
      </c>
      <c r="M135" s="684">
        <f t="shared" si="19"/>
        <v>0</v>
      </c>
      <c r="O135" s="679">
        <f t="shared" si="18"/>
        <v>0</v>
      </c>
    </row>
    <row r="136" spans="2:15" ht="28.5" customHeight="1" x14ac:dyDescent="0.25">
      <c r="B136" s="1068" t="str">
        <f>"per 31/12/"&amp;$M$35+2</f>
        <v>per 31/12/2016</v>
      </c>
      <c r="C136" s="1069"/>
      <c r="D136" s="1069"/>
      <c r="E136" s="1070"/>
      <c r="F136" s="162"/>
      <c r="G136" s="935"/>
      <c r="H136" s="935"/>
      <c r="I136" s="684">
        <f t="shared" ref="I136:M136" si="20">+I135+I40</f>
        <v>0</v>
      </c>
      <c r="J136" s="684">
        <f t="shared" si="20"/>
        <v>0</v>
      </c>
      <c r="K136" s="684">
        <f t="shared" si="20"/>
        <v>0</v>
      </c>
      <c r="L136" s="684">
        <f t="shared" si="20"/>
        <v>0</v>
      </c>
      <c r="M136" s="684">
        <f t="shared" si="20"/>
        <v>0</v>
      </c>
      <c r="O136" s="679">
        <f t="shared" si="18"/>
        <v>0</v>
      </c>
    </row>
    <row r="137" spans="2:15" ht="28.5" customHeight="1" x14ac:dyDescent="0.25">
      <c r="B137" s="1068" t="str">
        <f>"per 31/12/"&amp;$M$35+3</f>
        <v>per 31/12/2017</v>
      </c>
      <c r="C137" s="1069"/>
      <c r="D137" s="1069"/>
      <c r="E137" s="1070"/>
      <c r="F137" s="162"/>
      <c r="G137" s="935"/>
      <c r="H137" s="935"/>
      <c r="I137" s="684">
        <f t="shared" ref="I137:M137" si="21">+I136+I41</f>
        <v>0</v>
      </c>
      <c r="J137" s="684">
        <f t="shared" si="21"/>
        <v>0</v>
      </c>
      <c r="K137" s="684">
        <f t="shared" si="21"/>
        <v>0</v>
      </c>
      <c r="L137" s="684">
        <f t="shared" si="21"/>
        <v>0</v>
      </c>
      <c r="M137" s="684">
        <f t="shared" si="21"/>
        <v>0</v>
      </c>
      <c r="O137" s="679">
        <f t="shared" si="18"/>
        <v>0</v>
      </c>
    </row>
    <row r="138" spans="2:15" ht="28.5" customHeight="1" x14ac:dyDescent="0.25">
      <c r="B138" s="1068" t="str">
        <f>"per 31/12/"&amp;$M$35+4</f>
        <v>per 31/12/2018</v>
      </c>
      <c r="C138" s="1069"/>
      <c r="D138" s="1069"/>
      <c r="E138" s="1070"/>
      <c r="F138" s="162"/>
      <c r="G138" s="935"/>
      <c r="H138" s="935"/>
      <c r="I138" s="684">
        <f t="shared" ref="I138:M138" si="22">+I137+I42</f>
        <v>0</v>
      </c>
      <c r="J138" s="684">
        <f t="shared" si="22"/>
        <v>0</v>
      </c>
      <c r="K138" s="684">
        <f t="shared" si="22"/>
        <v>0</v>
      </c>
      <c r="L138" s="684">
        <f t="shared" si="22"/>
        <v>0</v>
      </c>
      <c r="M138" s="684">
        <f t="shared" si="22"/>
        <v>0</v>
      </c>
      <c r="O138" s="679">
        <f t="shared" si="18"/>
        <v>0</v>
      </c>
    </row>
    <row r="139" spans="2:15" ht="28.5" customHeight="1" x14ac:dyDescent="0.25">
      <c r="B139" s="1068" t="str">
        <f>"per 31/12/"&amp;$M$35+5</f>
        <v>per 31/12/2019</v>
      </c>
      <c r="C139" s="1069"/>
      <c r="D139" s="1069"/>
      <c r="E139" s="1070"/>
      <c r="F139" s="162"/>
      <c r="G139" s="935"/>
      <c r="H139" s="935"/>
      <c r="I139" s="684">
        <f t="shared" ref="I139:M139" si="23">+I138+I43</f>
        <v>0</v>
      </c>
      <c r="J139" s="684">
        <f t="shared" si="23"/>
        <v>0</v>
      </c>
      <c r="K139" s="684">
        <f t="shared" si="23"/>
        <v>0</v>
      </c>
      <c r="L139" s="684">
        <f t="shared" si="23"/>
        <v>0</v>
      </c>
      <c r="M139" s="684">
        <f t="shared" si="23"/>
        <v>0</v>
      </c>
      <c r="O139" s="679">
        <f t="shared" si="18"/>
        <v>0</v>
      </c>
    </row>
    <row r="140" spans="2:15" ht="28.5" customHeight="1" x14ac:dyDescent="0.25">
      <c r="B140" s="1068" t="str">
        <f>"per 31/12/"&amp;$M$35+6</f>
        <v>per 31/12/2020</v>
      </c>
      <c r="C140" s="1069"/>
      <c r="D140" s="1069"/>
      <c r="E140" s="1070"/>
      <c r="F140" s="162"/>
      <c r="G140" s="935"/>
      <c r="H140" s="935"/>
      <c r="I140" s="684">
        <f t="shared" ref="I140:M140" si="24">+I139+I44</f>
        <v>0</v>
      </c>
      <c r="J140" s="684">
        <f t="shared" si="24"/>
        <v>0</v>
      </c>
      <c r="K140" s="684">
        <f t="shared" si="24"/>
        <v>0</v>
      </c>
      <c r="L140" s="684">
        <f t="shared" si="24"/>
        <v>0</v>
      </c>
      <c r="M140" s="684">
        <f t="shared" si="24"/>
        <v>0</v>
      </c>
      <c r="O140" s="679">
        <f t="shared" si="18"/>
        <v>0</v>
      </c>
    </row>
    <row r="141" spans="2:15" ht="27.75" customHeight="1" x14ac:dyDescent="0.25">
      <c r="B141" s="1077" t="s">
        <v>132</v>
      </c>
      <c r="C141" s="1078"/>
      <c r="D141" s="1078"/>
      <c r="E141" s="1079"/>
      <c r="F141" s="162"/>
      <c r="G141" s="930"/>
      <c r="H141" s="930"/>
      <c r="I141" s="686"/>
      <c r="J141" s="686"/>
      <c r="K141" s="686"/>
      <c r="L141" s="686"/>
      <c r="M141" s="686"/>
      <c r="O141" s="686"/>
    </row>
    <row r="142" spans="2:15" ht="28.5" customHeight="1" x14ac:dyDescent="0.25">
      <c r="B142" s="1068" t="str">
        <f>"per 31/12/"&amp;$M$35</f>
        <v>per 31/12/2014</v>
      </c>
      <c r="C142" s="1069"/>
      <c r="D142" s="1069"/>
      <c r="E142" s="1070"/>
      <c r="F142" s="162"/>
      <c r="G142" s="935"/>
      <c r="H142" s="935"/>
      <c r="I142" s="684">
        <f>+$I$20+I46</f>
        <v>0</v>
      </c>
      <c r="J142" s="684">
        <f>+$J$20+J46</f>
        <v>0</v>
      </c>
      <c r="K142" s="684">
        <f>+$K$20+K46</f>
        <v>0</v>
      </c>
      <c r="L142" s="684">
        <f>+$L$20+L46</f>
        <v>0</v>
      </c>
      <c r="M142" s="684">
        <f>+$M$20+M46</f>
        <v>0</v>
      </c>
      <c r="O142" s="679">
        <f t="shared" ref="O142:O148" si="25">SUM(I142:M142)</f>
        <v>0</v>
      </c>
    </row>
    <row r="143" spans="2:15" ht="28.5" customHeight="1" x14ac:dyDescent="0.25">
      <c r="B143" s="1068" t="str">
        <f>"per 31/12/"&amp;$M$35+1</f>
        <v>per 31/12/2015</v>
      </c>
      <c r="C143" s="1069"/>
      <c r="D143" s="1069"/>
      <c r="E143" s="1070"/>
      <c r="F143" s="162"/>
      <c r="G143" s="935"/>
      <c r="H143" s="935"/>
      <c r="I143" s="684">
        <f t="shared" ref="I143:M143" si="26">+I142+I47</f>
        <v>0</v>
      </c>
      <c r="J143" s="684">
        <f t="shared" si="26"/>
        <v>0</v>
      </c>
      <c r="K143" s="684">
        <f t="shared" si="26"/>
        <v>0</v>
      </c>
      <c r="L143" s="684">
        <f t="shared" si="26"/>
        <v>0</v>
      </c>
      <c r="M143" s="684">
        <f t="shared" si="26"/>
        <v>0</v>
      </c>
      <c r="O143" s="679">
        <f t="shared" si="25"/>
        <v>0</v>
      </c>
    </row>
    <row r="144" spans="2:15" ht="28.5" customHeight="1" x14ac:dyDescent="0.25">
      <c r="B144" s="1068" t="str">
        <f>"per 31/12/"&amp;$M$35+2</f>
        <v>per 31/12/2016</v>
      </c>
      <c r="C144" s="1069"/>
      <c r="D144" s="1069"/>
      <c r="E144" s="1070"/>
      <c r="F144" s="162"/>
      <c r="G144" s="935"/>
      <c r="H144" s="935"/>
      <c r="I144" s="684">
        <f t="shared" ref="I144:M144" si="27">+I143+I48</f>
        <v>0</v>
      </c>
      <c r="J144" s="684">
        <f t="shared" si="27"/>
        <v>0</v>
      </c>
      <c r="K144" s="684">
        <f t="shared" si="27"/>
        <v>0</v>
      </c>
      <c r="L144" s="684">
        <f t="shared" si="27"/>
        <v>0</v>
      </c>
      <c r="M144" s="684">
        <f t="shared" si="27"/>
        <v>0</v>
      </c>
      <c r="O144" s="679">
        <f t="shared" si="25"/>
        <v>0</v>
      </c>
    </row>
    <row r="145" spans="2:15" ht="28.5" customHeight="1" x14ac:dyDescent="0.25">
      <c r="B145" s="1068" t="str">
        <f>"per 31/12/"&amp;$M$35+3</f>
        <v>per 31/12/2017</v>
      </c>
      <c r="C145" s="1069"/>
      <c r="D145" s="1069"/>
      <c r="E145" s="1070"/>
      <c r="F145" s="162"/>
      <c r="G145" s="935"/>
      <c r="H145" s="935"/>
      <c r="I145" s="684">
        <f t="shared" ref="I145:M145" si="28">+I144+I49</f>
        <v>0</v>
      </c>
      <c r="J145" s="684">
        <f t="shared" si="28"/>
        <v>0</v>
      </c>
      <c r="K145" s="684">
        <f t="shared" si="28"/>
        <v>0</v>
      </c>
      <c r="L145" s="684">
        <f t="shared" si="28"/>
        <v>0</v>
      </c>
      <c r="M145" s="684">
        <f t="shared" si="28"/>
        <v>0</v>
      </c>
      <c r="O145" s="679">
        <f t="shared" si="25"/>
        <v>0</v>
      </c>
    </row>
    <row r="146" spans="2:15" ht="28.5" customHeight="1" x14ac:dyDescent="0.25">
      <c r="B146" s="1068" t="str">
        <f>"per 31/12/"&amp;$M$35+4</f>
        <v>per 31/12/2018</v>
      </c>
      <c r="C146" s="1069"/>
      <c r="D146" s="1069"/>
      <c r="E146" s="1070"/>
      <c r="F146" s="162"/>
      <c r="G146" s="935"/>
      <c r="H146" s="935"/>
      <c r="I146" s="684">
        <f t="shared" ref="I146:M146" si="29">+I145+I50</f>
        <v>0</v>
      </c>
      <c r="J146" s="684">
        <f t="shared" si="29"/>
        <v>0</v>
      </c>
      <c r="K146" s="684">
        <f t="shared" si="29"/>
        <v>0</v>
      </c>
      <c r="L146" s="684">
        <f t="shared" si="29"/>
        <v>0</v>
      </c>
      <c r="M146" s="684">
        <f t="shared" si="29"/>
        <v>0</v>
      </c>
      <c r="O146" s="679">
        <f t="shared" si="25"/>
        <v>0</v>
      </c>
    </row>
    <row r="147" spans="2:15" ht="28.5" customHeight="1" x14ac:dyDescent="0.25">
      <c r="B147" s="1068" t="str">
        <f>"per 31/12/"&amp;$M$35+5</f>
        <v>per 31/12/2019</v>
      </c>
      <c r="C147" s="1069"/>
      <c r="D147" s="1069"/>
      <c r="E147" s="1070"/>
      <c r="F147" s="162"/>
      <c r="G147" s="935"/>
      <c r="H147" s="935"/>
      <c r="I147" s="684">
        <f t="shared" ref="I147:M147" si="30">+I146+I51</f>
        <v>0</v>
      </c>
      <c r="J147" s="684">
        <f t="shared" si="30"/>
        <v>0</v>
      </c>
      <c r="K147" s="684">
        <f t="shared" si="30"/>
        <v>0</v>
      </c>
      <c r="L147" s="684">
        <f t="shared" si="30"/>
        <v>0</v>
      </c>
      <c r="M147" s="684">
        <f t="shared" si="30"/>
        <v>0</v>
      </c>
      <c r="O147" s="679">
        <f t="shared" si="25"/>
        <v>0</v>
      </c>
    </row>
    <row r="148" spans="2:15" ht="28.5" customHeight="1" x14ac:dyDescent="0.25">
      <c r="B148" s="1068" t="str">
        <f>"per 31/12/"&amp;$M$35+6</f>
        <v>per 31/12/2020</v>
      </c>
      <c r="C148" s="1069"/>
      <c r="D148" s="1069"/>
      <c r="E148" s="1070"/>
      <c r="F148" s="162"/>
      <c r="G148" s="935"/>
      <c r="H148" s="935"/>
      <c r="I148" s="684">
        <f t="shared" ref="I148:M148" si="31">+I147+I52</f>
        <v>0</v>
      </c>
      <c r="J148" s="684">
        <f t="shared" si="31"/>
        <v>0</v>
      </c>
      <c r="K148" s="684">
        <f t="shared" si="31"/>
        <v>0</v>
      </c>
      <c r="L148" s="684">
        <f t="shared" si="31"/>
        <v>0</v>
      </c>
      <c r="M148" s="684">
        <f t="shared" si="31"/>
        <v>0</v>
      </c>
      <c r="O148" s="679">
        <f t="shared" si="25"/>
        <v>0</v>
      </c>
    </row>
    <row r="149" spans="2:15" ht="27.75" customHeight="1" x14ac:dyDescent="0.25">
      <c r="B149" s="1077" t="s">
        <v>275</v>
      </c>
      <c r="C149" s="1078"/>
      <c r="D149" s="1078"/>
      <c r="E149" s="1079"/>
      <c r="F149" s="162"/>
      <c r="G149" s="930"/>
      <c r="H149" s="930"/>
      <c r="I149" s="686"/>
      <c r="J149" s="686"/>
      <c r="K149" s="686"/>
      <c r="L149" s="686"/>
      <c r="M149" s="686"/>
      <c r="O149" s="686"/>
    </row>
    <row r="150" spans="2:15" ht="28.5" customHeight="1" x14ac:dyDescent="0.25">
      <c r="B150" s="1068" t="str">
        <f>"per 31/12/"&amp;$M$35</f>
        <v>per 31/12/2014</v>
      </c>
      <c r="C150" s="1069"/>
      <c r="D150" s="1069"/>
      <c r="E150" s="1070"/>
      <c r="F150" s="162"/>
      <c r="G150" s="935"/>
      <c r="H150" s="935"/>
      <c r="I150" s="684">
        <f>+$I$21+I54</f>
        <v>0</v>
      </c>
      <c r="J150" s="684">
        <f>+$J$21+J54</f>
        <v>0</v>
      </c>
      <c r="K150" s="684">
        <f>+$K$21+K54</f>
        <v>0</v>
      </c>
      <c r="L150" s="684">
        <f>+$L$21+L54</f>
        <v>0</v>
      </c>
      <c r="M150" s="684">
        <f>+$M$21+M54</f>
        <v>0</v>
      </c>
      <c r="O150" s="679">
        <f t="shared" ref="O150:O156" si="32">SUM(I150:M150)</f>
        <v>0</v>
      </c>
    </row>
    <row r="151" spans="2:15" ht="28.5" customHeight="1" x14ac:dyDescent="0.25">
      <c r="B151" s="1068" t="str">
        <f>"per 31/12/"&amp;$M$35+1</f>
        <v>per 31/12/2015</v>
      </c>
      <c r="C151" s="1069"/>
      <c r="D151" s="1069"/>
      <c r="E151" s="1070"/>
      <c r="F151" s="162"/>
      <c r="G151" s="935"/>
      <c r="H151" s="935"/>
      <c r="I151" s="684">
        <f t="shared" ref="I151:M151" si="33">+I150+I55</f>
        <v>0</v>
      </c>
      <c r="J151" s="684">
        <f t="shared" si="33"/>
        <v>0</v>
      </c>
      <c r="K151" s="684">
        <f t="shared" si="33"/>
        <v>0</v>
      </c>
      <c r="L151" s="684">
        <f t="shared" si="33"/>
        <v>0</v>
      </c>
      <c r="M151" s="684">
        <f t="shared" si="33"/>
        <v>0</v>
      </c>
      <c r="O151" s="679">
        <f t="shared" si="32"/>
        <v>0</v>
      </c>
    </row>
    <row r="152" spans="2:15" ht="28.5" customHeight="1" x14ac:dyDescent="0.25">
      <c r="B152" s="1068" t="str">
        <f>"per 31/12/"&amp;$M$35+2</f>
        <v>per 31/12/2016</v>
      </c>
      <c r="C152" s="1069"/>
      <c r="D152" s="1069"/>
      <c r="E152" s="1070"/>
      <c r="F152" s="162"/>
      <c r="G152" s="935"/>
      <c r="H152" s="935"/>
      <c r="I152" s="684">
        <f t="shared" ref="I152:M152" si="34">+I151+I56</f>
        <v>0</v>
      </c>
      <c r="J152" s="684">
        <f t="shared" si="34"/>
        <v>0</v>
      </c>
      <c r="K152" s="684">
        <f t="shared" si="34"/>
        <v>0</v>
      </c>
      <c r="L152" s="684">
        <f t="shared" si="34"/>
        <v>0</v>
      </c>
      <c r="M152" s="684">
        <f t="shared" si="34"/>
        <v>0</v>
      </c>
      <c r="O152" s="679">
        <f t="shared" si="32"/>
        <v>0</v>
      </c>
    </row>
    <row r="153" spans="2:15" ht="28.5" customHeight="1" x14ac:dyDescent="0.25">
      <c r="B153" s="1068" t="str">
        <f>"per 31/12/"&amp;$M$35+3</f>
        <v>per 31/12/2017</v>
      </c>
      <c r="C153" s="1069"/>
      <c r="D153" s="1069"/>
      <c r="E153" s="1070"/>
      <c r="F153" s="162"/>
      <c r="G153" s="935"/>
      <c r="H153" s="935"/>
      <c r="I153" s="684">
        <f t="shared" ref="I153:M153" si="35">+I152+I57</f>
        <v>0</v>
      </c>
      <c r="J153" s="684">
        <f t="shared" si="35"/>
        <v>0</v>
      </c>
      <c r="K153" s="684">
        <f t="shared" si="35"/>
        <v>0</v>
      </c>
      <c r="L153" s="684">
        <f t="shared" si="35"/>
        <v>0</v>
      </c>
      <c r="M153" s="684">
        <f t="shared" si="35"/>
        <v>0</v>
      </c>
      <c r="O153" s="679">
        <f t="shared" si="32"/>
        <v>0</v>
      </c>
    </row>
    <row r="154" spans="2:15" ht="28.5" customHeight="1" x14ac:dyDescent="0.25">
      <c r="B154" s="1068" t="str">
        <f>"per 31/12/"&amp;$M$35+4</f>
        <v>per 31/12/2018</v>
      </c>
      <c r="C154" s="1069"/>
      <c r="D154" s="1069"/>
      <c r="E154" s="1070"/>
      <c r="F154" s="162"/>
      <c r="G154" s="935"/>
      <c r="H154" s="935"/>
      <c r="I154" s="684">
        <f t="shared" ref="I154:M154" si="36">+I153+I58</f>
        <v>0</v>
      </c>
      <c r="J154" s="684">
        <f t="shared" si="36"/>
        <v>0</v>
      </c>
      <c r="K154" s="684">
        <f t="shared" si="36"/>
        <v>0</v>
      </c>
      <c r="L154" s="684">
        <f t="shared" si="36"/>
        <v>0</v>
      </c>
      <c r="M154" s="684">
        <f t="shared" si="36"/>
        <v>0</v>
      </c>
      <c r="O154" s="679">
        <f t="shared" si="32"/>
        <v>0</v>
      </c>
    </row>
    <row r="155" spans="2:15" ht="28.5" customHeight="1" x14ac:dyDescent="0.25">
      <c r="B155" s="1068" t="str">
        <f>"per 31/12/"&amp;$M$35+5</f>
        <v>per 31/12/2019</v>
      </c>
      <c r="C155" s="1069"/>
      <c r="D155" s="1069"/>
      <c r="E155" s="1070"/>
      <c r="F155" s="162"/>
      <c r="G155" s="935"/>
      <c r="H155" s="935"/>
      <c r="I155" s="684">
        <f t="shared" ref="I155:M155" si="37">+I154+I59</f>
        <v>0</v>
      </c>
      <c r="J155" s="684">
        <f t="shared" si="37"/>
        <v>0</v>
      </c>
      <c r="K155" s="684">
        <f t="shared" si="37"/>
        <v>0</v>
      </c>
      <c r="L155" s="684">
        <f t="shared" si="37"/>
        <v>0</v>
      </c>
      <c r="M155" s="684">
        <f t="shared" si="37"/>
        <v>0</v>
      </c>
      <c r="O155" s="679">
        <f t="shared" si="32"/>
        <v>0</v>
      </c>
    </row>
    <row r="156" spans="2:15" ht="28.5" customHeight="1" x14ac:dyDescent="0.25">
      <c r="B156" s="1068" t="str">
        <f>"per 31/12/"&amp;$M$35+6</f>
        <v>per 31/12/2020</v>
      </c>
      <c r="C156" s="1069"/>
      <c r="D156" s="1069"/>
      <c r="E156" s="1070"/>
      <c r="F156" s="162"/>
      <c r="G156" s="935"/>
      <c r="H156" s="935"/>
      <c r="I156" s="684">
        <f t="shared" ref="I156:M156" si="38">+I155+I60</f>
        <v>0</v>
      </c>
      <c r="J156" s="684">
        <f t="shared" si="38"/>
        <v>0</v>
      </c>
      <c r="K156" s="684">
        <f t="shared" si="38"/>
        <v>0</v>
      </c>
      <c r="L156" s="684">
        <f t="shared" si="38"/>
        <v>0</v>
      </c>
      <c r="M156" s="684">
        <f t="shared" si="38"/>
        <v>0</v>
      </c>
      <c r="O156" s="679">
        <f t="shared" si="32"/>
        <v>0</v>
      </c>
    </row>
    <row r="157" spans="2:15" ht="30" customHeight="1" x14ac:dyDescent="0.25">
      <c r="B157" s="1077" t="s">
        <v>133</v>
      </c>
      <c r="C157" s="1078"/>
      <c r="D157" s="1078"/>
      <c r="E157" s="1079"/>
      <c r="F157" s="162"/>
      <c r="G157" s="930"/>
      <c r="H157" s="930"/>
      <c r="I157" s="686"/>
      <c r="J157" s="686"/>
      <c r="K157" s="686"/>
      <c r="L157" s="686"/>
      <c r="M157" s="686"/>
      <c r="O157" s="686"/>
    </row>
    <row r="158" spans="2:15" ht="28.5" customHeight="1" x14ac:dyDescent="0.25">
      <c r="B158" s="1068" t="str">
        <f>"per 31/12/"&amp;$M$35</f>
        <v>per 31/12/2014</v>
      </c>
      <c r="C158" s="1069"/>
      <c r="D158" s="1069"/>
      <c r="E158" s="1070"/>
      <c r="F158" s="162"/>
      <c r="G158" s="935"/>
      <c r="H158" s="935"/>
      <c r="I158" s="684">
        <f>+$I$22+I62</f>
        <v>0</v>
      </c>
      <c r="J158" s="684">
        <f>+$J$22+J62</f>
        <v>0</v>
      </c>
      <c r="K158" s="684">
        <f>+$K$22+K62</f>
        <v>0</v>
      </c>
      <c r="L158" s="684">
        <f>+$L$22+L62</f>
        <v>0</v>
      </c>
      <c r="M158" s="684">
        <f>+$M$22+M62</f>
        <v>0</v>
      </c>
      <c r="O158" s="679">
        <f t="shared" ref="O158:O164" si="39">SUM(I158:M158)</f>
        <v>0</v>
      </c>
    </row>
    <row r="159" spans="2:15" ht="28.5" customHeight="1" x14ac:dyDescent="0.25">
      <c r="B159" s="1068" t="str">
        <f>"per 31/12/"&amp;$M$35+1</f>
        <v>per 31/12/2015</v>
      </c>
      <c r="C159" s="1069"/>
      <c r="D159" s="1069"/>
      <c r="E159" s="1070"/>
      <c r="F159" s="162"/>
      <c r="G159" s="935"/>
      <c r="H159" s="935"/>
      <c r="I159" s="684">
        <f t="shared" ref="I159:M159" si="40">+I158+I63</f>
        <v>0</v>
      </c>
      <c r="J159" s="684">
        <f t="shared" si="40"/>
        <v>0</v>
      </c>
      <c r="K159" s="684">
        <f t="shared" si="40"/>
        <v>0</v>
      </c>
      <c r="L159" s="684">
        <f t="shared" si="40"/>
        <v>0</v>
      </c>
      <c r="M159" s="684">
        <f t="shared" si="40"/>
        <v>0</v>
      </c>
      <c r="O159" s="679">
        <f t="shared" si="39"/>
        <v>0</v>
      </c>
    </row>
    <row r="160" spans="2:15" ht="28.5" customHeight="1" x14ac:dyDescent="0.25">
      <c r="B160" s="1068" t="str">
        <f>"per 31/12/"&amp;$M$35+2</f>
        <v>per 31/12/2016</v>
      </c>
      <c r="C160" s="1069"/>
      <c r="D160" s="1069"/>
      <c r="E160" s="1070"/>
      <c r="F160" s="162"/>
      <c r="G160" s="935"/>
      <c r="H160" s="935"/>
      <c r="I160" s="684">
        <f t="shared" ref="I160:M160" si="41">+I159+I64</f>
        <v>0</v>
      </c>
      <c r="J160" s="684">
        <f t="shared" si="41"/>
        <v>0</v>
      </c>
      <c r="K160" s="684">
        <f t="shared" si="41"/>
        <v>0</v>
      </c>
      <c r="L160" s="684">
        <f t="shared" si="41"/>
        <v>0</v>
      </c>
      <c r="M160" s="684">
        <f t="shared" si="41"/>
        <v>0</v>
      </c>
      <c r="O160" s="679">
        <f t="shared" si="39"/>
        <v>0</v>
      </c>
    </row>
    <row r="161" spans="2:15" ht="28.5" customHeight="1" x14ac:dyDescent="0.25">
      <c r="B161" s="1068" t="str">
        <f>"per 31/12/"&amp;$M$35+3</f>
        <v>per 31/12/2017</v>
      </c>
      <c r="C161" s="1069"/>
      <c r="D161" s="1069"/>
      <c r="E161" s="1070"/>
      <c r="F161" s="162"/>
      <c r="G161" s="935"/>
      <c r="H161" s="935"/>
      <c r="I161" s="684">
        <f t="shared" ref="I161:M161" si="42">+I160+I65</f>
        <v>0</v>
      </c>
      <c r="J161" s="684">
        <f t="shared" si="42"/>
        <v>0</v>
      </c>
      <c r="K161" s="684">
        <f t="shared" si="42"/>
        <v>0</v>
      </c>
      <c r="L161" s="684">
        <f t="shared" si="42"/>
        <v>0</v>
      </c>
      <c r="M161" s="684">
        <f t="shared" si="42"/>
        <v>0</v>
      </c>
      <c r="O161" s="679">
        <f t="shared" si="39"/>
        <v>0</v>
      </c>
    </row>
    <row r="162" spans="2:15" ht="28.5" customHeight="1" x14ac:dyDescent="0.25">
      <c r="B162" s="1068" t="str">
        <f>"per 31/12/"&amp;$M$35+4</f>
        <v>per 31/12/2018</v>
      </c>
      <c r="C162" s="1069"/>
      <c r="D162" s="1069"/>
      <c r="E162" s="1070"/>
      <c r="F162" s="162"/>
      <c r="G162" s="935"/>
      <c r="H162" s="935"/>
      <c r="I162" s="684">
        <f t="shared" ref="I162:M162" si="43">+I161+I66</f>
        <v>0</v>
      </c>
      <c r="J162" s="684">
        <f t="shared" si="43"/>
        <v>0</v>
      </c>
      <c r="K162" s="684">
        <f t="shared" si="43"/>
        <v>0</v>
      </c>
      <c r="L162" s="684">
        <f t="shared" si="43"/>
        <v>0</v>
      </c>
      <c r="M162" s="684">
        <f t="shared" si="43"/>
        <v>0</v>
      </c>
      <c r="O162" s="679">
        <f t="shared" si="39"/>
        <v>0</v>
      </c>
    </row>
    <row r="163" spans="2:15" ht="28.5" customHeight="1" x14ac:dyDescent="0.25">
      <c r="B163" s="1068" t="str">
        <f>"per 31/12/"&amp;$M$35+5</f>
        <v>per 31/12/2019</v>
      </c>
      <c r="C163" s="1069"/>
      <c r="D163" s="1069"/>
      <c r="E163" s="1070"/>
      <c r="F163" s="162"/>
      <c r="G163" s="935"/>
      <c r="H163" s="935"/>
      <c r="I163" s="684">
        <f t="shared" ref="I163:M163" si="44">+I162+I67</f>
        <v>0</v>
      </c>
      <c r="J163" s="684">
        <f t="shared" si="44"/>
        <v>0</v>
      </c>
      <c r="K163" s="684">
        <f t="shared" si="44"/>
        <v>0</v>
      </c>
      <c r="L163" s="684">
        <f t="shared" si="44"/>
        <v>0</v>
      </c>
      <c r="M163" s="684">
        <f t="shared" si="44"/>
        <v>0</v>
      </c>
      <c r="O163" s="679">
        <f t="shared" si="39"/>
        <v>0</v>
      </c>
    </row>
    <row r="164" spans="2:15" ht="28.5" customHeight="1" x14ac:dyDescent="0.25">
      <c r="B164" s="1068" t="str">
        <f>"per 31/12/"&amp;$M$35+6</f>
        <v>per 31/12/2020</v>
      </c>
      <c r="C164" s="1069"/>
      <c r="D164" s="1069"/>
      <c r="E164" s="1070"/>
      <c r="F164" s="162"/>
      <c r="G164" s="935"/>
      <c r="H164" s="935"/>
      <c r="I164" s="684">
        <f t="shared" ref="I164:M164" si="45">+I163+I68</f>
        <v>0</v>
      </c>
      <c r="J164" s="684">
        <f t="shared" si="45"/>
        <v>0</v>
      </c>
      <c r="K164" s="684">
        <f t="shared" si="45"/>
        <v>0</v>
      </c>
      <c r="L164" s="684">
        <f t="shared" si="45"/>
        <v>0</v>
      </c>
      <c r="M164" s="684">
        <f t="shared" si="45"/>
        <v>0</v>
      </c>
      <c r="O164" s="679">
        <f t="shared" si="39"/>
        <v>0</v>
      </c>
    </row>
    <row r="165" spans="2:15" ht="45" customHeight="1" x14ac:dyDescent="0.25">
      <c r="B165" s="1077" t="s">
        <v>277</v>
      </c>
      <c r="C165" s="1078"/>
      <c r="D165" s="1078"/>
      <c r="E165" s="1079"/>
      <c r="F165" s="162"/>
      <c r="G165" s="930"/>
      <c r="H165" s="930"/>
      <c r="I165" s="686"/>
      <c r="J165" s="686"/>
      <c r="K165" s="686"/>
      <c r="L165" s="686"/>
      <c r="M165" s="686"/>
      <c r="O165" s="686"/>
    </row>
    <row r="166" spans="2:15" ht="28.5" customHeight="1" x14ac:dyDescent="0.25">
      <c r="B166" s="1068" t="str">
        <f>"per 31/12/"&amp;$M$35</f>
        <v>per 31/12/2014</v>
      </c>
      <c r="C166" s="1069"/>
      <c r="D166" s="1069"/>
      <c r="E166" s="1070"/>
      <c r="F166" s="162"/>
      <c r="G166" s="935"/>
      <c r="H166" s="935"/>
      <c r="I166" s="684">
        <f>+$I$23+I70</f>
        <v>0</v>
      </c>
      <c r="J166" s="684">
        <f>+$J$23+J70</f>
        <v>0</v>
      </c>
      <c r="K166" s="684">
        <f>+$K$23+K70</f>
        <v>0</v>
      </c>
      <c r="L166" s="684">
        <f>+$L$23+L70</f>
        <v>0</v>
      </c>
      <c r="M166" s="684">
        <f>+$M$23+M70</f>
        <v>0</v>
      </c>
      <c r="O166" s="679">
        <f t="shared" ref="O166:O172" si="46">SUM(I166:M166)</f>
        <v>0</v>
      </c>
    </row>
    <row r="167" spans="2:15" ht="28.5" customHeight="1" x14ac:dyDescent="0.25">
      <c r="B167" s="1068" t="str">
        <f>"per 31/12/"&amp;$M$35+1</f>
        <v>per 31/12/2015</v>
      </c>
      <c r="C167" s="1069"/>
      <c r="D167" s="1069"/>
      <c r="E167" s="1070"/>
      <c r="F167" s="162"/>
      <c r="G167" s="935"/>
      <c r="H167" s="935"/>
      <c r="I167" s="684">
        <f t="shared" ref="I167:M167" si="47">+I166+I71</f>
        <v>0</v>
      </c>
      <c r="J167" s="684">
        <f t="shared" si="47"/>
        <v>0</v>
      </c>
      <c r="K167" s="684">
        <f t="shared" si="47"/>
        <v>0</v>
      </c>
      <c r="L167" s="684">
        <f t="shared" si="47"/>
        <v>0</v>
      </c>
      <c r="M167" s="684">
        <f t="shared" si="47"/>
        <v>0</v>
      </c>
      <c r="O167" s="679">
        <f t="shared" si="46"/>
        <v>0</v>
      </c>
    </row>
    <row r="168" spans="2:15" ht="28.5" customHeight="1" x14ac:dyDescent="0.25">
      <c r="B168" s="1068" t="str">
        <f>"per 31/12/"&amp;$M$35+2</f>
        <v>per 31/12/2016</v>
      </c>
      <c r="C168" s="1069"/>
      <c r="D168" s="1069"/>
      <c r="E168" s="1070"/>
      <c r="F168" s="162"/>
      <c r="G168" s="935"/>
      <c r="H168" s="935"/>
      <c r="I168" s="684">
        <f t="shared" ref="I168:M168" si="48">+I167+I72</f>
        <v>0</v>
      </c>
      <c r="J168" s="684">
        <f t="shared" si="48"/>
        <v>0</v>
      </c>
      <c r="K168" s="684">
        <f t="shared" si="48"/>
        <v>0</v>
      </c>
      <c r="L168" s="684">
        <f t="shared" si="48"/>
        <v>0</v>
      </c>
      <c r="M168" s="684">
        <f t="shared" si="48"/>
        <v>0</v>
      </c>
      <c r="O168" s="679">
        <f t="shared" si="46"/>
        <v>0</v>
      </c>
    </row>
    <row r="169" spans="2:15" ht="28.5" customHeight="1" x14ac:dyDescent="0.25">
      <c r="B169" s="1068" t="str">
        <f>"per 31/12/"&amp;$M$35+3</f>
        <v>per 31/12/2017</v>
      </c>
      <c r="C169" s="1069"/>
      <c r="D169" s="1069"/>
      <c r="E169" s="1070"/>
      <c r="F169" s="162"/>
      <c r="G169" s="935"/>
      <c r="H169" s="935"/>
      <c r="I169" s="684">
        <f t="shared" ref="I169:M169" si="49">+I168+I73</f>
        <v>0</v>
      </c>
      <c r="J169" s="684">
        <f t="shared" si="49"/>
        <v>0</v>
      </c>
      <c r="K169" s="684">
        <f t="shared" si="49"/>
        <v>0</v>
      </c>
      <c r="L169" s="684">
        <f t="shared" si="49"/>
        <v>0</v>
      </c>
      <c r="M169" s="684">
        <f t="shared" si="49"/>
        <v>0</v>
      </c>
      <c r="O169" s="679">
        <f t="shared" si="46"/>
        <v>0</v>
      </c>
    </row>
    <row r="170" spans="2:15" ht="28.5" customHeight="1" x14ac:dyDescent="0.25">
      <c r="B170" s="1068" t="str">
        <f>"per 31/12/"&amp;$M$35+4</f>
        <v>per 31/12/2018</v>
      </c>
      <c r="C170" s="1069"/>
      <c r="D170" s="1069"/>
      <c r="E170" s="1070"/>
      <c r="F170" s="162"/>
      <c r="G170" s="935"/>
      <c r="H170" s="935"/>
      <c r="I170" s="684">
        <f t="shared" ref="I170:M170" si="50">+I169+I74</f>
        <v>0</v>
      </c>
      <c r="J170" s="684">
        <f t="shared" si="50"/>
        <v>0</v>
      </c>
      <c r="K170" s="684">
        <f t="shared" si="50"/>
        <v>0</v>
      </c>
      <c r="L170" s="684">
        <f t="shared" si="50"/>
        <v>0</v>
      </c>
      <c r="M170" s="684">
        <f t="shared" si="50"/>
        <v>0</v>
      </c>
      <c r="O170" s="679">
        <f t="shared" si="46"/>
        <v>0</v>
      </c>
    </row>
    <row r="171" spans="2:15" ht="28.5" customHeight="1" x14ac:dyDescent="0.25">
      <c r="B171" s="1068" t="str">
        <f>"per 31/12/"&amp;$M$35+5</f>
        <v>per 31/12/2019</v>
      </c>
      <c r="C171" s="1069"/>
      <c r="D171" s="1069"/>
      <c r="E171" s="1070"/>
      <c r="F171" s="162"/>
      <c r="G171" s="935"/>
      <c r="H171" s="935"/>
      <c r="I171" s="684">
        <f t="shared" ref="I171:M171" si="51">+I170+I75</f>
        <v>0</v>
      </c>
      <c r="J171" s="684">
        <f t="shared" si="51"/>
        <v>0</v>
      </c>
      <c r="K171" s="684">
        <f t="shared" si="51"/>
        <v>0</v>
      </c>
      <c r="L171" s="684">
        <f t="shared" si="51"/>
        <v>0</v>
      </c>
      <c r="M171" s="684">
        <f t="shared" si="51"/>
        <v>0</v>
      </c>
      <c r="O171" s="679">
        <f t="shared" si="46"/>
        <v>0</v>
      </c>
    </row>
    <row r="172" spans="2:15" ht="28.5" customHeight="1" x14ac:dyDescent="0.25">
      <c r="B172" s="1068" t="str">
        <f>"per 31/12/"&amp;$M$35+6</f>
        <v>per 31/12/2020</v>
      </c>
      <c r="C172" s="1069"/>
      <c r="D172" s="1069"/>
      <c r="E172" s="1070"/>
      <c r="F172" s="162"/>
      <c r="G172" s="935"/>
      <c r="H172" s="935"/>
      <c r="I172" s="684">
        <f t="shared" ref="I172:M172" si="52">+I171+I76</f>
        <v>0</v>
      </c>
      <c r="J172" s="684">
        <f t="shared" si="52"/>
        <v>0</v>
      </c>
      <c r="K172" s="684">
        <f t="shared" si="52"/>
        <v>0</v>
      </c>
      <c r="L172" s="684">
        <f t="shared" si="52"/>
        <v>0</v>
      </c>
      <c r="M172" s="684">
        <f t="shared" si="52"/>
        <v>0</v>
      </c>
      <c r="O172" s="679">
        <f t="shared" si="46"/>
        <v>0</v>
      </c>
    </row>
    <row r="173" spans="2:15" ht="33" customHeight="1" x14ac:dyDescent="0.25">
      <c r="B173" s="1077" t="s">
        <v>239</v>
      </c>
      <c r="C173" s="1078"/>
      <c r="D173" s="1078"/>
      <c r="E173" s="1079"/>
      <c r="F173" s="162"/>
      <c r="G173" s="930"/>
      <c r="H173" s="930"/>
      <c r="I173" s="686"/>
      <c r="J173" s="686"/>
      <c r="K173" s="686"/>
      <c r="L173" s="686"/>
      <c r="M173" s="686"/>
      <c r="O173" s="686"/>
    </row>
    <row r="174" spans="2:15" ht="28.5" customHeight="1" x14ac:dyDescent="0.25">
      <c r="B174" s="1068" t="str">
        <f>"per 31/12/"&amp;$M$35</f>
        <v>per 31/12/2014</v>
      </c>
      <c r="C174" s="1069"/>
      <c r="D174" s="1069"/>
      <c r="E174" s="1070"/>
      <c r="F174" s="162"/>
      <c r="G174" s="935"/>
      <c r="H174" s="935"/>
      <c r="I174" s="684">
        <f>+$I$24+I78</f>
        <v>0</v>
      </c>
      <c r="J174" s="684">
        <f>+$J$24+J78</f>
        <v>0</v>
      </c>
      <c r="K174" s="684">
        <f>+$K$24+K78</f>
        <v>0</v>
      </c>
      <c r="L174" s="684">
        <f>+$L$24+L78</f>
        <v>0</v>
      </c>
      <c r="M174" s="684">
        <f>+$M$24+M78</f>
        <v>0</v>
      </c>
      <c r="O174" s="679">
        <f t="shared" ref="O174:O180" si="53">SUM(I174:M174)</f>
        <v>0</v>
      </c>
    </row>
    <row r="175" spans="2:15" ht="28.5" customHeight="1" x14ac:dyDescent="0.25">
      <c r="B175" s="1068" t="str">
        <f>"per 31/12/"&amp;$M$35+1</f>
        <v>per 31/12/2015</v>
      </c>
      <c r="C175" s="1069"/>
      <c r="D175" s="1069"/>
      <c r="E175" s="1070"/>
      <c r="F175" s="162"/>
      <c r="G175" s="935"/>
      <c r="H175" s="935"/>
      <c r="I175" s="684">
        <f t="shared" ref="I175:M175" si="54">+I174+I79</f>
        <v>0</v>
      </c>
      <c r="J175" s="684">
        <f t="shared" si="54"/>
        <v>0</v>
      </c>
      <c r="K175" s="684">
        <f t="shared" si="54"/>
        <v>0</v>
      </c>
      <c r="L175" s="684">
        <f t="shared" si="54"/>
        <v>0</v>
      </c>
      <c r="M175" s="684">
        <f t="shared" si="54"/>
        <v>0</v>
      </c>
      <c r="O175" s="679">
        <f t="shared" si="53"/>
        <v>0</v>
      </c>
    </row>
    <row r="176" spans="2:15" ht="28.5" customHeight="1" x14ac:dyDescent="0.25">
      <c r="B176" s="1068" t="str">
        <f>"per 31/12/"&amp;$M$35+2</f>
        <v>per 31/12/2016</v>
      </c>
      <c r="C176" s="1069"/>
      <c r="D176" s="1069"/>
      <c r="E176" s="1070"/>
      <c r="F176" s="162"/>
      <c r="G176" s="935"/>
      <c r="H176" s="935"/>
      <c r="I176" s="684">
        <f t="shared" ref="I176:M176" si="55">+I175+I80</f>
        <v>0</v>
      </c>
      <c r="J176" s="684">
        <f t="shared" si="55"/>
        <v>0</v>
      </c>
      <c r="K176" s="684">
        <f t="shared" si="55"/>
        <v>0</v>
      </c>
      <c r="L176" s="684">
        <f t="shared" si="55"/>
        <v>0</v>
      </c>
      <c r="M176" s="684">
        <f t="shared" si="55"/>
        <v>0</v>
      </c>
      <c r="O176" s="679">
        <f t="shared" si="53"/>
        <v>0</v>
      </c>
    </row>
    <row r="177" spans="2:15" ht="28.5" customHeight="1" x14ac:dyDescent="0.25">
      <c r="B177" s="1068" t="str">
        <f>"per 31/12/"&amp;$M$35+3</f>
        <v>per 31/12/2017</v>
      </c>
      <c r="C177" s="1069"/>
      <c r="D177" s="1069"/>
      <c r="E177" s="1070"/>
      <c r="F177" s="162"/>
      <c r="G177" s="935"/>
      <c r="H177" s="935"/>
      <c r="I177" s="684">
        <f t="shared" ref="I177:M177" si="56">+I176+I81</f>
        <v>0</v>
      </c>
      <c r="J177" s="684">
        <f t="shared" si="56"/>
        <v>0</v>
      </c>
      <c r="K177" s="684">
        <f t="shared" si="56"/>
        <v>0</v>
      </c>
      <c r="L177" s="684">
        <f t="shared" si="56"/>
        <v>0</v>
      </c>
      <c r="M177" s="684">
        <f t="shared" si="56"/>
        <v>0</v>
      </c>
      <c r="O177" s="679">
        <f t="shared" si="53"/>
        <v>0</v>
      </c>
    </row>
    <row r="178" spans="2:15" ht="28.5" customHeight="1" x14ac:dyDescent="0.25">
      <c r="B178" s="1068" t="str">
        <f>"per 31/12/"&amp;$M$35+4</f>
        <v>per 31/12/2018</v>
      </c>
      <c r="C178" s="1069"/>
      <c r="D178" s="1069"/>
      <c r="E178" s="1070"/>
      <c r="F178" s="162"/>
      <c r="G178" s="935"/>
      <c r="H178" s="935"/>
      <c r="I178" s="684">
        <f t="shared" ref="I178:M178" si="57">+I177+I82</f>
        <v>0</v>
      </c>
      <c r="J178" s="684">
        <f t="shared" si="57"/>
        <v>0</v>
      </c>
      <c r="K178" s="684">
        <f t="shared" si="57"/>
        <v>0</v>
      </c>
      <c r="L178" s="684">
        <f t="shared" si="57"/>
        <v>0</v>
      </c>
      <c r="M178" s="684">
        <f t="shared" si="57"/>
        <v>0</v>
      </c>
      <c r="O178" s="679">
        <f t="shared" si="53"/>
        <v>0</v>
      </c>
    </row>
    <row r="179" spans="2:15" ht="28.5" customHeight="1" x14ac:dyDescent="0.25">
      <c r="B179" s="1068" t="str">
        <f>"per 31/12/"&amp;$M$35+5</f>
        <v>per 31/12/2019</v>
      </c>
      <c r="C179" s="1069"/>
      <c r="D179" s="1069"/>
      <c r="E179" s="1070"/>
      <c r="F179" s="162"/>
      <c r="G179" s="935"/>
      <c r="H179" s="935"/>
      <c r="I179" s="684">
        <f t="shared" ref="I179:M179" si="58">+I178+I83</f>
        <v>0</v>
      </c>
      <c r="J179" s="684">
        <f t="shared" si="58"/>
        <v>0</v>
      </c>
      <c r="K179" s="684">
        <f t="shared" si="58"/>
        <v>0</v>
      </c>
      <c r="L179" s="684">
        <f t="shared" si="58"/>
        <v>0</v>
      </c>
      <c r="M179" s="684">
        <f t="shared" si="58"/>
        <v>0</v>
      </c>
      <c r="O179" s="679">
        <f t="shared" si="53"/>
        <v>0</v>
      </c>
    </row>
    <row r="180" spans="2:15" ht="28.5" customHeight="1" x14ac:dyDescent="0.25">
      <c r="B180" s="1068" t="str">
        <f>"per 31/12/"&amp;$M$35+6</f>
        <v>per 31/12/2020</v>
      </c>
      <c r="C180" s="1069"/>
      <c r="D180" s="1069"/>
      <c r="E180" s="1070"/>
      <c r="F180" s="162"/>
      <c r="G180" s="935"/>
      <c r="H180" s="935"/>
      <c r="I180" s="684">
        <f t="shared" ref="I180:M180" si="59">+I179+I84</f>
        <v>0</v>
      </c>
      <c r="J180" s="684">
        <f t="shared" si="59"/>
        <v>0</v>
      </c>
      <c r="K180" s="684">
        <f t="shared" si="59"/>
        <v>0</v>
      </c>
      <c r="L180" s="684">
        <f t="shared" si="59"/>
        <v>0</v>
      </c>
      <c r="M180" s="684">
        <f t="shared" si="59"/>
        <v>0</v>
      </c>
      <c r="O180" s="679">
        <f t="shared" si="53"/>
        <v>0</v>
      </c>
    </row>
    <row r="181" spans="2:15" ht="26.25" customHeight="1" x14ac:dyDescent="0.25">
      <c r="B181" s="1077" t="s">
        <v>237</v>
      </c>
      <c r="C181" s="1078"/>
      <c r="D181" s="1078"/>
      <c r="E181" s="1079"/>
      <c r="F181" s="162"/>
      <c r="G181" s="930"/>
      <c r="H181" s="930"/>
      <c r="I181" s="686"/>
      <c r="J181" s="686"/>
      <c r="K181" s="686"/>
      <c r="L181" s="686"/>
      <c r="M181" s="686"/>
      <c r="O181" s="686"/>
    </row>
    <row r="182" spans="2:15" ht="28.5" customHeight="1" x14ac:dyDescent="0.25">
      <c r="B182" s="1068" t="str">
        <f>"per 31/12/"&amp;$M$35</f>
        <v>per 31/12/2014</v>
      </c>
      <c r="C182" s="1069"/>
      <c r="D182" s="1069"/>
      <c r="E182" s="1070"/>
      <c r="F182" s="162"/>
      <c r="G182" s="935"/>
      <c r="H182" s="935"/>
      <c r="I182" s="684">
        <f>+$I$25+I86</f>
        <v>0</v>
      </c>
      <c r="J182" s="684">
        <f>+$J$25+J86</f>
        <v>0</v>
      </c>
      <c r="K182" s="684">
        <f>+$K$25+K86</f>
        <v>0</v>
      </c>
      <c r="L182" s="684">
        <f>+$L$25+L86</f>
        <v>0</v>
      </c>
      <c r="M182" s="684">
        <f>+$M$25+M86</f>
        <v>0</v>
      </c>
      <c r="O182" s="679">
        <f t="shared" ref="O182:O188" si="60">SUM(I182:M182)</f>
        <v>0</v>
      </c>
    </row>
    <row r="183" spans="2:15" ht="28.5" customHeight="1" x14ac:dyDescent="0.25">
      <c r="B183" s="1068" t="str">
        <f>"per 31/12/"&amp;$M$35+1</f>
        <v>per 31/12/2015</v>
      </c>
      <c r="C183" s="1069"/>
      <c r="D183" s="1069"/>
      <c r="E183" s="1070"/>
      <c r="F183" s="162"/>
      <c r="G183" s="935"/>
      <c r="H183" s="935"/>
      <c r="I183" s="684">
        <f t="shared" ref="I183:M183" si="61">+I182+I87</f>
        <v>0</v>
      </c>
      <c r="J183" s="684">
        <f t="shared" si="61"/>
        <v>0</v>
      </c>
      <c r="K183" s="684">
        <f t="shared" si="61"/>
        <v>0</v>
      </c>
      <c r="L183" s="684">
        <f t="shared" si="61"/>
        <v>0</v>
      </c>
      <c r="M183" s="684">
        <f t="shared" si="61"/>
        <v>0</v>
      </c>
      <c r="O183" s="679">
        <f t="shared" si="60"/>
        <v>0</v>
      </c>
    </row>
    <row r="184" spans="2:15" ht="28.5" customHeight="1" x14ac:dyDescent="0.25">
      <c r="B184" s="1068" t="str">
        <f>"per 31/12/"&amp;$M$35+2</f>
        <v>per 31/12/2016</v>
      </c>
      <c r="C184" s="1069"/>
      <c r="D184" s="1069"/>
      <c r="E184" s="1070"/>
      <c r="F184" s="162"/>
      <c r="G184" s="935"/>
      <c r="H184" s="935"/>
      <c r="I184" s="684">
        <f t="shared" ref="I184:M184" si="62">+I183+I88</f>
        <v>0</v>
      </c>
      <c r="J184" s="684">
        <f t="shared" si="62"/>
        <v>0</v>
      </c>
      <c r="K184" s="684">
        <f t="shared" si="62"/>
        <v>0</v>
      </c>
      <c r="L184" s="684">
        <f t="shared" si="62"/>
        <v>0</v>
      </c>
      <c r="M184" s="684">
        <f t="shared" si="62"/>
        <v>0</v>
      </c>
      <c r="O184" s="679">
        <f t="shared" si="60"/>
        <v>0</v>
      </c>
    </row>
    <row r="185" spans="2:15" ht="28.5" customHeight="1" x14ac:dyDescent="0.25">
      <c r="B185" s="1068" t="str">
        <f>"per 31/12/"&amp;$M$35+3</f>
        <v>per 31/12/2017</v>
      </c>
      <c r="C185" s="1069"/>
      <c r="D185" s="1069"/>
      <c r="E185" s="1070"/>
      <c r="F185" s="162"/>
      <c r="G185" s="935"/>
      <c r="H185" s="935"/>
      <c r="I185" s="684">
        <f t="shared" ref="I185:M185" si="63">+I184+I89</f>
        <v>0</v>
      </c>
      <c r="J185" s="684">
        <f t="shared" si="63"/>
        <v>0</v>
      </c>
      <c r="K185" s="684">
        <f t="shared" si="63"/>
        <v>0</v>
      </c>
      <c r="L185" s="684">
        <f t="shared" si="63"/>
        <v>0</v>
      </c>
      <c r="M185" s="684">
        <f t="shared" si="63"/>
        <v>0</v>
      </c>
      <c r="O185" s="679">
        <f t="shared" si="60"/>
        <v>0</v>
      </c>
    </row>
    <row r="186" spans="2:15" ht="28.5" customHeight="1" x14ac:dyDescent="0.25">
      <c r="B186" s="1068" t="str">
        <f>"per 31/12/"&amp;$M$35+4</f>
        <v>per 31/12/2018</v>
      </c>
      <c r="C186" s="1069"/>
      <c r="D186" s="1069"/>
      <c r="E186" s="1070"/>
      <c r="F186" s="162"/>
      <c r="G186" s="935"/>
      <c r="H186" s="935"/>
      <c r="I186" s="684">
        <f t="shared" ref="I186:M186" si="64">+I185+I90</f>
        <v>0</v>
      </c>
      <c r="J186" s="684">
        <f t="shared" si="64"/>
        <v>0</v>
      </c>
      <c r="K186" s="684">
        <f t="shared" si="64"/>
        <v>0</v>
      </c>
      <c r="L186" s="684">
        <f t="shared" si="64"/>
        <v>0</v>
      </c>
      <c r="M186" s="684">
        <f t="shared" si="64"/>
        <v>0</v>
      </c>
      <c r="O186" s="679">
        <f t="shared" si="60"/>
        <v>0</v>
      </c>
    </row>
    <row r="187" spans="2:15" ht="28.5" customHeight="1" x14ac:dyDescent="0.25">
      <c r="B187" s="1068" t="str">
        <f>"per 31/12/"&amp;$M$35+5</f>
        <v>per 31/12/2019</v>
      </c>
      <c r="C187" s="1069"/>
      <c r="D187" s="1069"/>
      <c r="E187" s="1070"/>
      <c r="F187" s="162"/>
      <c r="G187" s="935"/>
      <c r="H187" s="935"/>
      <c r="I187" s="684">
        <f t="shared" ref="I187:M187" si="65">+I186+I91</f>
        <v>0</v>
      </c>
      <c r="J187" s="684">
        <f t="shared" si="65"/>
        <v>0</v>
      </c>
      <c r="K187" s="684">
        <f t="shared" si="65"/>
        <v>0</v>
      </c>
      <c r="L187" s="684">
        <f t="shared" si="65"/>
        <v>0</v>
      </c>
      <c r="M187" s="684">
        <f t="shared" si="65"/>
        <v>0</v>
      </c>
      <c r="O187" s="679">
        <f t="shared" si="60"/>
        <v>0</v>
      </c>
    </row>
    <row r="188" spans="2:15" ht="28.5" customHeight="1" x14ac:dyDescent="0.25">
      <c r="B188" s="1068" t="str">
        <f>"per 31/12/"&amp;$M$35+6</f>
        <v>per 31/12/2020</v>
      </c>
      <c r="C188" s="1069"/>
      <c r="D188" s="1069"/>
      <c r="E188" s="1070"/>
      <c r="F188" s="162"/>
      <c r="G188" s="935"/>
      <c r="H188" s="935"/>
      <c r="I188" s="684">
        <f t="shared" ref="I188:M188" si="66">+I187+I92</f>
        <v>0</v>
      </c>
      <c r="J188" s="684">
        <f t="shared" si="66"/>
        <v>0</v>
      </c>
      <c r="K188" s="684">
        <f t="shared" si="66"/>
        <v>0</v>
      </c>
      <c r="L188" s="684">
        <f t="shared" si="66"/>
        <v>0</v>
      </c>
      <c r="M188" s="684">
        <f t="shared" si="66"/>
        <v>0</v>
      </c>
      <c r="O188" s="679">
        <f t="shared" si="60"/>
        <v>0</v>
      </c>
    </row>
    <row r="189" spans="2:15" ht="28.5" customHeight="1" x14ac:dyDescent="0.25">
      <c r="B189" s="1077" t="s">
        <v>287</v>
      </c>
      <c r="C189" s="1078"/>
      <c r="D189" s="1078"/>
      <c r="E189" s="1079"/>
      <c r="F189" s="162"/>
      <c r="G189" s="930"/>
      <c r="H189" s="930"/>
      <c r="I189" s="686"/>
      <c r="J189" s="686"/>
      <c r="K189" s="686"/>
      <c r="L189" s="686"/>
      <c r="M189" s="686"/>
      <c r="O189" s="686"/>
    </row>
    <row r="190" spans="2:15" ht="28.5" customHeight="1" x14ac:dyDescent="0.25">
      <c r="B190" s="1068" t="str">
        <f>"per 31/12/"&amp;$M$35</f>
        <v>per 31/12/2014</v>
      </c>
      <c r="C190" s="1069"/>
      <c r="D190" s="1069"/>
      <c r="E190" s="1070"/>
      <c r="F190" s="162"/>
      <c r="G190" s="935"/>
      <c r="H190" s="935"/>
      <c r="I190" s="684">
        <f>+$I$26+I94</f>
        <v>0</v>
      </c>
      <c r="J190" s="684">
        <f>+$J$26+J94</f>
        <v>0</v>
      </c>
      <c r="K190" s="684">
        <f>+$K$26+K94</f>
        <v>0</v>
      </c>
      <c r="L190" s="684">
        <f>+$L$26+L94</f>
        <v>0</v>
      </c>
      <c r="M190" s="684">
        <f>+$M$26+M94</f>
        <v>0</v>
      </c>
      <c r="O190" s="679">
        <f t="shared" ref="O190:O196" si="67">SUM(I190:M190)</f>
        <v>0</v>
      </c>
    </row>
    <row r="191" spans="2:15" ht="28.5" customHeight="1" x14ac:dyDescent="0.25">
      <c r="B191" s="1068" t="str">
        <f>"per 31/12/"&amp;$M$35+1</f>
        <v>per 31/12/2015</v>
      </c>
      <c r="C191" s="1069"/>
      <c r="D191" s="1069"/>
      <c r="E191" s="1070"/>
      <c r="F191" s="162"/>
      <c r="G191" s="935"/>
      <c r="H191" s="935"/>
      <c r="I191" s="684">
        <f t="shared" ref="I191:M191" si="68">+I190+I95</f>
        <v>0</v>
      </c>
      <c r="J191" s="684">
        <f t="shared" si="68"/>
        <v>0</v>
      </c>
      <c r="K191" s="684">
        <f t="shared" si="68"/>
        <v>0</v>
      </c>
      <c r="L191" s="684">
        <f t="shared" si="68"/>
        <v>0</v>
      </c>
      <c r="M191" s="684">
        <f t="shared" si="68"/>
        <v>0</v>
      </c>
      <c r="O191" s="679">
        <f t="shared" si="67"/>
        <v>0</v>
      </c>
    </row>
    <row r="192" spans="2:15" ht="28.5" customHeight="1" x14ac:dyDescent="0.25">
      <c r="B192" s="1068" t="str">
        <f>"per 31/12/"&amp;$M$35+2</f>
        <v>per 31/12/2016</v>
      </c>
      <c r="C192" s="1069"/>
      <c r="D192" s="1069"/>
      <c r="E192" s="1070"/>
      <c r="F192" s="162"/>
      <c r="G192" s="935"/>
      <c r="H192" s="935"/>
      <c r="I192" s="684">
        <f t="shared" ref="I192:M192" si="69">+I191+I96</f>
        <v>0</v>
      </c>
      <c r="J192" s="684">
        <f t="shared" si="69"/>
        <v>0</v>
      </c>
      <c r="K192" s="684">
        <f t="shared" si="69"/>
        <v>0</v>
      </c>
      <c r="L192" s="684">
        <f t="shared" si="69"/>
        <v>0</v>
      </c>
      <c r="M192" s="684">
        <f t="shared" si="69"/>
        <v>0</v>
      </c>
      <c r="O192" s="679">
        <f t="shared" si="67"/>
        <v>0</v>
      </c>
    </row>
    <row r="193" spans="2:15" ht="28.5" customHeight="1" x14ac:dyDescent="0.25">
      <c r="B193" s="1068" t="str">
        <f>"per 31/12/"&amp;$M$35+3</f>
        <v>per 31/12/2017</v>
      </c>
      <c r="C193" s="1069"/>
      <c r="D193" s="1069"/>
      <c r="E193" s="1070"/>
      <c r="F193" s="162"/>
      <c r="G193" s="935"/>
      <c r="H193" s="935"/>
      <c r="I193" s="684">
        <f t="shared" ref="I193:M193" si="70">+I192+I97</f>
        <v>0</v>
      </c>
      <c r="J193" s="684">
        <f t="shared" si="70"/>
        <v>0</v>
      </c>
      <c r="K193" s="684">
        <f t="shared" si="70"/>
        <v>0</v>
      </c>
      <c r="L193" s="684">
        <f t="shared" si="70"/>
        <v>0</v>
      </c>
      <c r="M193" s="684">
        <f t="shared" si="70"/>
        <v>0</v>
      </c>
      <c r="O193" s="679">
        <f t="shared" si="67"/>
        <v>0</v>
      </c>
    </row>
    <row r="194" spans="2:15" ht="28.5" customHeight="1" x14ac:dyDescent="0.25">
      <c r="B194" s="1068" t="str">
        <f>"per 31/12/"&amp;$M$35+4</f>
        <v>per 31/12/2018</v>
      </c>
      <c r="C194" s="1069"/>
      <c r="D194" s="1069"/>
      <c r="E194" s="1070"/>
      <c r="F194" s="162"/>
      <c r="G194" s="935"/>
      <c r="H194" s="935"/>
      <c r="I194" s="684">
        <f t="shared" ref="I194:M194" si="71">+I193+I98</f>
        <v>0</v>
      </c>
      <c r="J194" s="684">
        <f t="shared" si="71"/>
        <v>0</v>
      </c>
      <c r="K194" s="684">
        <f t="shared" si="71"/>
        <v>0</v>
      </c>
      <c r="L194" s="684">
        <f t="shared" si="71"/>
        <v>0</v>
      </c>
      <c r="M194" s="684">
        <f t="shared" si="71"/>
        <v>0</v>
      </c>
      <c r="O194" s="679">
        <f t="shared" si="67"/>
        <v>0</v>
      </c>
    </row>
    <row r="195" spans="2:15" ht="28.5" customHeight="1" x14ac:dyDescent="0.25">
      <c r="B195" s="1068" t="str">
        <f>"per 31/12/"&amp;$M$35+5</f>
        <v>per 31/12/2019</v>
      </c>
      <c r="C195" s="1069"/>
      <c r="D195" s="1069"/>
      <c r="E195" s="1070"/>
      <c r="F195" s="162"/>
      <c r="G195" s="935"/>
      <c r="H195" s="935"/>
      <c r="I195" s="684">
        <f t="shared" ref="I195:M195" si="72">+I194+I99</f>
        <v>0</v>
      </c>
      <c r="J195" s="684">
        <f t="shared" si="72"/>
        <v>0</v>
      </c>
      <c r="K195" s="684">
        <f t="shared" si="72"/>
        <v>0</v>
      </c>
      <c r="L195" s="684">
        <f t="shared" si="72"/>
        <v>0</v>
      </c>
      <c r="M195" s="684">
        <f t="shared" si="72"/>
        <v>0</v>
      </c>
      <c r="O195" s="679">
        <f t="shared" si="67"/>
        <v>0</v>
      </c>
    </row>
    <row r="196" spans="2:15" ht="28.5" customHeight="1" x14ac:dyDescent="0.25">
      <c r="B196" s="1068" t="str">
        <f>"per 31/12/"&amp;$M$35+6</f>
        <v>per 31/12/2020</v>
      </c>
      <c r="C196" s="1069"/>
      <c r="D196" s="1069"/>
      <c r="E196" s="1070"/>
      <c r="F196" s="162"/>
      <c r="G196" s="935"/>
      <c r="H196" s="935"/>
      <c r="I196" s="684">
        <f t="shared" ref="I196:M196" si="73">+I195+I100</f>
        <v>0</v>
      </c>
      <c r="J196" s="684">
        <f t="shared" si="73"/>
        <v>0</v>
      </c>
      <c r="K196" s="684">
        <f t="shared" si="73"/>
        <v>0</v>
      </c>
      <c r="L196" s="684">
        <f t="shared" si="73"/>
        <v>0</v>
      </c>
      <c r="M196" s="684">
        <f t="shared" si="73"/>
        <v>0</v>
      </c>
      <c r="O196" s="679">
        <f t="shared" si="67"/>
        <v>0</v>
      </c>
    </row>
    <row r="197" spans="2:15" ht="33" customHeight="1" x14ac:dyDescent="0.25">
      <c r="B197" s="1077" t="s">
        <v>134</v>
      </c>
      <c r="C197" s="1078"/>
      <c r="D197" s="1078"/>
      <c r="E197" s="1079"/>
      <c r="F197" s="162"/>
      <c r="G197" s="930"/>
      <c r="H197" s="930"/>
      <c r="I197" s="686"/>
      <c r="J197" s="686"/>
      <c r="K197" s="686"/>
      <c r="L197" s="686"/>
      <c r="M197" s="686"/>
      <c r="O197" s="686"/>
    </row>
    <row r="198" spans="2:15" ht="28.5" customHeight="1" x14ac:dyDescent="0.25">
      <c r="B198" s="1068" t="str">
        <f>"per 31/12/"&amp;$M$35</f>
        <v>per 31/12/2014</v>
      </c>
      <c r="C198" s="1069"/>
      <c r="D198" s="1069"/>
      <c r="E198" s="1070"/>
      <c r="F198" s="162"/>
      <c r="G198" s="935"/>
      <c r="H198" s="935"/>
      <c r="I198" s="684">
        <f>+$I$27+I102</f>
        <v>0</v>
      </c>
      <c r="J198" s="684">
        <f>+$J$27+J102</f>
        <v>0</v>
      </c>
      <c r="K198" s="684">
        <f>+$K$27+K102</f>
        <v>0</v>
      </c>
      <c r="L198" s="684">
        <f>+$L$27+L102</f>
        <v>0</v>
      </c>
      <c r="M198" s="684">
        <f>+$M$27+M102</f>
        <v>0</v>
      </c>
      <c r="O198" s="679">
        <f t="shared" ref="O198:O204" si="74">SUM(I198:M198)</f>
        <v>0</v>
      </c>
    </row>
    <row r="199" spans="2:15" ht="28.5" customHeight="1" x14ac:dyDescent="0.25">
      <c r="B199" s="1068" t="str">
        <f>"per 31/12/"&amp;$M$35+1</f>
        <v>per 31/12/2015</v>
      </c>
      <c r="C199" s="1069"/>
      <c r="D199" s="1069"/>
      <c r="E199" s="1070"/>
      <c r="F199" s="162"/>
      <c r="G199" s="935"/>
      <c r="H199" s="935"/>
      <c r="I199" s="684">
        <f t="shared" ref="I199:M199" si="75">+I198+I103</f>
        <v>0</v>
      </c>
      <c r="J199" s="684">
        <f t="shared" si="75"/>
        <v>0</v>
      </c>
      <c r="K199" s="684">
        <f t="shared" si="75"/>
        <v>0</v>
      </c>
      <c r="L199" s="684">
        <f t="shared" si="75"/>
        <v>0</v>
      </c>
      <c r="M199" s="684">
        <f t="shared" si="75"/>
        <v>0</v>
      </c>
      <c r="O199" s="679">
        <f t="shared" si="74"/>
        <v>0</v>
      </c>
    </row>
    <row r="200" spans="2:15" ht="28.5" customHeight="1" x14ac:dyDescent="0.25">
      <c r="B200" s="1068" t="str">
        <f>"per 31/12/"&amp;$M$35+2</f>
        <v>per 31/12/2016</v>
      </c>
      <c r="C200" s="1069"/>
      <c r="D200" s="1069"/>
      <c r="E200" s="1070"/>
      <c r="F200" s="162"/>
      <c r="G200" s="935"/>
      <c r="H200" s="935"/>
      <c r="I200" s="684">
        <f t="shared" ref="I200:M200" si="76">+I199+I104</f>
        <v>0</v>
      </c>
      <c r="J200" s="684">
        <f t="shared" si="76"/>
        <v>0</v>
      </c>
      <c r="K200" s="684">
        <f t="shared" si="76"/>
        <v>0</v>
      </c>
      <c r="L200" s="684">
        <f t="shared" si="76"/>
        <v>0</v>
      </c>
      <c r="M200" s="684">
        <f t="shared" si="76"/>
        <v>0</v>
      </c>
      <c r="O200" s="679">
        <f t="shared" si="74"/>
        <v>0</v>
      </c>
    </row>
    <row r="201" spans="2:15" ht="28.5" customHeight="1" x14ac:dyDescent="0.25">
      <c r="B201" s="1068" t="str">
        <f>"per 31/12/"&amp;$M$35+3</f>
        <v>per 31/12/2017</v>
      </c>
      <c r="C201" s="1069"/>
      <c r="D201" s="1069"/>
      <c r="E201" s="1070"/>
      <c r="F201" s="162"/>
      <c r="G201" s="935"/>
      <c r="H201" s="935"/>
      <c r="I201" s="684">
        <f t="shared" ref="I201:M201" si="77">+I200+I105</f>
        <v>0</v>
      </c>
      <c r="J201" s="684">
        <f t="shared" si="77"/>
        <v>0</v>
      </c>
      <c r="K201" s="684">
        <f t="shared" si="77"/>
        <v>0</v>
      </c>
      <c r="L201" s="684">
        <f t="shared" si="77"/>
        <v>0</v>
      </c>
      <c r="M201" s="684">
        <f t="shared" si="77"/>
        <v>0</v>
      </c>
      <c r="O201" s="679">
        <f t="shared" si="74"/>
        <v>0</v>
      </c>
    </row>
    <row r="202" spans="2:15" ht="28.5" customHeight="1" x14ac:dyDescent="0.25">
      <c r="B202" s="1068" t="str">
        <f>"per 31/12/"&amp;$M$35+4</f>
        <v>per 31/12/2018</v>
      </c>
      <c r="C202" s="1069"/>
      <c r="D202" s="1069"/>
      <c r="E202" s="1070"/>
      <c r="F202" s="162"/>
      <c r="G202" s="935"/>
      <c r="H202" s="935"/>
      <c r="I202" s="684">
        <f t="shared" ref="I202:M202" si="78">+I201+I106</f>
        <v>0</v>
      </c>
      <c r="J202" s="684">
        <f t="shared" si="78"/>
        <v>0</v>
      </c>
      <c r="K202" s="684">
        <f t="shared" si="78"/>
        <v>0</v>
      </c>
      <c r="L202" s="684">
        <f t="shared" si="78"/>
        <v>0</v>
      </c>
      <c r="M202" s="684">
        <f t="shared" si="78"/>
        <v>0</v>
      </c>
      <c r="O202" s="679">
        <f t="shared" si="74"/>
        <v>0</v>
      </c>
    </row>
    <row r="203" spans="2:15" ht="28.5" customHeight="1" x14ac:dyDescent="0.25">
      <c r="B203" s="1068" t="str">
        <f>"per 31/12/"&amp;$M$35+5</f>
        <v>per 31/12/2019</v>
      </c>
      <c r="C203" s="1069"/>
      <c r="D203" s="1069"/>
      <c r="E203" s="1070"/>
      <c r="F203" s="162"/>
      <c r="G203" s="935"/>
      <c r="H203" s="935"/>
      <c r="I203" s="684">
        <f t="shared" ref="I203:M203" si="79">+I202+I107</f>
        <v>0</v>
      </c>
      <c r="J203" s="684">
        <f t="shared" si="79"/>
        <v>0</v>
      </c>
      <c r="K203" s="684">
        <f t="shared" si="79"/>
        <v>0</v>
      </c>
      <c r="L203" s="684">
        <f t="shared" si="79"/>
        <v>0</v>
      </c>
      <c r="M203" s="684">
        <f t="shared" si="79"/>
        <v>0</v>
      </c>
      <c r="O203" s="679">
        <f t="shared" si="74"/>
        <v>0</v>
      </c>
    </row>
    <row r="204" spans="2:15" ht="28.5" customHeight="1" x14ac:dyDescent="0.25">
      <c r="B204" s="1068" t="str">
        <f>"per 31/12/"&amp;$M$35+6</f>
        <v>per 31/12/2020</v>
      </c>
      <c r="C204" s="1069"/>
      <c r="D204" s="1069"/>
      <c r="E204" s="1070"/>
      <c r="F204" s="162"/>
      <c r="G204" s="935"/>
      <c r="H204" s="935"/>
      <c r="I204" s="684">
        <f t="shared" ref="I204:M204" si="80">+I203+I108</f>
        <v>0</v>
      </c>
      <c r="J204" s="684">
        <f t="shared" si="80"/>
        <v>0</v>
      </c>
      <c r="K204" s="684">
        <f t="shared" si="80"/>
        <v>0</v>
      </c>
      <c r="L204" s="684">
        <f t="shared" si="80"/>
        <v>0</v>
      </c>
      <c r="M204" s="684">
        <f t="shared" si="80"/>
        <v>0</v>
      </c>
      <c r="O204" s="679">
        <f t="shared" si="74"/>
        <v>0</v>
      </c>
    </row>
    <row r="205" spans="2:15" ht="33" customHeight="1" x14ac:dyDescent="0.25">
      <c r="B205" s="1077" t="s">
        <v>276</v>
      </c>
      <c r="C205" s="1078"/>
      <c r="D205" s="1078"/>
      <c r="E205" s="1079"/>
      <c r="F205" s="162"/>
      <c r="G205" s="930"/>
      <c r="H205" s="930"/>
      <c r="I205" s="686"/>
      <c r="J205" s="686"/>
      <c r="K205" s="686"/>
      <c r="L205" s="686"/>
      <c r="M205" s="686"/>
      <c r="O205" s="686"/>
    </row>
    <row r="206" spans="2:15" ht="28.5" customHeight="1" x14ac:dyDescent="0.25">
      <c r="B206" s="1068" t="str">
        <f>"per 31/12/"&amp;$M$35</f>
        <v>per 31/12/2014</v>
      </c>
      <c r="C206" s="1069"/>
      <c r="D206" s="1069"/>
      <c r="E206" s="1070"/>
      <c r="F206" s="162"/>
      <c r="G206" s="935"/>
      <c r="H206" s="935"/>
      <c r="I206" s="684">
        <f>+$I$28+I110</f>
        <v>0</v>
      </c>
      <c r="J206" s="684">
        <f>+$J$28+J110</f>
        <v>0</v>
      </c>
      <c r="K206" s="684">
        <f>+$K$28+K110</f>
        <v>0</v>
      </c>
      <c r="L206" s="684">
        <f>+$L$28+L110</f>
        <v>0</v>
      </c>
      <c r="M206" s="684">
        <f>+$M$28+M110</f>
        <v>0</v>
      </c>
      <c r="O206" s="679">
        <f t="shared" ref="O206:O212" si="81">SUM(I206:M206)</f>
        <v>0</v>
      </c>
    </row>
    <row r="207" spans="2:15" ht="28.5" customHeight="1" x14ac:dyDescent="0.25">
      <c r="B207" s="1068" t="str">
        <f>"per 31/12/"&amp;$M$35+1</f>
        <v>per 31/12/2015</v>
      </c>
      <c r="C207" s="1069"/>
      <c r="D207" s="1069"/>
      <c r="E207" s="1070"/>
      <c r="F207" s="162"/>
      <c r="G207" s="935"/>
      <c r="H207" s="935"/>
      <c r="I207" s="684">
        <f t="shared" ref="I207:M207" si="82">+I206+I111</f>
        <v>0</v>
      </c>
      <c r="J207" s="684">
        <f t="shared" si="82"/>
        <v>0</v>
      </c>
      <c r="K207" s="684">
        <f t="shared" si="82"/>
        <v>0</v>
      </c>
      <c r="L207" s="684">
        <f t="shared" si="82"/>
        <v>0</v>
      </c>
      <c r="M207" s="684">
        <f t="shared" si="82"/>
        <v>0</v>
      </c>
      <c r="O207" s="679">
        <f t="shared" si="81"/>
        <v>0</v>
      </c>
    </row>
    <row r="208" spans="2:15" ht="28.5" customHeight="1" x14ac:dyDescent="0.25">
      <c r="B208" s="1068" t="str">
        <f>"per 31/12/"&amp;$M$35+2</f>
        <v>per 31/12/2016</v>
      </c>
      <c r="C208" s="1069"/>
      <c r="D208" s="1069"/>
      <c r="E208" s="1070"/>
      <c r="F208" s="162"/>
      <c r="G208" s="935"/>
      <c r="H208" s="935"/>
      <c r="I208" s="684">
        <f t="shared" ref="I208:M208" si="83">+I207+I112</f>
        <v>0</v>
      </c>
      <c r="J208" s="684">
        <f t="shared" si="83"/>
        <v>0</v>
      </c>
      <c r="K208" s="684">
        <f t="shared" si="83"/>
        <v>0</v>
      </c>
      <c r="L208" s="684">
        <f t="shared" si="83"/>
        <v>0</v>
      </c>
      <c r="M208" s="684">
        <f t="shared" si="83"/>
        <v>0</v>
      </c>
      <c r="O208" s="679">
        <f t="shared" si="81"/>
        <v>0</v>
      </c>
    </row>
    <row r="209" spans="2:15" ht="28.5" customHeight="1" x14ac:dyDescent="0.25">
      <c r="B209" s="1068" t="str">
        <f>"per 31/12/"&amp;$M$35+3</f>
        <v>per 31/12/2017</v>
      </c>
      <c r="C209" s="1069"/>
      <c r="D209" s="1069"/>
      <c r="E209" s="1070"/>
      <c r="F209" s="162"/>
      <c r="G209" s="935"/>
      <c r="H209" s="935"/>
      <c r="I209" s="684">
        <f t="shared" ref="I209:M209" si="84">+I208+I113</f>
        <v>0</v>
      </c>
      <c r="J209" s="684">
        <f t="shared" si="84"/>
        <v>0</v>
      </c>
      <c r="K209" s="684">
        <f t="shared" si="84"/>
        <v>0</v>
      </c>
      <c r="L209" s="684">
        <f t="shared" si="84"/>
        <v>0</v>
      </c>
      <c r="M209" s="684">
        <f t="shared" si="84"/>
        <v>0</v>
      </c>
      <c r="O209" s="679">
        <f t="shared" si="81"/>
        <v>0</v>
      </c>
    </row>
    <row r="210" spans="2:15" ht="28.5" customHeight="1" x14ac:dyDescent="0.25">
      <c r="B210" s="1068" t="str">
        <f>"per 31/12/"&amp;$M$35+4</f>
        <v>per 31/12/2018</v>
      </c>
      <c r="C210" s="1069"/>
      <c r="D210" s="1069"/>
      <c r="E210" s="1070"/>
      <c r="F210" s="162"/>
      <c r="G210" s="935"/>
      <c r="H210" s="935"/>
      <c r="I210" s="684">
        <f t="shared" ref="I210:M210" si="85">+I209+I114</f>
        <v>0</v>
      </c>
      <c r="J210" s="684">
        <f t="shared" si="85"/>
        <v>0</v>
      </c>
      <c r="K210" s="684">
        <f t="shared" si="85"/>
        <v>0</v>
      </c>
      <c r="L210" s="684">
        <f t="shared" si="85"/>
        <v>0</v>
      </c>
      <c r="M210" s="684">
        <f t="shared" si="85"/>
        <v>0</v>
      </c>
      <c r="O210" s="679">
        <f t="shared" si="81"/>
        <v>0</v>
      </c>
    </row>
    <row r="211" spans="2:15" ht="28.5" customHeight="1" x14ac:dyDescent="0.25">
      <c r="B211" s="1068" t="str">
        <f>"per 31/12/"&amp;$M$35+5</f>
        <v>per 31/12/2019</v>
      </c>
      <c r="C211" s="1069"/>
      <c r="D211" s="1069"/>
      <c r="E211" s="1070"/>
      <c r="F211" s="162"/>
      <c r="G211" s="935"/>
      <c r="H211" s="935"/>
      <c r="I211" s="684">
        <f t="shared" ref="I211:M211" si="86">+I210+I115</f>
        <v>0</v>
      </c>
      <c r="J211" s="684">
        <f t="shared" si="86"/>
        <v>0</v>
      </c>
      <c r="K211" s="684">
        <f t="shared" si="86"/>
        <v>0</v>
      </c>
      <c r="L211" s="684">
        <f t="shared" si="86"/>
        <v>0</v>
      </c>
      <c r="M211" s="684">
        <f t="shared" si="86"/>
        <v>0</v>
      </c>
      <c r="O211" s="679">
        <f t="shared" si="81"/>
        <v>0</v>
      </c>
    </row>
    <row r="212" spans="2:15" ht="28.5" customHeight="1" x14ac:dyDescent="0.25">
      <c r="B212" s="1068" t="str">
        <f>"per 31/12/"&amp;$M$35+6</f>
        <v>per 31/12/2020</v>
      </c>
      <c r="C212" s="1069"/>
      <c r="D212" s="1069"/>
      <c r="E212" s="1070"/>
      <c r="F212" s="162"/>
      <c r="G212" s="935"/>
      <c r="H212" s="935"/>
      <c r="I212" s="684">
        <f t="shared" ref="I212:M212" si="87">+I211+I116</f>
        <v>0</v>
      </c>
      <c r="J212" s="684">
        <f t="shared" si="87"/>
        <v>0</v>
      </c>
      <c r="K212" s="684">
        <f t="shared" si="87"/>
        <v>0</v>
      </c>
      <c r="L212" s="684">
        <f t="shared" si="87"/>
        <v>0</v>
      </c>
      <c r="M212" s="684">
        <f t="shared" si="87"/>
        <v>0</v>
      </c>
      <c r="O212" s="679">
        <f t="shared" si="81"/>
        <v>0</v>
      </c>
    </row>
    <row r="213" spans="2:15" ht="13" x14ac:dyDescent="0.3">
      <c r="G213" s="932"/>
      <c r="H213" s="932"/>
      <c r="I213" s="680"/>
      <c r="J213" s="680"/>
      <c r="K213" s="680"/>
      <c r="L213" s="680"/>
      <c r="M213" s="680"/>
      <c r="O213" s="845"/>
    </row>
    <row r="214" spans="2:15" s="381" customFormat="1" ht="13" x14ac:dyDescent="0.3">
      <c r="B214" s="1168"/>
      <c r="C214" s="1168"/>
      <c r="D214" s="1168"/>
      <c r="E214" s="1168"/>
      <c r="G214" s="924"/>
      <c r="H214" s="924"/>
      <c r="I214" s="675">
        <v>2010</v>
      </c>
      <c r="J214" s="675">
        <f t="shared" ref="J214:M214" si="88">+I214+1</f>
        <v>2011</v>
      </c>
      <c r="K214" s="675">
        <f t="shared" si="88"/>
        <v>2012</v>
      </c>
      <c r="L214" s="675">
        <f t="shared" si="88"/>
        <v>2013</v>
      </c>
      <c r="M214" s="675">
        <f t="shared" si="88"/>
        <v>2014</v>
      </c>
      <c r="N214" s="48"/>
      <c r="O214" s="675" t="s">
        <v>31</v>
      </c>
    </row>
    <row r="215" spans="2:15" s="682" customFormat="1" ht="26.25" customHeight="1" x14ac:dyDescent="0.25">
      <c r="B215" s="1179" t="s">
        <v>384</v>
      </c>
      <c r="C215" s="1180"/>
      <c r="D215" s="1180"/>
      <c r="E215" s="1181"/>
      <c r="F215" s="699"/>
      <c r="G215" s="933"/>
      <c r="H215" s="933"/>
      <c r="I215" s="696"/>
      <c r="J215" s="696"/>
      <c r="K215" s="696"/>
      <c r="L215" s="696"/>
      <c r="M215" s="696"/>
      <c r="O215" s="949"/>
    </row>
    <row r="216" spans="2:15" ht="28.5" customHeight="1" x14ac:dyDescent="0.25">
      <c r="B216" s="1063" t="str">
        <f>"per 31/12/"&amp;$M$35</f>
        <v>per 31/12/2014</v>
      </c>
      <c r="C216" s="1064"/>
      <c r="D216" s="1064"/>
      <c r="E216" s="1065"/>
      <c r="F216" s="697"/>
      <c r="G216" s="934"/>
      <c r="H216" s="934"/>
      <c r="I216" s="698">
        <f t="shared" ref="I216:L222" si="89">SUM(I134,I142,I150,I158,I166,I174,I182,I190,I198,I206)</f>
        <v>0</v>
      </c>
      <c r="J216" s="698">
        <f t="shared" si="89"/>
        <v>0</v>
      </c>
      <c r="K216" s="698">
        <f t="shared" si="89"/>
        <v>0</v>
      </c>
      <c r="L216" s="698">
        <f t="shared" si="89"/>
        <v>0</v>
      </c>
      <c r="M216" s="698">
        <f t="shared" ref="M216:M222" si="90">SUM(M134,M142,M150,M158,M166,M174,M182,M190,M198,M206)</f>
        <v>0</v>
      </c>
      <c r="O216" s="844">
        <f t="shared" ref="O216:O221" si="91">SUM(I216:M216)</f>
        <v>0</v>
      </c>
    </row>
    <row r="217" spans="2:15" ht="28.5" customHeight="1" x14ac:dyDescent="0.25">
      <c r="B217" s="1063" t="str">
        <f>"per 31/12/"&amp;$M$35+1</f>
        <v>per 31/12/2015</v>
      </c>
      <c r="C217" s="1064"/>
      <c r="D217" s="1064"/>
      <c r="E217" s="1065"/>
      <c r="F217" s="697"/>
      <c r="G217" s="934"/>
      <c r="H217" s="934"/>
      <c r="I217" s="698">
        <f t="shared" si="89"/>
        <v>0</v>
      </c>
      <c r="J217" s="698">
        <f t="shared" si="89"/>
        <v>0</v>
      </c>
      <c r="K217" s="698">
        <f t="shared" si="89"/>
        <v>0</v>
      </c>
      <c r="L217" s="698">
        <f t="shared" si="89"/>
        <v>0</v>
      </c>
      <c r="M217" s="698">
        <f t="shared" si="90"/>
        <v>0</v>
      </c>
      <c r="O217" s="844">
        <f t="shared" si="91"/>
        <v>0</v>
      </c>
    </row>
    <row r="218" spans="2:15" ht="28.5" customHeight="1" x14ac:dyDescent="0.25">
      <c r="B218" s="1063" t="str">
        <f>"per 31/12/"&amp;$M$35+2</f>
        <v>per 31/12/2016</v>
      </c>
      <c r="C218" s="1064"/>
      <c r="D218" s="1064"/>
      <c r="E218" s="1065"/>
      <c r="F218" s="697"/>
      <c r="G218" s="934"/>
      <c r="H218" s="934"/>
      <c r="I218" s="698">
        <f t="shared" si="89"/>
        <v>0</v>
      </c>
      <c r="J218" s="698">
        <f t="shared" si="89"/>
        <v>0</v>
      </c>
      <c r="K218" s="698">
        <f t="shared" si="89"/>
        <v>0</v>
      </c>
      <c r="L218" s="698">
        <f t="shared" si="89"/>
        <v>0</v>
      </c>
      <c r="M218" s="698">
        <f t="shared" si="90"/>
        <v>0</v>
      </c>
      <c r="O218" s="844">
        <f t="shared" si="91"/>
        <v>0</v>
      </c>
    </row>
    <row r="219" spans="2:15" ht="28.5" customHeight="1" x14ac:dyDescent="0.25">
      <c r="B219" s="1063" t="str">
        <f>"per 31/12/"&amp;$M$35+3</f>
        <v>per 31/12/2017</v>
      </c>
      <c r="C219" s="1064"/>
      <c r="D219" s="1064"/>
      <c r="E219" s="1065"/>
      <c r="F219" s="697"/>
      <c r="G219" s="934"/>
      <c r="H219" s="934"/>
      <c r="I219" s="698">
        <f t="shared" si="89"/>
        <v>0</v>
      </c>
      <c r="J219" s="698">
        <f t="shared" si="89"/>
        <v>0</v>
      </c>
      <c r="K219" s="698">
        <f t="shared" si="89"/>
        <v>0</v>
      </c>
      <c r="L219" s="698">
        <f t="shared" si="89"/>
        <v>0</v>
      </c>
      <c r="M219" s="698">
        <f t="shared" si="90"/>
        <v>0</v>
      </c>
      <c r="O219" s="844">
        <f t="shared" si="91"/>
        <v>0</v>
      </c>
    </row>
    <row r="220" spans="2:15" ht="28.5" customHeight="1" x14ac:dyDescent="0.25">
      <c r="B220" s="1063" t="str">
        <f>"per 31/12/"&amp;$M$35+4</f>
        <v>per 31/12/2018</v>
      </c>
      <c r="C220" s="1064"/>
      <c r="D220" s="1064"/>
      <c r="E220" s="1065"/>
      <c r="F220" s="697"/>
      <c r="G220" s="934"/>
      <c r="H220" s="934"/>
      <c r="I220" s="698">
        <f t="shared" si="89"/>
        <v>0</v>
      </c>
      <c r="J220" s="698">
        <f t="shared" si="89"/>
        <v>0</v>
      </c>
      <c r="K220" s="698">
        <f t="shared" si="89"/>
        <v>0</v>
      </c>
      <c r="L220" s="698">
        <f t="shared" si="89"/>
        <v>0</v>
      </c>
      <c r="M220" s="698">
        <f t="shared" si="90"/>
        <v>0</v>
      </c>
      <c r="O220" s="844">
        <f t="shared" si="91"/>
        <v>0</v>
      </c>
    </row>
    <row r="221" spans="2:15" ht="28.5" customHeight="1" x14ac:dyDescent="0.25">
      <c r="B221" s="1063" t="str">
        <f>"per 31/12/"&amp;$M$35+5</f>
        <v>per 31/12/2019</v>
      </c>
      <c r="C221" s="1064"/>
      <c r="D221" s="1064"/>
      <c r="E221" s="1065"/>
      <c r="F221" s="697"/>
      <c r="G221" s="934"/>
      <c r="H221" s="934"/>
      <c r="I221" s="698">
        <f t="shared" si="89"/>
        <v>0</v>
      </c>
      <c r="J221" s="698">
        <f t="shared" si="89"/>
        <v>0</v>
      </c>
      <c r="K221" s="698">
        <f t="shared" si="89"/>
        <v>0</v>
      </c>
      <c r="L221" s="698">
        <f t="shared" si="89"/>
        <v>0</v>
      </c>
      <c r="M221" s="698">
        <f t="shared" si="90"/>
        <v>0</v>
      </c>
      <c r="O221" s="844">
        <f t="shared" si="91"/>
        <v>0</v>
      </c>
    </row>
    <row r="222" spans="2:15" ht="28.5" customHeight="1" x14ac:dyDescent="0.25">
      <c r="B222" s="1063" t="str">
        <f>"per 31/12/"&amp;$M$35+6</f>
        <v>per 31/12/2020</v>
      </c>
      <c r="C222" s="1064"/>
      <c r="D222" s="1064"/>
      <c r="E222" s="1065"/>
      <c r="F222" s="697"/>
      <c r="G222" s="934"/>
      <c r="H222" s="934"/>
      <c r="I222" s="698">
        <f t="shared" si="89"/>
        <v>0</v>
      </c>
      <c r="J222" s="698">
        <f t="shared" si="89"/>
        <v>0</v>
      </c>
      <c r="K222" s="698">
        <f t="shared" si="89"/>
        <v>0</v>
      </c>
      <c r="L222" s="698">
        <f t="shared" si="89"/>
        <v>0</v>
      </c>
      <c r="M222" s="698">
        <f t="shared" si="90"/>
        <v>0</v>
      </c>
      <c r="O222" s="844">
        <f>SUM(I222:M222)</f>
        <v>0</v>
      </c>
    </row>
    <row r="223" spans="2:15" ht="13" x14ac:dyDescent="0.3">
      <c r="B223" s="390"/>
      <c r="C223" s="390"/>
      <c r="D223" s="390"/>
      <c r="E223" s="390"/>
      <c r="F223" s="391"/>
      <c r="G223" s="392"/>
      <c r="H223" s="392"/>
      <c r="I223" s="392"/>
      <c r="J223" s="392"/>
      <c r="K223" s="392"/>
      <c r="L223" s="392"/>
      <c r="M223" s="392"/>
      <c r="O223" s="392"/>
    </row>
    <row r="224" spans="2:15" ht="13" x14ac:dyDescent="0.3">
      <c r="B224" s="390"/>
      <c r="C224" s="390"/>
      <c r="D224" s="390"/>
      <c r="E224" s="390"/>
      <c r="F224" s="391"/>
      <c r="G224" s="392"/>
      <c r="H224" s="392"/>
      <c r="I224" s="392"/>
      <c r="J224" s="392"/>
      <c r="K224" s="392"/>
      <c r="L224" s="392"/>
      <c r="M224" s="392"/>
      <c r="O224" s="392"/>
    </row>
    <row r="226" spans="2:15" ht="13" x14ac:dyDescent="0.3">
      <c r="B226" s="390"/>
      <c r="C226" s="390"/>
      <c r="D226" s="390"/>
      <c r="E226" s="390"/>
      <c r="F226" s="391"/>
      <c r="G226" s="435" t="s">
        <v>56</v>
      </c>
      <c r="H226" s="392"/>
      <c r="I226" s="392"/>
      <c r="J226" s="392"/>
      <c r="K226" s="392"/>
      <c r="L226" s="392"/>
      <c r="M226" s="392"/>
      <c r="O226" s="392"/>
    </row>
    <row r="227" spans="2:15" ht="13" x14ac:dyDescent="0.3">
      <c r="G227" s="435" t="s">
        <v>57</v>
      </c>
      <c r="H227" s="1182" t="s">
        <v>385</v>
      </c>
      <c r="I227" s="1183"/>
      <c r="J227" s="1184"/>
    </row>
    <row r="228" spans="2:15" ht="80.25" customHeight="1" x14ac:dyDescent="0.25">
      <c r="B228" s="1089" t="s">
        <v>130</v>
      </c>
      <c r="C228" s="1090"/>
      <c r="D228" s="1090"/>
      <c r="E228" s="1091"/>
      <c r="F228" s="162"/>
      <c r="G228" s="675" t="str">
        <f>"[Afbouw van de exploitatiesaldi voor de jaren 2010-2014 in het toegelaten inkomen voor boekjaar "&amp;L1&amp;"]"</f>
        <v>[Afbouw van de exploitatiesaldi voor de jaren 2010-2014 in het toegelaten inkomen voor boekjaar 2019]</v>
      </c>
      <c r="H228" s="952" t="s">
        <v>385</v>
      </c>
      <c r="I228" s="952" t="s">
        <v>385</v>
      </c>
      <c r="J228" s="953" t="s">
        <v>385</v>
      </c>
    </row>
    <row r="229" spans="2:15" ht="13" x14ac:dyDescent="0.25">
      <c r="B229" s="384"/>
      <c r="C229" s="384"/>
      <c r="D229" s="384"/>
      <c r="E229" s="384"/>
      <c r="F229" s="385"/>
      <c r="G229" s="386"/>
      <c r="H229" s="936"/>
      <c r="I229" s="936"/>
      <c r="J229" s="936"/>
    </row>
    <row r="230" spans="2:15" s="685" customFormat="1" ht="28.5" customHeight="1" x14ac:dyDescent="0.25">
      <c r="B230" s="1081" t="s">
        <v>131</v>
      </c>
      <c r="C230" s="1081"/>
      <c r="D230" s="1081"/>
      <c r="E230" s="1081"/>
      <c r="F230" s="688"/>
      <c r="G230" s="677">
        <v>0</v>
      </c>
      <c r="H230" s="935"/>
      <c r="I230" s="943"/>
      <c r="J230" s="935"/>
      <c r="O230" s="893"/>
    </row>
    <row r="231" spans="2:15" s="685" customFormat="1" ht="18.75" customHeight="1" x14ac:dyDescent="0.25">
      <c r="B231" s="1081" t="s">
        <v>132</v>
      </c>
      <c r="C231" s="1081"/>
      <c r="D231" s="1081"/>
      <c r="E231" s="1081"/>
      <c r="F231" s="688"/>
      <c r="G231" s="677">
        <v>0</v>
      </c>
      <c r="H231" s="935"/>
      <c r="I231" s="943"/>
      <c r="J231" s="935"/>
      <c r="O231" s="893"/>
    </row>
    <row r="232" spans="2:15" s="685" customFormat="1" ht="18.75" customHeight="1" x14ac:dyDescent="0.25">
      <c r="B232" s="1081" t="s">
        <v>138</v>
      </c>
      <c r="C232" s="1081"/>
      <c r="D232" s="1081"/>
      <c r="E232" s="1081"/>
      <c r="F232" s="688"/>
      <c r="G232" s="677">
        <v>0</v>
      </c>
      <c r="H232" s="935"/>
      <c r="I232" s="943"/>
      <c r="J232" s="935"/>
      <c r="O232" s="893"/>
    </row>
    <row r="233" spans="2:15" s="685" customFormat="1" ht="17.25" customHeight="1" x14ac:dyDescent="0.25">
      <c r="B233" s="1081" t="s">
        <v>133</v>
      </c>
      <c r="C233" s="1081"/>
      <c r="D233" s="1081"/>
      <c r="E233" s="1081"/>
      <c r="F233" s="688"/>
      <c r="G233" s="677">
        <v>0</v>
      </c>
      <c r="H233" s="935"/>
      <c r="I233" s="943"/>
      <c r="J233" s="935"/>
      <c r="O233" s="893"/>
    </row>
    <row r="234" spans="2:15" s="685" customFormat="1" ht="33" customHeight="1" x14ac:dyDescent="0.25">
      <c r="B234" s="1081" t="s">
        <v>277</v>
      </c>
      <c r="C234" s="1081"/>
      <c r="D234" s="1081"/>
      <c r="E234" s="1081"/>
      <c r="F234" s="688"/>
      <c r="G234" s="677">
        <v>0</v>
      </c>
      <c r="H234" s="935"/>
      <c r="I234" s="943"/>
      <c r="J234" s="935"/>
      <c r="O234" s="893"/>
    </row>
    <row r="235" spans="2:15" s="685" customFormat="1" ht="29.25" customHeight="1" x14ac:dyDescent="0.25">
      <c r="B235" s="1081" t="s">
        <v>239</v>
      </c>
      <c r="C235" s="1081"/>
      <c r="D235" s="1081"/>
      <c r="E235" s="1081"/>
      <c r="F235" s="688"/>
      <c r="G235" s="677">
        <v>0</v>
      </c>
      <c r="H235" s="935"/>
      <c r="I235" s="943"/>
      <c r="J235" s="935"/>
      <c r="O235" s="893"/>
    </row>
    <row r="236" spans="2:15" s="685" customFormat="1" ht="19.5" customHeight="1" x14ac:dyDescent="0.25">
      <c r="B236" s="1081" t="s">
        <v>237</v>
      </c>
      <c r="C236" s="1081"/>
      <c r="D236" s="1081"/>
      <c r="E236" s="1081"/>
      <c r="F236" s="688"/>
      <c r="G236" s="677">
        <v>0</v>
      </c>
      <c r="H236" s="935"/>
      <c r="I236" s="943"/>
      <c r="J236" s="935"/>
      <c r="O236" s="893"/>
    </row>
    <row r="237" spans="2:15" s="685" customFormat="1" ht="32.25" customHeight="1" x14ac:dyDescent="0.25">
      <c r="B237" s="1081" t="s">
        <v>287</v>
      </c>
      <c r="C237" s="1081"/>
      <c r="D237" s="1081"/>
      <c r="E237" s="1081"/>
      <c r="F237" s="688"/>
      <c r="G237" s="677">
        <v>0</v>
      </c>
      <c r="H237" s="935"/>
      <c r="I237" s="943"/>
      <c r="J237" s="935"/>
      <c r="O237" s="893"/>
    </row>
    <row r="238" spans="2:15" s="685" customFormat="1" ht="27" customHeight="1" x14ac:dyDescent="0.25">
      <c r="B238" s="1081" t="s">
        <v>134</v>
      </c>
      <c r="C238" s="1081"/>
      <c r="D238" s="1081"/>
      <c r="E238" s="1081"/>
      <c r="F238" s="688"/>
      <c r="G238" s="677">
        <v>0</v>
      </c>
      <c r="H238" s="935"/>
      <c r="I238" s="943"/>
      <c r="J238" s="935"/>
      <c r="O238" s="893"/>
    </row>
    <row r="239" spans="2:15" s="685" customFormat="1" ht="15.75" customHeight="1" x14ac:dyDescent="0.25">
      <c r="B239" s="1082" t="s">
        <v>276</v>
      </c>
      <c r="C239" s="1083"/>
      <c r="D239" s="1083"/>
      <c r="E239" s="1084"/>
      <c r="F239" s="688"/>
      <c r="G239" s="677">
        <v>0</v>
      </c>
      <c r="H239" s="935"/>
      <c r="I239" s="943"/>
      <c r="J239" s="935"/>
      <c r="O239" s="893"/>
    </row>
    <row r="240" spans="2:15" x14ac:dyDescent="0.25">
      <c r="H240" s="932"/>
      <c r="I240" s="944"/>
      <c r="J240" s="932"/>
    </row>
    <row r="241" spans="2:15" ht="21.75" customHeight="1" x14ac:dyDescent="0.25">
      <c r="B241" s="1169" t="s">
        <v>33</v>
      </c>
      <c r="C241" s="1170"/>
      <c r="D241" s="1170"/>
      <c r="E241" s="1171"/>
      <c r="F241" s="771"/>
      <c r="G241" s="690">
        <f>SUM(G230:G239)</f>
        <v>0</v>
      </c>
      <c r="H241" s="945"/>
      <c r="I241" s="946"/>
      <c r="J241" s="945"/>
    </row>
    <row r="243" spans="2:15" ht="13" x14ac:dyDescent="0.3">
      <c r="B243" s="381"/>
    </row>
    <row r="248" spans="2:15" ht="13" x14ac:dyDescent="0.3">
      <c r="B248" s="936"/>
      <c r="C248" s="936"/>
      <c r="D248" s="936"/>
      <c r="E248" s="936"/>
      <c r="F248" s="936"/>
      <c r="G248" s="434" t="s">
        <v>339</v>
      </c>
      <c r="H248" s="936"/>
      <c r="I248" s="936"/>
      <c r="J248" s="936"/>
      <c r="K248" s="936"/>
      <c r="L248" s="936"/>
      <c r="M248" s="936"/>
      <c r="N248" s="936"/>
      <c r="O248" s="957"/>
    </row>
    <row r="249" spans="2:15" ht="13" x14ac:dyDescent="0.3">
      <c r="B249" s="936"/>
      <c r="C249" s="936"/>
      <c r="D249" s="936"/>
      <c r="E249" s="936"/>
      <c r="F249" s="936"/>
      <c r="G249" s="434" t="s">
        <v>145</v>
      </c>
      <c r="H249" s="936"/>
      <c r="I249" s="936"/>
      <c r="J249" s="936"/>
      <c r="K249" s="936"/>
      <c r="L249" s="936"/>
      <c r="M249" s="936"/>
      <c r="N249" s="936"/>
      <c r="O249" s="957"/>
    </row>
    <row r="250" spans="2:15" s="176" customFormat="1" ht="69.75" customHeight="1" x14ac:dyDescent="0.25">
      <c r="B250" s="1175" t="s">
        <v>354</v>
      </c>
      <c r="C250" s="1176"/>
      <c r="D250" s="1176"/>
      <c r="E250" s="1177"/>
      <c r="F250" s="937"/>
      <c r="G250" s="675" t="s">
        <v>385</v>
      </c>
      <c r="H250" s="675" t="s">
        <v>385</v>
      </c>
      <c r="I250" s="675">
        <f t="shared" ref="I250:M250" si="92">+I131</f>
        <v>2010</v>
      </c>
      <c r="J250" s="675">
        <f t="shared" si="92"/>
        <v>2011</v>
      </c>
      <c r="K250" s="675">
        <f t="shared" si="92"/>
        <v>2012</v>
      </c>
      <c r="L250" s="675">
        <f t="shared" si="92"/>
        <v>2013</v>
      </c>
      <c r="M250" s="675">
        <f t="shared" si="92"/>
        <v>2014</v>
      </c>
      <c r="N250" s="598"/>
      <c r="O250" s="675" t="str">
        <f>+O131</f>
        <v>TOTAAL</v>
      </c>
    </row>
    <row r="251" spans="2:15" s="714" customFormat="1" ht="12" customHeight="1" x14ac:dyDescent="0.25">
      <c r="B251" s="384"/>
      <c r="C251" s="384"/>
      <c r="D251" s="384"/>
      <c r="E251" s="384"/>
      <c r="F251" s="938"/>
      <c r="G251" s="925"/>
      <c r="H251" s="926"/>
      <c r="I251" s="387"/>
      <c r="N251" s="598"/>
    </row>
    <row r="252" spans="2:15" s="610" customFormat="1" ht="28.5" customHeight="1" x14ac:dyDescent="0.25">
      <c r="B252" s="1178" t="s">
        <v>374</v>
      </c>
      <c r="C252" s="1178"/>
      <c r="D252" s="1178"/>
      <c r="E252" s="1178"/>
      <c r="F252" s="937"/>
      <c r="G252" s="939"/>
      <c r="H252" s="939"/>
      <c r="I252" s="948">
        <v>0</v>
      </c>
      <c r="J252" s="948">
        <v>0</v>
      </c>
      <c r="K252" s="948">
        <v>0</v>
      </c>
      <c r="L252" s="948">
        <v>0</v>
      </c>
      <c r="M252" s="948">
        <v>0</v>
      </c>
      <c r="N252" s="598"/>
      <c r="O252" s="954">
        <f>SUM(I252:M252)</f>
        <v>0</v>
      </c>
    </row>
    <row r="253" spans="2:15" s="610" customFormat="1" x14ac:dyDescent="0.25">
      <c r="B253" s="176"/>
      <c r="C253" s="176"/>
      <c r="D253" s="176"/>
      <c r="E253" s="176"/>
      <c r="F253" s="940"/>
      <c r="G253" s="940"/>
      <c r="H253" s="940"/>
      <c r="I253" s="176"/>
      <c r="J253" s="176"/>
      <c r="K253" s="176"/>
      <c r="L253" s="176"/>
      <c r="M253" s="176"/>
      <c r="N253" s="598"/>
      <c r="O253" s="176"/>
    </row>
    <row r="254" spans="2:15" s="610" customFormat="1" ht="13" x14ac:dyDescent="0.25">
      <c r="B254" s="1172" t="s">
        <v>33</v>
      </c>
      <c r="C254" s="1173"/>
      <c r="D254" s="1173"/>
      <c r="E254" s="1174"/>
      <c r="F254" s="941"/>
      <c r="G254" s="942"/>
      <c r="H254" s="942"/>
      <c r="I254" s="436">
        <f t="shared" ref="I254:L254" si="93">SUM(I252:I252)</f>
        <v>0</v>
      </c>
      <c r="J254" s="436">
        <f t="shared" si="93"/>
        <v>0</v>
      </c>
      <c r="K254" s="436">
        <f t="shared" si="93"/>
        <v>0</v>
      </c>
      <c r="L254" s="436">
        <f t="shared" si="93"/>
        <v>0</v>
      </c>
      <c r="M254" s="436">
        <f>SUM(M252:M252)</f>
        <v>0</v>
      </c>
      <c r="N254" s="598"/>
      <c r="O254" s="436">
        <f>SUM(O252:O252)</f>
        <v>0</v>
      </c>
    </row>
  </sheetData>
  <customSheetViews>
    <customSheetView guid="{C8C7977F-B6BF-432B-A1A7-559450D521AF}" scale="90" topLeftCell="A14">
      <selection activeCell="G49" sqref="G48:G49"/>
      <pageMargins left="0.7" right="0.7" top="0.75" bottom="0.75" header="0.3" footer="0.3"/>
      <pageSetup paperSize="9" orientation="portrait" r:id="rId1"/>
    </customSheetView>
  </customSheetViews>
  <mergeCells count="213">
    <mergeCell ref="H227:J227"/>
    <mergeCell ref="B218:E218"/>
    <mergeCell ref="B232:E232"/>
    <mergeCell ref="B209:E209"/>
    <mergeCell ref="B210:E210"/>
    <mergeCell ref="B211:E211"/>
    <mergeCell ref="B212:E212"/>
    <mergeCell ref="B214:E214"/>
    <mergeCell ref="B12:H12"/>
    <mergeCell ref="B64:E64"/>
    <mergeCell ref="B109:E109"/>
    <mergeCell ref="B110:E110"/>
    <mergeCell ref="B111:E111"/>
    <mergeCell ref="B91:E91"/>
    <mergeCell ref="B92:E92"/>
    <mergeCell ref="B95:E95"/>
    <mergeCell ref="B99:E99"/>
    <mergeCell ref="B106:E106"/>
    <mergeCell ref="B107:E107"/>
    <mergeCell ref="B108:E108"/>
    <mergeCell ref="B84:E84"/>
    <mergeCell ref="B75:E75"/>
    <mergeCell ref="B76:E76"/>
    <mergeCell ref="B87:E87"/>
    <mergeCell ref="B101:E101"/>
    <mergeCell ref="B102:E102"/>
    <mergeCell ref="B105:E105"/>
    <mergeCell ref="B197:E197"/>
    <mergeCell ref="B198:E198"/>
    <mergeCell ref="B205:E205"/>
    <mergeCell ref="B181:E181"/>
    <mergeCell ref="B182:E182"/>
    <mergeCell ref="B183:E183"/>
    <mergeCell ref="B185:E185"/>
    <mergeCell ref="B186:E186"/>
    <mergeCell ref="B188:E188"/>
    <mergeCell ref="B189:E189"/>
    <mergeCell ref="B154:E154"/>
    <mergeCell ref="B161:E161"/>
    <mergeCell ref="B184:E184"/>
    <mergeCell ref="B173:E173"/>
    <mergeCell ref="B175:E175"/>
    <mergeCell ref="B179:E179"/>
    <mergeCell ref="B193:E193"/>
    <mergeCell ref="B190:E190"/>
    <mergeCell ref="B241:E241"/>
    <mergeCell ref="B44:E44"/>
    <mergeCell ref="B46:E46"/>
    <mergeCell ref="B47:E47"/>
    <mergeCell ref="B48:E48"/>
    <mergeCell ref="B49:E49"/>
    <mergeCell ref="B50:E50"/>
    <mergeCell ref="B51:E51"/>
    <mergeCell ref="B52:E52"/>
    <mergeCell ref="B187:E187"/>
    <mergeCell ref="B53:E53"/>
    <mergeCell ref="B72:E72"/>
    <mergeCell ref="B73:E73"/>
    <mergeCell ref="B78:E78"/>
    <mergeCell ref="B79:E79"/>
    <mergeCell ref="B83:E83"/>
    <mergeCell ref="B70:E70"/>
    <mergeCell ref="B71:E71"/>
    <mergeCell ref="B194:E194"/>
    <mergeCell ref="B195:E195"/>
    <mergeCell ref="B180:E180"/>
    <mergeCell ref="B88:E88"/>
    <mergeCell ref="B86:E86"/>
    <mergeCell ref="B96:E96"/>
    <mergeCell ref="B191:E191"/>
    <mergeCell ref="B178:E178"/>
    <mergeCell ref="B177:E177"/>
    <mergeCell ref="B98:E98"/>
    <mergeCell ref="B136:E136"/>
    <mergeCell ref="B121:E121"/>
    <mergeCell ref="B145:E145"/>
    <mergeCell ref="B146:E146"/>
    <mergeCell ref="B147:E147"/>
    <mergeCell ref="B148:E148"/>
    <mergeCell ref="B127:E127"/>
    <mergeCell ref="B137:E137"/>
    <mergeCell ref="B133:E133"/>
    <mergeCell ref="B144:E144"/>
    <mergeCell ref="B139:E139"/>
    <mergeCell ref="B140:E140"/>
    <mergeCell ref="B141:E141"/>
    <mergeCell ref="B142:E142"/>
    <mergeCell ref="B143:E143"/>
    <mergeCell ref="B115:E115"/>
    <mergeCell ref="B116:E116"/>
    <mergeCell ref="B118:E118"/>
    <mergeCell ref="B119:E119"/>
    <mergeCell ref="B112:E112"/>
    <mergeCell ref="A1:J1"/>
    <mergeCell ref="B228:E228"/>
    <mergeCell ref="B230:E230"/>
    <mergeCell ref="B231:E231"/>
    <mergeCell ref="B233:E233"/>
    <mergeCell ref="B150:E150"/>
    <mergeCell ref="B151:E151"/>
    <mergeCell ref="B35:E35"/>
    <mergeCell ref="B192:E192"/>
    <mergeCell ref="B157:E157"/>
    <mergeCell ref="B41:E41"/>
    <mergeCell ref="B80:E80"/>
    <mergeCell ref="B82:E82"/>
    <mergeCell ref="B77:E77"/>
    <mergeCell ref="B97:E97"/>
    <mergeCell ref="B81:E81"/>
    <mergeCell ref="B68:E68"/>
    <mergeCell ref="B94:E94"/>
    <mergeCell ref="B90:E90"/>
    <mergeCell ref="B85:E85"/>
    <mergeCell ref="B37:E37"/>
    <mergeCell ref="B38:E38"/>
    <mergeCell ref="B39:E39"/>
    <mergeCell ref="B40:E40"/>
    <mergeCell ref="B4:E4"/>
    <mergeCell ref="B7:E7"/>
    <mergeCell ref="B17:E17"/>
    <mergeCell ref="B19:E19"/>
    <mergeCell ref="B20:E20"/>
    <mergeCell ref="B21:E21"/>
    <mergeCell ref="B61:E61"/>
    <mergeCell ref="B74:E74"/>
    <mergeCell ref="B66:E66"/>
    <mergeCell ref="B67:E67"/>
    <mergeCell ref="B59:E59"/>
    <mergeCell ref="B45:E45"/>
    <mergeCell ref="B65:E65"/>
    <mergeCell ref="B42:E42"/>
    <mergeCell ref="B43:E43"/>
    <mergeCell ref="B62:E62"/>
    <mergeCell ref="B63:E63"/>
    <mergeCell ref="B54:E54"/>
    <mergeCell ref="B55:E55"/>
    <mergeCell ref="B56:E56"/>
    <mergeCell ref="B57:E57"/>
    <mergeCell ref="B58:E58"/>
    <mergeCell ref="B69:E69"/>
    <mergeCell ref="B60:E60"/>
    <mergeCell ref="B134:E134"/>
    <mergeCell ref="B135:E135"/>
    <mergeCell ref="B120:E120"/>
    <mergeCell ref="B122:E122"/>
    <mergeCell ref="B123:E123"/>
    <mergeCell ref="B124:E124"/>
    <mergeCell ref="B125:E125"/>
    <mergeCell ref="B126:E126"/>
    <mergeCell ref="B22:E22"/>
    <mergeCell ref="B24:E24"/>
    <mergeCell ref="B25:E25"/>
    <mergeCell ref="B26:E26"/>
    <mergeCell ref="B27:E27"/>
    <mergeCell ref="B30:E30"/>
    <mergeCell ref="B28:E28"/>
    <mergeCell ref="B23:E23"/>
    <mergeCell ref="B131:E131"/>
    <mergeCell ref="B89:E89"/>
    <mergeCell ref="B93:E93"/>
    <mergeCell ref="B103:E103"/>
    <mergeCell ref="B104:E104"/>
    <mergeCell ref="B113:E113"/>
    <mergeCell ref="B114:E114"/>
    <mergeCell ref="B100:E100"/>
    <mergeCell ref="B155:E155"/>
    <mergeCell ref="B235:E235"/>
    <mergeCell ref="B138:E138"/>
    <mergeCell ref="B196:E196"/>
    <mergeCell ref="B162:E162"/>
    <mergeCell ref="B163:E163"/>
    <mergeCell ref="B164:E164"/>
    <mergeCell ref="B165:E165"/>
    <mergeCell ref="B174:E174"/>
    <mergeCell ref="B176:E176"/>
    <mergeCell ref="B158:E158"/>
    <mergeCell ref="B169:E169"/>
    <mergeCell ref="B171:E171"/>
    <mergeCell ref="B172:E172"/>
    <mergeCell ref="B166:E166"/>
    <mergeCell ref="B167:E167"/>
    <mergeCell ref="B168:E168"/>
    <mergeCell ref="B170:E170"/>
    <mergeCell ref="B159:E159"/>
    <mergeCell ref="B160:E160"/>
    <mergeCell ref="B156:E156"/>
    <mergeCell ref="B153:E153"/>
    <mergeCell ref="B149:E149"/>
    <mergeCell ref="B152:E152"/>
    <mergeCell ref="B254:E254"/>
    <mergeCell ref="B250:E250"/>
    <mergeCell ref="B252:E252"/>
    <mergeCell ref="B199:E199"/>
    <mergeCell ref="B200:E200"/>
    <mergeCell ref="B201:E201"/>
    <mergeCell ref="B202:E202"/>
    <mergeCell ref="B203:E203"/>
    <mergeCell ref="B204:E204"/>
    <mergeCell ref="B237:E237"/>
    <mergeCell ref="B208:E208"/>
    <mergeCell ref="B239:E239"/>
    <mergeCell ref="B219:E219"/>
    <mergeCell ref="B220:E220"/>
    <mergeCell ref="B221:E221"/>
    <mergeCell ref="B222:E222"/>
    <mergeCell ref="B206:E206"/>
    <mergeCell ref="B234:E234"/>
    <mergeCell ref="B238:E238"/>
    <mergeCell ref="B215:E215"/>
    <mergeCell ref="B216:E216"/>
    <mergeCell ref="B207:E207"/>
    <mergeCell ref="B236:E236"/>
    <mergeCell ref="B217:E217"/>
  </mergeCells>
  <conditionalFormatting sqref="B23:M25 B69:M92 B165:M188 B234:G236">
    <cfRule type="expression" dxfId="11" priority="8" stopIfTrue="1">
      <formula>$B$7="gas"</formula>
    </cfRule>
  </conditionalFormatting>
  <conditionalFormatting sqref="B26:M26 B93:M100 B189:M196 B237:G237">
    <cfRule type="expression" dxfId="10" priority="7" stopIfTrue="1">
      <formula>$B$7="elektriciteit"</formula>
    </cfRule>
  </conditionalFormatting>
  <conditionalFormatting sqref="H234:J236">
    <cfRule type="expression" dxfId="9" priority="6" stopIfTrue="1">
      <formula>$B$7="gas"</formula>
    </cfRule>
  </conditionalFormatting>
  <conditionalFormatting sqref="H237:J237">
    <cfRule type="expression" dxfId="8" priority="5" stopIfTrue="1">
      <formula>$B$7="elektriciteit"</formula>
    </cfRule>
  </conditionalFormatting>
  <conditionalFormatting sqref="O23:O25 O69:O92 O165:O188">
    <cfRule type="expression" dxfId="7" priority="4" stopIfTrue="1">
      <formula>$B$7="gas"</formula>
    </cfRule>
  </conditionalFormatting>
  <conditionalFormatting sqref="O26 O93:O100 O189:O196">
    <cfRule type="expression" dxfId="6" priority="3" stopIfTrue="1">
      <formula>$B$7="elektriciteit"</formula>
    </cfRule>
  </conditionalFormatting>
  <conditionalFormatting sqref="B226:J227 B229:J241 B228:F228 H228:J228">
    <cfRule type="expression" dxfId="5" priority="2" stopIfTrue="1">
      <formula>$E$2="ex-post"</formula>
    </cfRule>
  </conditionalFormatting>
  <conditionalFormatting sqref="G228">
    <cfRule type="expression" dxfId="4" priority="1" stopIfTrue="1">
      <formula>$E$2="ex-post"</formula>
    </cfRule>
  </conditionalFormatting>
  <pageMargins left="0.70866141732283472" right="0.70866141732283472" top="0.74803149606299213" bottom="0.74803149606299213" header="0.31496062992125984" footer="0.31496062992125984"/>
  <pageSetup paperSize="8" scale="27" fitToWidth="2" fitToHeight="2" orientation="landscape" r:id="rId2"/>
  <rowBreaks count="2" manualBreakCount="2">
    <brk id="76" max="14" man="1"/>
    <brk id="156" max="14" man="1"/>
  </rowBreaks>
  <ignoredErrors>
    <ignoredError sqref="I134:M134 I120:M126 O120:O126 I213:M213 I142:M142 I150:M150 I158:M158 I166:M166 I174:M174 I182:M182 I190:M190 I198:M198 O213 I206:M206 I216:M222 I141:O141 N216:N221 I207:N212 N206 I215:N215 N213 I205:O205 N198 I197:O197 N190 I189:O189 N182 I181:O181 N174 I173:O173 N166 I165:O165 N158 I157:O157 N150 I149:O149 N142 J214:O214 N222 I199:N204 I191:N196 I183:N188 I175:N180 I167:N172 I159:N164 I151:N156 I143:N148 I135:N140 O117"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A1:R25"/>
  <sheetViews>
    <sheetView zoomScale="85" zoomScaleNormal="85" workbookViewId="0">
      <selection activeCell="B4" sqref="B4:D8"/>
    </sheetView>
  </sheetViews>
  <sheetFormatPr defaultColWidth="9.1796875" defaultRowHeight="12.5" x14ac:dyDescent="0.25"/>
  <cols>
    <col min="1" max="1" width="8" style="20" customWidth="1"/>
    <col min="2" max="2" width="48.453125" style="20" customWidth="1"/>
    <col min="3" max="3" width="9.1796875" style="20"/>
    <col min="4" max="4" width="27.1796875" style="20" customWidth="1"/>
    <col min="5" max="16384" width="9.1796875" style="20"/>
  </cols>
  <sheetData>
    <row r="1" spans="1:18" ht="38.25" customHeight="1" thickBot="1" x14ac:dyDescent="0.45">
      <c r="A1" s="1113" t="s">
        <v>297</v>
      </c>
      <c r="B1" s="1114"/>
      <c r="C1" s="1114"/>
      <c r="D1" s="1114"/>
      <c r="E1" s="1114"/>
      <c r="F1" s="1115"/>
      <c r="G1" s="394">
        <v>0</v>
      </c>
      <c r="H1" s="394"/>
      <c r="I1" s="394"/>
      <c r="J1" s="394"/>
      <c r="K1" s="394"/>
    </row>
    <row r="2" spans="1:18" x14ac:dyDescent="0.25">
      <c r="F2" s="394"/>
      <c r="G2" s="394"/>
      <c r="H2" s="394"/>
      <c r="I2" s="394"/>
      <c r="J2" s="394"/>
      <c r="K2" s="394"/>
    </row>
    <row r="3" spans="1:18" s="48" customFormat="1" ht="13" x14ac:dyDescent="0.25">
      <c r="B3" s="49" t="s">
        <v>62</v>
      </c>
      <c r="C3" s="50"/>
      <c r="H3" s="50"/>
      <c r="N3" s="483"/>
      <c r="O3" s="483"/>
      <c r="P3" s="483"/>
      <c r="Q3" s="483"/>
      <c r="R3" s="483"/>
    </row>
    <row r="4" spans="1:18" s="48" customFormat="1" x14ac:dyDescent="0.25">
      <c r="B4" s="1016" t="s">
        <v>356</v>
      </c>
      <c r="C4" s="1016"/>
      <c r="D4" s="1016"/>
      <c r="H4" s="50"/>
    </row>
    <row r="5" spans="1:18" x14ac:dyDescent="0.25">
      <c r="B5" s="1016"/>
      <c r="C5" s="1016"/>
      <c r="D5" s="1016"/>
      <c r="F5" s="394"/>
      <c r="G5" s="394"/>
      <c r="H5" s="394"/>
      <c r="I5" s="394"/>
      <c r="J5" s="394"/>
      <c r="K5" s="394"/>
    </row>
    <row r="6" spans="1:18" x14ac:dyDescent="0.25">
      <c r="B6" s="1016"/>
      <c r="C6" s="1016"/>
      <c r="D6" s="1016"/>
      <c r="F6" s="394"/>
      <c r="G6" s="394"/>
      <c r="H6" s="394"/>
      <c r="I6" s="394"/>
      <c r="J6" s="394"/>
      <c r="K6" s="394"/>
    </row>
    <row r="7" spans="1:18" x14ac:dyDescent="0.25">
      <c r="B7" s="1016"/>
      <c r="C7" s="1016"/>
      <c r="D7" s="1016"/>
      <c r="F7" s="394"/>
      <c r="G7" s="394"/>
      <c r="H7" s="394"/>
      <c r="I7" s="394"/>
      <c r="J7" s="394"/>
      <c r="K7" s="394"/>
    </row>
    <row r="8" spans="1:18" x14ac:dyDescent="0.25">
      <c r="B8" s="1016"/>
      <c r="C8" s="1016"/>
      <c r="D8" s="1016"/>
      <c r="F8" s="394"/>
      <c r="G8" s="394"/>
      <c r="H8" s="394"/>
      <c r="I8" s="394"/>
      <c r="J8" s="394"/>
      <c r="K8" s="394"/>
    </row>
    <row r="9" spans="1:18" x14ac:dyDescent="0.25">
      <c r="F9" s="394"/>
      <c r="G9" s="394"/>
      <c r="H9" s="394"/>
      <c r="I9" s="394"/>
      <c r="J9" s="394"/>
      <c r="K9" s="394"/>
    </row>
    <row r="10" spans="1:18" x14ac:dyDescent="0.25">
      <c r="B10" s="1185"/>
      <c r="D10" s="393" t="s">
        <v>2</v>
      </c>
      <c r="F10" s="394" t="str">
        <f>+TITELBLAD!B18</f>
        <v>Rapportering over boekjaar:</v>
      </c>
      <c r="G10" s="394"/>
      <c r="H10" s="394"/>
      <c r="I10" s="394">
        <f>+TITELBLAD!E18</f>
        <v>2019</v>
      </c>
      <c r="J10" s="394" t="str">
        <f>+TITELBLAD!F18</f>
        <v>ex-ante</v>
      </c>
      <c r="K10" s="394"/>
    </row>
    <row r="11" spans="1:18" x14ac:dyDescent="0.25">
      <c r="B11" s="1186"/>
      <c r="D11" s="125">
        <f>TITELBLAD!E18</f>
        <v>2019</v>
      </c>
      <c r="F11" s="394"/>
      <c r="G11" s="394"/>
      <c r="H11" s="394"/>
      <c r="I11" s="394"/>
      <c r="J11" s="394"/>
      <c r="K11" s="394" t="s">
        <v>15</v>
      </c>
    </row>
    <row r="12" spans="1:18" x14ac:dyDescent="0.25">
      <c r="B12" s="1186"/>
      <c r="D12" s="124" t="str">
        <f>TITELBLAD!$C$7</f>
        <v>Naam distributienetbeheerder</v>
      </c>
      <c r="F12" s="394"/>
      <c r="G12" s="394"/>
      <c r="H12" s="394"/>
      <c r="I12" s="394"/>
      <c r="J12" s="394"/>
      <c r="K12" s="394" t="s">
        <v>16</v>
      </c>
    </row>
    <row r="13" spans="1:18" x14ac:dyDescent="0.25">
      <c r="B13" s="1186"/>
      <c r="D13" s="125" t="str">
        <f>TITELBLAD!C12</f>
        <v>elektriciteit</v>
      </c>
      <c r="F13" s="394"/>
      <c r="G13" s="394"/>
      <c r="H13" s="394"/>
      <c r="I13" s="394"/>
      <c r="J13" s="394"/>
      <c r="K13" s="394"/>
    </row>
    <row r="14" spans="1:18" x14ac:dyDescent="0.25">
      <c r="B14" s="1186"/>
      <c r="D14" s="126"/>
      <c r="F14" s="394"/>
      <c r="G14" s="394"/>
      <c r="H14" s="394"/>
      <c r="I14" s="394"/>
      <c r="J14" s="394"/>
      <c r="K14" s="394"/>
    </row>
    <row r="15" spans="1:18" ht="30.75" customHeight="1" x14ac:dyDescent="0.25">
      <c r="B15" s="675" t="s">
        <v>280</v>
      </c>
      <c r="C15" s="397"/>
      <c r="D15" s="675" t="s">
        <v>1</v>
      </c>
    </row>
    <row r="16" spans="1:18" ht="33.75" customHeight="1" x14ac:dyDescent="0.25">
      <c r="B16" s="752" t="s">
        <v>14</v>
      </c>
      <c r="C16" s="395"/>
      <c r="D16" s="160">
        <f>AVERAGE(D17:D18)</f>
        <v>0</v>
      </c>
    </row>
    <row r="17" spans="2:8" ht="34.5" customHeight="1" x14ac:dyDescent="0.25">
      <c r="B17" s="396" t="s">
        <v>324</v>
      </c>
      <c r="C17" s="388"/>
      <c r="D17" s="471">
        <v>0</v>
      </c>
    </row>
    <row r="18" spans="2:8" ht="35.25" customHeight="1" x14ac:dyDescent="0.25">
      <c r="B18" s="396" t="s">
        <v>325</v>
      </c>
      <c r="C18" s="388"/>
      <c r="D18" s="160">
        <v>0</v>
      </c>
    </row>
    <row r="19" spans="2:8" ht="77.25" customHeight="1" x14ac:dyDescent="0.25">
      <c r="B19" s="753" t="s">
        <v>281</v>
      </c>
      <c r="C19" s="388"/>
      <c r="D19" s="754">
        <v>0</v>
      </c>
    </row>
    <row r="20" spans="2:8" s="21" customFormat="1" ht="13" x14ac:dyDescent="0.25">
      <c r="B20" s="398"/>
      <c r="D20" s="399"/>
    </row>
    <row r="21" spans="2:8" ht="48" customHeight="1" x14ac:dyDescent="0.25">
      <c r="B21" s="400" t="s">
        <v>283</v>
      </c>
      <c r="C21" s="688"/>
      <c r="D21" s="755"/>
    </row>
    <row r="22" spans="2:8" ht="29.25" customHeight="1" x14ac:dyDescent="0.25">
      <c r="B22" s="400" t="s">
        <v>68</v>
      </c>
      <c r="C22" s="688"/>
      <c r="D22" s="756" t="e">
        <f>IF(D21="Neen","0,00",D19/D16)</f>
        <v>#DIV/0!</v>
      </c>
      <c r="G22" s="394"/>
      <c r="H22" s="394" t="s">
        <v>15</v>
      </c>
    </row>
    <row r="23" spans="2:8" ht="17.25" customHeight="1" x14ac:dyDescent="0.25">
      <c r="B23" s="759" t="s">
        <v>323</v>
      </c>
      <c r="C23" s="688"/>
      <c r="D23" s="757">
        <v>0</v>
      </c>
    </row>
    <row r="24" spans="2:8" ht="20.25" customHeight="1" x14ac:dyDescent="0.25">
      <c r="B24" s="400" t="s">
        <v>59</v>
      </c>
      <c r="C24" s="688"/>
      <c r="D24" s="758">
        <f>IF(D21="Neen","0,00",D23*D16)</f>
        <v>0</v>
      </c>
      <c r="F24" s="819"/>
    </row>
    <row r="25" spans="2:8" ht="45" customHeight="1" x14ac:dyDescent="0.25">
      <c r="B25" s="456" t="s">
        <v>321</v>
      </c>
      <c r="C25" s="388"/>
      <c r="D25" s="758">
        <f>IF(D21="Neen","0,00",MAX(G1,D24-D19))</f>
        <v>0</v>
      </c>
    </row>
  </sheetData>
  <customSheetViews>
    <customSheetView guid="{C8C7977F-B6BF-432B-A1A7-559450D521AF}" scale="85">
      <selection activeCell="D22" sqref="D22"/>
      <pageMargins left="0.7" right="0.7" top="0.75" bottom="0.75" header="0.3" footer="0.3"/>
      <pageSetup paperSize="9" orientation="portrait" r:id="rId1"/>
    </customSheetView>
  </customSheetViews>
  <mergeCells count="3">
    <mergeCell ref="B10:B14"/>
    <mergeCell ref="B4:D8"/>
    <mergeCell ref="A1:F1"/>
  </mergeCells>
  <conditionalFormatting sqref="D16:D19 D21:D25">
    <cfRule type="expression" dxfId="3" priority="1" stopIfTrue="1">
      <formula>$J$10="ex-ante"</formula>
    </cfRule>
    <cfRule type="expression" dxfId="2" priority="2" stopIfTrue="1">
      <formula>$D$13="gas"</formula>
    </cfRule>
  </conditionalFormatting>
  <dataValidations count="1">
    <dataValidation type="list" allowBlank="1" showInputMessage="1" showErrorMessage="1" sqref="D21">
      <formula1>$K$11:$K$12</formula1>
    </dataValidation>
  </dataValidations>
  <pageMargins left="0.70866141732283472" right="0.70866141732283472" top="0.74803149606299213" bottom="0.74803149606299213" header="0.31496062992125984" footer="0.31496062992125984"/>
  <pageSetup paperSize="8" orientation="portrait" r:id="rId2"/>
  <ignoredErrors>
    <ignoredError sqref="D16" formulaRange="1"/>
    <ignoredError sqref="D22" evalErro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Blad11">
    <pageSetUpPr fitToPage="1"/>
  </sheetPr>
  <dimension ref="A1:O57"/>
  <sheetViews>
    <sheetView showGridLines="0" zoomScale="85" zoomScaleNormal="85" workbookViewId="0">
      <selection activeCell="A6" sqref="A6"/>
    </sheetView>
  </sheetViews>
  <sheetFormatPr defaultColWidth="8.81640625" defaultRowHeight="12.5" x14ac:dyDescent="0.25"/>
  <cols>
    <col min="1" max="1" width="23.453125" style="404" customWidth="1"/>
    <col min="2" max="2" width="58.453125" style="404" customWidth="1"/>
    <col min="3" max="9" width="15.7265625" style="404" customWidth="1"/>
    <col min="10" max="10" width="32.453125" style="404" customWidth="1"/>
    <col min="11" max="15" width="15.7265625" style="404" customWidth="1"/>
    <col min="16" max="16384" width="8.81640625" style="404"/>
  </cols>
  <sheetData>
    <row r="1" spans="1:15" s="401" customFormat="1" ht="18.5" thickBot="1" x14ac:dyDescent="0.45">
      <c r="A1" s="1201" t="s">
        <v>279</v>
      </c>
      <c r="B1" s="1202"/>
      <c r="C1" s="1202"/>
      <c r="D1" s="1202"/>
      <c r="E1" s="1202"/>
      <c r="F1" s="1202"/>
      <c r="G1" s="1202"/>
      <c r="H1" s="1202"/>
      <c r="I1" s="1202"/>
      <c r="J1" s="1203"/>
      <c r="K1" s="596"/>
      <c r="L1" s="596"/>
      <c r="M1" s="596"/>
      <c r="N1" s="596"/>
      <c r="O1" s="596"/>
    </row>
    <row r="2" spans="1:15" s="293" customFormat="1" ht="10.5" x14ac:dyDescent="0.25">
      <c r="A2" s="402"/>
      <c r="B2" s="402"/>
      <c r="C2" s="402"/>
      <c r="K2" s="594" t="str">
        <f>+TITELBLAD!B18</f>
        <v>Rapportering over boekjaar:</v>
      </c>
      <c r="L2" s="594"/>
      <c r="M2" s="594">
        <f>+TITELBLAD!E18</f>
        <v>2019</v>
      </c>
      <c r="N2" s="594" t="str">
        <f>+TITELBLAD!F18</f>
        <v>ex-ante</v>
      </c>
      <c r="O2" s="594"/>
    </row>
    <row r="3" spans="1:15" ht="13" x14ac:dyDescent="0.3">
      <c r="A3" s="403" t="s">
        <v>50</v>
      </c>
      <c r="K3" s="595"/>
      <c r="L3" s="595"/>
      <c r="M3" s="594"/>
      <c r="N3" s="594"/>
      <c r="O3" s="595"/>
    </row>
    <row r="4" spans="1:15" ht="13" x14ac:dyDescent="0.3">
      <c r="A4" s="405" t="s">
        <v>304</v>
      </c>
      <c r="K4" s="595"/>
      <c r="L4" s="595"/>
      <c r="M4" s="595"/>
      <c r="N4" s="595"/>
      <c r="O4" s="595"/>
    </row>
    <row r="5" spans="1:15" ht="13" x14ac:dyDescent="0.3">
      <c r="A5" s="405" t="s">
        <v>305</v>
      </c>
      <c r="K5" s="595"/>
      <c r="L5" s="595"/>
      <c r="M5" s="595"/>
      <c r="N5" s="595"/>
      <c r="O5" s="595"/>
    </row>
    <row r="6" spans="1:15" ht="13" x14ac:dyDescent="0.3">
      <c r="A6" s="405" t="s">
        <v>284</v>
      </c>
      <c r="K6" s="595"/>
      <c r="L6" s="595"/>
      <c r="M6" s="595"/>
      <c r="N6" s="595"/>
      <c r="O6" s="595"/>
    </row>
    <row r="7" spans="1:15" ht="13" x14ac:dyDescent="0.3">
      <c r="A7" s="406" t="s">
        <v>213</v>
      </c>
      <c r="B7" s="263"/>
      <c r="C7" s="263"/>
    </row>
    <row r="8" spans="1:15" s="293" customFormat="1" ht="14.5" x14ac:dyDescent="0.35">
      <c r="A8" s="402"/>
      <c r="B8" s="402"/>
      <c r="C8" s="641"/>
      <c r="J8" s="404"/>
      <c r="K8" s="404"/>
      <c r="L8" s="404"/>
      <c r="M8" s="404"/>
      <c r="N8" s="404"/>
      <c r="O8" s="404"/>
    </row>
    <row r="9" spans="1:15" s="293" customFormat="1" ht="13" thickBot="1" x14ac:dyDescent="0.3">
      <c r="A9" s="402"/>
      <c r="B9" s="402"/>
      <c r="C9" s="402"/>
      <c r="J9" s="404"/>
      <c r="K9" s="404"/>
      <c r="L9" s="404"/>
      <c r="M9" s="404"/>
      <c r="N9" s="404"/>
      <c r="O9" s="404"/>
    </row>
    <row r="10" spans="1:15" s="258" customFormat="1" ht="13" thickBot="1" x14ac:dyDescent="0.3">
      <c r="A10" s="407"/>
      <c r="B10" s="407"/>
      <c r="C10" s="1212" t="str">
        <f>+TITELBLAD!C7</f>
        <v>Naam distributienetbeheerder</v>
      </c>
      <c r="D10" s="1213"/>
      <c r="E10" s="1213"/>
      <c r="F10" s="1213"/>
      <c r="G10" s="1213"/>
      <c r="H10" s="1214"/>
      <c r="J10" s="404"/>
      <c r="K10" s="404"/>
      <c r="L10" s="404"/>
      <c r="M10" s="404"/>
      <c r="N10" s="404"/>
      <c r="O10" s="404"/>
    </row>
    <row r="11" spans="1:15" s="258" customFormat="1" ht="13" thickBot="1" x14ac:dyDescent="0.3">
      <c r="A11" s="407"/>
      <c r="B11" s="407"/>
      <c r="C11" s="1212" t="str">
        <f>+TITELBLAD!C12</f>
        <v>elektriciteit</v>
      </c>
      <c r="D11" s="1213"/>
      <c r="E11" s="1213"/>
      <c r="F11" s="1213"/>
      <c r="G11" s="1213"/>
      <c r="H11" s="1214"/>
      <c r="J11" s="404"/>
      <c r="K11" s="404"/>
      <c r="L11" s="404"/>
      <c r="M11" s="404"/>
      <c r="N11" s="404"/>
      <c r="O11" s="404"/>
    </row>
    <row r="12" spans="1:15" s="409" customFormat="1" ht="18.5" thickBot="1" x14ac:dyDescent="0.3">
      <c r="A12" s="408"/>
      <c r="C12" s="1204" t="str">
        <f>"Budget "&amp;'T2'!D3</f>
        <v>Budget 2017</v>
      </c>
      <c r="D12" s="1205"/>
      <c r="E12" s="1206"/>
      <c r="F12" s="1204" t="str">
        <f>"Realiteit "&amp;TITELBLAD!E15</f>
        <v>Realiteit 2017</v>
      </c>
      <c r="G12" s="1205"/>
      <c r="H12" s="1206"/>
      <c r="J12" s="404"/>
      <c r="K12" s="404"/>
      <c r="L12" s="404"/>
      <c r="M12" s="404"/>
      <c r="N12" s="404"/>
      <c r="O12" s="404"/>
    </row>
    <row r="13" spans="1:15" x14ac:dyDescent="0.25">
      <c r="A13" s="1193" t="s">
        <v>44</v>
      </c>
      <c r="B13" s="1194"/>
      <c r="C13" s="1207" t="s">
        <v>45</v>
      </c>
      <c r="D13" s="1187" t="s">
        <v>46</v>
      </c>
      <c r="E13" s="1187" t="s">
        <v>33</v>
      </c>
      <c r="F13" s="1207" t="s">
        <v>45</v>
      </c>
      <c r="G13" s="1187" t="s">
        <v>46</v>
      </c>
      <c r="H13" s="1190" t="s">
        <v>33</v>
      </c>
    </row>
    <row r="14" spans="1:15" x14ac:dyDescent="0.25">
      <c r="A14" s="1195"/>
      <c r="B14" s="1196"/>
      <c r="C14" s="1208"/>
      <c r="D14" s="1188"/>
      <c r="E14" s="1188"/>
      <c r="F14" s="1208"/>
      <c r="G14" s="1188"/>
      <c r="H14" s="1191"/>
    </row>
    <row r="15" spans="1:15" ht="13" thickBot="1" x14ac:dyDescent="0.3">
      <c r="A15" s="1197"/>
      <c r="B15" s="1198"/>
      <c r="C15" s="1209"/>
      <c r="D15" s="1189"/>
      <c r="E15" s="1189"/>
      <c r="F15" s="1209"/>
      <c r="G15" s="1189"/>
      <c r="H15" s="1192"/>
    </row>
    <row r="16" spans="1:15" x14ac:dyDescent="0.25">
      <c r="A16" s="617"/>
      <c r="B16" s="410"/>
      <c r="C16" s="626"/>
      <c r="D16" s="618"/>
      <c r="E16" s="411"/>
      <c r="F16" s="636"/>
      <c r="G16" s="629"/>
      <c r="H16" s="586"/>
    </row>
    <row r="17" spans="1:8" ht="13" x14ac:dyDescent="0.25">
      <c r="A17" s="1199" t="s">
        <v>47</v>
      </c>
      <c r="B17" s="1200"/>
      <c r="C17" s="3">
        <v>0</v>
      </c>
      <c r="D17" s="619">
        <v>0</v>
      </c>
      <c r="E17" s="412">
        <f>C17+D17</f>
        <v>0</v>
      </c>
      <c r="F17" s="587">
        <v>0</v>
      </c>
      <c r="G17" s="630">
        <v>0</v>
      </c>
      <c r="H17" s="588">
        <f>F17+G17</f>
        <v>0</v>
      </c>
    </row>
    <row r="18" spans="1:8" ht="13" x14ac:dyDescent="0.3">
      <c r="A18" s="413"/>
      <c r="B18" s="414"/>
      <c r="C18" s="415"/>
      <c r="D18" s="620"/>
      <c r="E18" s="416"/>
      <c r="F18" s="637"/>
      <c r="G18" s="631"/>
      <c r="H18" s="589"/>
    </row>
    <row r="19" spans="1:8" ht="13" x14ac:dyDescent="0.3">
      <c r="A19" s="417"/>
      <c r="B19" s="418"/>
      <c r="C19" s="415"/>
      <c r="D19" s="620"/>
      <c r="E19" s="416"/>
      <c r="F19" s="637"/>
      <c r="G19" s="631"/>
      <c r="H19" s="589"/>
    </row>
    <row r="20" spans="1:8" ht="13" x14ac:dyDescent="0.3">
      <c r="A20" s="419"/>
      <c r="B20" s="420"/>
      <c r="C20" s="421"/>
      <c r="D20" s="621"/>
      <c r="E20" s="422"/>
      <c r="F20" s="638"/>
      <c r="G20" s="632"/>
      <c r="H20" s="590"/>
    </row>
    <row r="21" spans="1:8" ht="13" x14ac:dyDescent="0.25">
      <c r="A21" s="1199" t="s">
        <v>186</v>
      </c>
      <c r="B21" s="1200"/>
      <c r="C21" s="3">
        <v>0</v>
      </c>
      <c r="D21" s="619">
        <v>0</v>
      </c>
      <c r="E21" s="412">
        <f>C21+D21</f>
        <v>0</v>
      </c>
      <c r="F21" s="587">
        <v>0</v>
      </c>
      <c r="G21" s="630">
        <v>0</v>
      </c>
      <c r="H21" s="588">
        <f>F21+G21</f>
        <v>0</v>
      </c>
    </row>
    <row r="22" spans="1:8" ht="13" x14ac:dyDescent="0.3">
      <c r="A22" s="413"/>
      <c r="B22" s="414"/>
      <c r="C22" s="415"/>
      <c r="D22" s="620"/>
      <c r="E22" s="416"/>
      <c r="F22" s="637"/>
      <c r="G22" s="631"/>
      <c r="H22" s="589"/>
    </row>
    <row r="23" spans="1:8" ht="13" x14ac:dyDescent="0.3">
      <c r="A23" s="417"/>
      <c r="B23" s="418"/>
      <c r="C23" s="423"/>
      <c r="D23" s="622"/>
      <c r="E23" s="424"/>
      <c r="F23" s="639"/>
      <c r="G23" s="633"/>
      <c r="H23" s="591"/>
    </row>
    <row r="24" spans="1:8" ht="13" x14ac:dyDescent="0.3">
      <c r="A24" s="419"/>
      <c r="B24" s="425"/>
      <c r="C24" s="415"/>
      <c r="D24" s="620"/>
      <c r="E24" s="416"/>
      <c r="F24" s="637"/>
      <c r="G24" s="631"/>
      <c r="H24" s="589"/>
    </row>
    <row r="25" spans="1:8" ht="13" x14ac:dyDescent="0.25">
      <c r="A25" s="1210" t="s">
        <v>48</v>
      </c>
      <c r="B25" s="1211"/>
      <c r="C25" s="3">
        <v>0</v>
      </c>
      <c r="D25" s="619">
        <v>0</v>
      </c>
      <c r="E25" s="412">
        <f>C25+D25</f>
        <v>0</v>
      </c>
      <c r="F25" s="587">
        <v>0</v>
      </c>
      <c r="G25" s="630">
        <v>0</v>
      </c>
      <c r="H25" s="588">
        <f>F25+G25</f>
        <v>0</v>
      </c>
    </row>
    <row r="26" spans="1:8" ht="13" x14ac:dyDescent="0.3">
      <c r="A26" s="419"/>
      <c r="B26" s="425"/>
      <c r="C26" s="415"/>
      <c r="D26" s="620"/>
      <c r="E26" s="416"/>
      <c r="F26" s="637"/>
      <c r="G26" s="631"/>
      <c r="H26" s="589"/>
    </row>
    <row r="27" spans="1:8" ht="13" x14ac:dyDescent="0.3">
      <c r="A27" s="417"/>
      <c r="B27" s="418"/>
      <c r="C27" s="415"/>
      <c r="D27" s="620"/>
      <c r="E27" s="416"/>
      <c r="F27" s="637"/>
      <c r="G27" s="631"/>
      <c r="H27" s="589"/>
    </row>
    <row r="28" spans="1:8" ht="13" x14ac:dyDescent="0.3">
      <c r="A28" s="419"/>
      <c r="B28" s="425"/>
      <c r="C28" s="421"/>
      <c r="D28" s="621"/>
      <c r="E28" s="422"/>
      <c r="F28" s="638"/>
      <c r="G28" s="632"/>
      <c r="H28" s="590"/>
    </row>
    <row r="29" spans="1:8" ht="13" x14ac:dyDescent="0.25">
      <c r="A29" s="1199" t="s">
        <v>71</v>
      </c>
      <c r="B29" s="1200"/>
      <c r="C29" s="3">
        <v>0</v>
      </c>
      <c r="D29" s="619">
        <v>0</v>
      </c>
      <c r="E29" s="412">
        <f>C29+D29</f>
        <v>0</v>
      </c>
      <c r="F29" s="587">
        <v>0</v>
      </c>
      <c r="G29" s="630">
        <v>0</v>
      </c>
      <c r="H29" s="588">
        <f>F29+G29</f>
        <v>0</v>
      </c>
    </row>
    <row r="30" spans="1:8" ht="13" x14ac:dyDescent="0.3">
      <c r="A30" s="419"/>
      <c r="B30" s="425"/>
      <c r="C30" s="415"/>
      <c r="D30" s="620"/>
      <c r="E30" s="416"/>
      <c r="F30" s="637"/>
      <c r="G30" s="631"/>
      <c r="H30" s="589"/>
    </row>
    <row r="31" spans="1:8" ht="13" x14ac:dyDescent="0.3">
      <c r="A31" s="417"/>
      <c r="B31" s="418"/>
      <c r="C31" s="423"/>
      <c r="D31" s="622"/>
      <c r="E31" s="424"/>
      <c r="F31" s="639"/>
      <c r="G31" s="633"/>
      <c r="H31" s="591"/>
    </row>
    <row r="32" spans="1:8" ht="13" x14ac:dyDescent="0.3">
      <c r="A32" s="419"/>
      <c r="B32" s="425"/>
      <c r="C32" s="869"/>
      <c r="D32" s="870"/>
      <c r="E32" s="871"/>
      <c r="F32" s="872"/>
      <c r="G32" s="873"/>
      <c r="H32" s="874"/>
    </row>
    <row r="33" spans="1:15" ht="13" x14ac:dyDescent="0.25">
      <c r="A33" s="1210" t="s">
        <v>185</v>
      </c>
      <c r="B33" s="1211"/>
      <c r="C33" s="887"/>
      <c r="D33" s="888"/>
      <c r="E33" s="889"/>
      <c r="F33" s="890"/>
      <c r="G33" s="891"/>
      <c r="H33" s="889"/>
    </row>
    <row r="34" spans="1:15" ht="13" x14ac:dyDescent="0.3">
      <c r="A34" s="419"/>
      <c r="B34" s="425"/>
      <c r="C34" s="875"/>
      <c r="D34" s="876"/>
      <c r="E34" s="877"/>
      <c r="F34" s="878"/>
      <c r="G34" s="879"/>
      <c r="H34" s="880"/>
    </row>
    <row r="35" spans="1:15" ht="13" x14ac:dyDescent="0.3">
      <c r="A35" s="417"/>
      <c r="B35" s="418"/>
      <c r="C35" s="881"/>
      <c r="D35" s="882"/>
      <c r="E35" s="883"/>
      <c r="F35" s="884"/>
      <c r="G35" s="885"/>
      <c r="H35" s="886"/>
    </row>
    <row r="36" spans="1:15" ht="13" x14ac:dyDescent="0.3">
      <c r="A36" s="419"/>
      <c r="B36" s="425"/>
      <c r="C36" s="415"/>
      <c r="D36" s="620"/>
      <c r="E36" s="416"/>
      <c r="F36" s="637"/>
      <c r="G36" s="631"/>
      <c r="H36" s="589"/>
    </row>
    <row r="37" spans="1:15" ht="30" customHeight="1" x14ac:dyDescent="0.25">
      <c r="A37" s="1199" t="s">
        <v>212</v>
      </c>
      <c r="B37" s="1200"/>
      <c r="C37" s="613">
        <v>0</v>
      </c>
      <c r="D37" s="623">
        <v>0</v>
      </c>
      <c r="E37" s="614">
        <f>C37+D37</f>
        <v>0</v>
      </c>
      <c r="F37" s="615">
        <v>0</v>
      </c>
      <c r="G37" s="634">
        <v>0</v>
      </c>
      <c r="H37" s="616">
        <f>F37+G37</f>
        <v>0</v>
      </c>
    </row>
    <row r="38" spans="1:15" x14ac:dyDescent="0.25">
      <c r="A38" s="426"/>
      <c r="B38" s="427"/>
      <c r="C38" s="627"/>
      <c r="D38" s="624"/>
      <c r="E38" s="428"/>
      <c r="F38" s="637"/>
      <c r="G38" s="631"/>
      <c r="H38" s="589"/>
    </row>
    <row r="39" spans="1:15" ht="13" thickBot="1" x14ac:dyDescent="0.3">
      <c r="A39" s="429"/>
      <c r="B39" s="430"/>
      <c r="C39" s="628"/>
      <c r="D39" s="625"/>
      <c r="E39" s="431"/>
      <c r="F39" s="640"/>
      <c r="G39" s="635"/>
      <c r="H39" s="592"/>
    </row>
    <row r="40" spans="1:15" s="770" customFormat="1" ht="25.5" customHeight="1" thickBot="1" x14ac:dyDescent="0.3">
      <c r="A40" s="760" t="s">
        <v>49</v>
      </c>
      <c r="B40" s="761"/>
      <c r="C40" s="762">
        <f t="shared" ref="C40:H40" si="0">SUM(C37,C33,C29,C25,C21,C17)</f>
        <v>0</v>
      </c>
      <c r="D40" s="763">
        <f t="shared" si="0"/>
        <v>0</v>
      </c>
      <c r="E40" s="764">
        <f t="shared" si="0"/>
        <v>0</v>
      </c>
      <c r="F40" s="765">
        <f t="shared" si="0"/>
        <v>0</v>
      </c>
      <c r="G40" s="766">
        <f t="shared" si="0"/>
        <v>0</v>
      </c>
      <c r="H40" s="767">
        <f t="shared" si="0"/>
        <v>0</v>
      </c>
      <c r="I40" s="768"/>
      <c r="J40" s="769"/>
      <c r="K40" s="769"/>
      <c r="L40" s="769"/>
      <c r="M40" s="769"/>
      <c r="N40" s="769"/>
      <c r="O40" s="769"/>
    </row>
    <row r="41" spans="1:15" x14ac:dyDescent="0.25">
      <c r="A41" s="263"/>
      <c r="B41" s="263"/>
    </row>
    <row r="43" spans="1:15" s="4" customFormat="1" x14ac:dyDescent="0.25"/>
    <row r="44" spans="1:15" s="4" customFormat="1" x14ac:dyDescent="0.25"/>
    <row r="45" spans="1:15" s="4" customFormat="1" x14ac:dyDescent="0.25"/>
    <row r="46" spans="1:15" s="4" customFormat="1" x14ac:dyDescent="0.25"/>
    <row r="47" spans="1:15" s="4" customFormat="1" x14ac:dyDescent="0.25"/>
    <row r="48" spans="1:15"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sheetData>
  <customSheetViews>
    <customSheetView guid="{C8C7977F-B6BF-432B-A1A7-559450D521AF}" scale="85" showGridLines="0" fitToPage="1">
      <selection activeCell="A9" sqref="A9"/>
      <pageMargins left="0.55118110236220474" right="0.23622047244094491" top="0.43307086614173229" bottom="0.47244094488188981" header="0.27559055118110237" footer="0.31496062992125984"/>
      <pageSetup paperSize="8" scale="92" orientation="landscape" r:id="rId1"/>
      <headerFooter scaleWithDoc="0" alignWithMargins="0">
        <oddFooter>&amp;C&amp;P/&amp;N</oddFooter>
      </headerFooter>
    </customSheetView>
  </customSheetViews>
  <mergeCells count="18">
    <mergeCell ref="A1:J1"/>
    <mergeCell ref="C12:E12"/>
    <mergeCell ref="F12:H12"/>
    <mergeCell ref="C13:C15"/>
    <mergeCell ref="D13:D15"/>
    <mergeCell ref="F13:F15"/>
    <mergeCell ref="C11:H11"/>
    <mergeCell ref="C10:H10"/>
    <mergeCell ref="E13:E15"/>
    <mergeCell ref="G13:G15"/>
    <mergeCell ref="H13:H15"/>
    <mergeCell ref="A13:B15"/>
    <mergeCell ref="A37:B37"/>
    <mergeCell ref="A29:B29"/>
    <mergeCell ref="A33:B33"/>
    <mergeCell ref="A25:B25"/>
    <mergeCell ref="A17:B17"/>
    <mergeCell ref="A21:B21"/>
  </mergeCells>
  <conditionalFormatting sqref="F16:H40">
    <cfRule type="expression" dxfId="1" priority="4" stopIfTrue="1">
      <formula>$N$2="ex-ante"</formula>
    </cfRule>
  </conditionalFormatting>
  <conditionalFormatting sqref="C16:E40">
    <cfRule type="expression" dxfId="0" priority="2" stopIfTrue="1">
      <formula>$N$2="ex-post"</formula>
    </cfRule>
  </conditionalFormatting>
  <pageMargins left="0.55118110236220474" right="0.23622047244094491" top="0.43307086614173229" bottom="0.47244094488188981" header="0.27559055118110237" footer="0.31496062992125984"/>
  <pageSetup paperSize="8" scale="91" orientation="landscape" r:id="rId2"/>
  <headerFooter scaleWithDoc="0"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Blad2">
    <pageSetUpPr fitToPage="1"/>
  </sheetPr>
  <dimension ref="A1:R124"/>
  <sheetViews>
    <sheetView zoomScale="80" zoomScaleNormal="80" workbookViewId="0">
      <selection activeCell="D21" sqref="D21"/>
    </sheetView>
  </sheetViews>
  <sheetFormatPr defaultColWidth="9.1796875" defaultRowHeight="12.5" x14ac:dyDescent="0.25"/>
  <cols>
    <col min="1" max="1" width="4.1796875" style="54" customWidth="1"/>
    <col min="2" max="2" width="22.453125" style="54" customWidth="1"/>
    <col min="3" max="3" width="1.453125" style="54" customWidth="1"/>
    <col min="4" max="4" width="23" style="54" customWidth="1"/>
    <col min="5" max="5" width="10.7265625" style="55" customWidth="1"/>
    <col min="6" max="7" width="26.1796875" style="54" customWidth="1"/>
    <col min="8" max="10" width="23.7265625" style="54" customWidth="1"/>
    <col min="11" max="12" width="25" style="54" customWidth="1"/>
    <col min="13" max="13" width="22.453125" style="54" customWidth="1"/>
    <col min="14" max="14" width="26.54296875" style="54" customWidth="1"/>
    <col min="15" max="15" width="22.453125" style="54" customWidth="1"/>
    <col min="16" max="16" width="31.81640625" style="54" customWidth="1"/>
    <col min="17" max="17" width="19.7265625" style="54" customWidth="1"/>
    <col min="18" max="18" width="18.7265625" style="54" customWidth="1"/>
    <col min="19" max="16384" width="9.1796875" style="20"/>
  </cols>
  <sheetData>
    <row r="1" spans="1:18" ht="18" customHeight="1" thickBot="1" x14ac:dyDescent="0.45">
      <c r="A1" s="990" t="str">
        <f>" TABEL 1: Resultatenrekening (algemene boekhouding) voor boekjaar "&amp;TITELBLAD!E18&amp;" (waarden boekhouding)"</f>
        <v xml:space="preserve"> TABEL 1: Resultatenrekening (algemene boekhouding) voor boekjaar 2019 (waarden boekhouding)</v>
      </c>
      <c r="B1" s="991"/>
      <c r="C1" s="991"/>
      <c r="D1" s="991"/>
      <c r="E1" s="991"/>
      <c r="F1" s="991"/>
      <c r="G1" s="991"/>
      <c r="H1" s="991"/>
      <c r="I1" s="991"/>
      <c r="J1" s="991"/>
      <c r="K1" s="991"/>
      <c r="L1" s="992"/>
      <c r="M1" s="20"/>
      <c r="N1" s="20"/>
      <c r="O1" s="20"/>
      <c r="P1" s="20"/>
      <c r="Q1" s="20"/>
      <c r="R1" s="20"/>
    </row>
    <row r="2" spans="1:18" ht="18" x14ac:dyDescent="0.4">
      <c r="A2" s="46"/>
      <c r="B2" s="46"/>
      <c r="C2" s="46"/>
      <c r="D2" s="46"/>
      <c r="E2" s="47"/>
      <c r="F2" s="46"/>
      <c r="G2" s="46"/>
      <c r="H2" s="46"/>
      <c r="I2" s="46"/>
      <c r="J2" s="46"/>
      <c r="K2" s="46"/>
      <c r="L2" s="46"/>
      <c r="M2" s="46"/>
      <c r="N2" s="482" t="s">
        <v>189</v>
      </c>
      <c r="O2" s="482">
        <f>+TITELBLAD!E18</f>
        <v>2019</v>
      </c>
      <c r="P2" s="482" t="str">
        <f>+TITELBLAD!F18</f>
        <v>ex-ante</v>
      </c>
      <c r="Q2" s="46"/>
      <c r="R2" s="47"/>
    </row>
    <row r="3" spans="1:18" s="48" customFormat="1" ht="13" x14ac:dyDescent="0.25">
      <c r="B3" s="49" t="s">
        <v>62</v>
      </c>
      <c r="C3" s="50"/>
      <c r="K3" s="50"/>
      <c r="N3" s="483"/>
      <c r="O3" s="483"/>
      <c r="P3" s="483"/>
    </row>
    <row r="4" spans="1:18" s="48" customFormat="1" ht="13" x14ac:dyDescent="0.25">
      <c r="B4" s="51" t="s">
        <v>182</v>
      </c>
      <c r="C4" s="50"/>
      <c r="K4" s="50"/>
    </row>
    <row r="5" spans="1:18" ht="13.5" thickBot="1" x14ac:dyDescent="0.35">
      <c r="A5" s="52"/>
      <c r="B5" s="52"/>
      <c r="C5" s="52"/>
      <c r="D5" s="52"/>
      <c r="E5" s="53"/>
      <c r="F5" s="52"/>
      <c r="G5" s="52"/>
      <c r="H5" s="52"/>
      <c r="I5" s="52"/>
      <c r="J5" s="52"/>
      <c r="K5" s="52"/>
      <c r="L5" s="52"/>
      <c r="M5" s="52"/>
      <c r="N5" s="52"/>
      <c r="O5" s="52"/>
      <c r="P5" s="52"/>
      <c r="Q5" s="52"/>
      <c r="R5" s="52"/>
    </row>
    <row r="6" spans="1:18" ht="13" thickTop="1" x14ac:dyDescent="0.25">
      <c r="A6" s="982" t="s">
        <v>73</v>
      </c>
      <c r="B6" s="983"/>
      <c r="C6" s="983"/>
      <c r="D6" s="984"/>
      <c r="E6" s="993" t="s">
        <v>3</v>
      </c>
      <c r="F6" s="976" t="s">
        <v>113</v>
      </c>
      <c r="G6" s="977"/>
      <c r="H6" s="977"/>
      <c r="I6" s="977"/>
      <c r="J6" s="978"/>
      <c r="K6" s="976" t="s">
        <v>114</v>
      </c>
      <c r="L6" s="977"/>
      <c r="M6" s="977"/>
      <c r="N6" s="977"/>
      <c r="O6" s="978"/>
      <c r="P6" s="974" t="s">
        <v>115</v>
      </c>
      <c r="Q6" s="974" t="s">
        <v>31</v>
      </c>
      <c r="R6" s="56"/>
    </row>
    <row r="7" spans="1:18" x14ac:dyDescent="0.25">
      <c r="A7" s="985"/>
      <c r="B7" s="986"/>
      <c r="C7" s="986"/>
      <c r="D7" s="987"/>
      <c r="E7" s="994"/>
      <c r="F7" s="979"/>
      <c r="G7" s="980"/>
      <c r="H7" s="980"/>
      <c r="I7" s="980"/>
      <c r="J7" s="981"/>
      <c r="K7" s="979"/>
      <c r="L7" s="980"/>
      <c r="M7" s="980"/>
      <c r="N7" s="980"/>
      <c r="O7" s="981"/>
      <c r="P7" s="975"/>
      <c r="Q7" s="975"/>
      <c r="R7" s="56"/>
    </row>
    <row r="8" spans="1:18" ht="29.25" customHeight="1" x14ac:dyDescent="0.25">
      <c r="A8" s="450"/>
      <c r="B8" s="451"/>
      <c r="C8" s="451"/>
      <c r="D8" s="451"/>
      <c r="E8" s="452"/>
      <c r="F8" s="970" t="s">
        <v>180</v>
      </c>
      <c r="G8" s="971"/>
      <c r="H8" s="971"/>
      <c r="I8" s="972"/>
      <c r="J8" s="61" t="s">
        <v>115</v>
      </c>
      <c r="K8" s="970" t="s">
        <v>180</v>
      </c>
      <c r="L8" s="971"/>
      <c r="M8" s="971"/>
      <c r="N8" s="973"/>
      <c r="O8" s="453" t="s">
        <v>115</v>
      </c>
      <c r="P8" s="447"/>
      <c r="Q8" s="447"/>
      <c r="R8" s="56"/>
    </row>
    <row r="9" spans="1:18" ht="31.5" customHeight="1" x14ac:dyDescent="0.3">
      <c r="A9" s="57"/>
      <c r="B9" s="58"/>
      <c r="C9" s="59"/>
      <c r="D9" s="59"/>
      <c r="E9" s="60"/>
      <c r="F9" s="61" t="s">
        <v>229</v>
      </c>
      <c r="G9" s="61" t="s">
        <v>116</v>
      </c>
      <c r="H9" s="61" t="s">
        <v>122</v>
      </c>
      <c r="I9" s="61" t="s">
        <v>179</v>
      </c>
      <c r="J9" s="61"/>
      <c r="K9" s="61" t="s">
        <v>229</v>
      </c>
      <c r="L9" s="61" t="s">
        <v>116</v>
      </c>
      <c r="M9" s="61" t="s">
        <v>122</v>
      </c>
      <c r="N9" s="61" t="s">
        <v>179</v>
      </c>
      <c r="O9" s="61"/>
      <c r="P9" s="62"/>
      <c r="Q9" s="62"/>
      <c r="R9" s="56"/>
    </row>
    <row r="10" spans="1:18" ht="13" x14ac:dyDescent="0.3">
      <c r="A10" s="57"/>
      <c r="B10" s="58"/>
      <c r="C10" s="59"/>
      <c r="D10" s="59"/>
      <c r="E10" s="60"/>
      <c r="F10" s="63"/>
      <c r="G10" s="63"/>
      <c r="H10" s="63"/>
      <c r="I10" s="63"/>
      <c r="J10" s="63"/>
      <c r="K10" s="63"/>
      <c r="L10" s="63"/>
      <c r="M10" s="63"/>
      <c r="N10" s="63"/>
      <c r="O10" s="63"/>
      <c r="P10" s="63"/>
      <c r="Q10" s="63"/>
      <c r="R10" s="56"/>
    </row>
    <row r="11" spans="1:18" x14ac:dyDescent="0.25">
      <c r="A11" s="64"/>
      <c r="B11" s="65"/>
      <c r="C11" s="65"/>
      <c r="D11" s="65"/>
      <c r="E11" s="66"/>
      <c r="F11" s="67"/>
      <c r="G11" s="67"/>
      <c r="H11" s="67"/>
      <c r="I11" s="67"/>
      <c r="J11" s="67"/>
      <c r="K11" s="67"/>
      <c r="L11" s="67"/>
      <c r="M11" s="67"/>
      <c r="N11" s="67"/>
      <c r="O11" s="67"/>
      <c r="P11" s="67"/>
      <c r="Q11" s="67"/>
      <c r="R11" s="56"/>
    </row>
    <row r="12" spans="1:18" ht="13" x14ac:dyDescent="0.25">
      <c r="A12" s="68" t="s">
        <v>74</v>
      </c>
      <c r="B12" s="69"/>
      <c r="C12" s="69"/>
      <c r="D12" s="69"/>
      <c r="E12" s="70" t="s">
        <v>75</v>
      </c>
      <c r="F12" s="457">
        <f t="shared" ref="F12:Q12" si="0">SUM(F14,F17,F18,F19)</f>
        <v>0</v>
      </c>
      <c r="G12" s="457">
        <f t="shared" si="0"/>
        <v>0</v>
      </c>
      <c r="H12" s="457">
        <f t="shared" si="0"/>
        <v>0</v>
      </c>
      <c r="I12" s="457">
        <f>SUM(I14,I17,I18,I19)</f>
        <v>0</v>
      </c>
      <c r="J12" s="457">
        <f>SUM(J14,J17,J18,J19)</f>
        <v>0</v>
      </c>
      <c r="K12" s="457">
        <f t="shared" si="0"/>
        <v>0</v>
      </c>
      <c r="L12" s="457">
        <f t="shared" si="0"/>
        <v>0</v>
      </c>
      <c r="M12" s="457">
        <f t="shared" si="0"/>
        <v>0</v>
      </c>
      <c r="N12" s="457">
        <f>SUM(N14,N17,N18,N19)</f>
        <v>0</v>
      </c>
      <c r="O12" s="457">
        <f>SUM(O14,O17,O18,O19)</f>
        <v>0</v>
      </c>
      <c r="P12" s="457">
        <f t="shared" si="0"/>
        <v>0</v>
      </c>
      <c r="Q12" s="457">
        <f t="shared" si="0"/>
        <v>0</v>
      </c>
      <c r="R12" s="71"/>
    </row>
    <row r="13" spans="1:18" x14ac:dyDescent="0.25">
      <c r="A13" s="72"/>
      <c r="B13" s="73"/>
      <c r="C13" s="73"/>
      <c r="D13" s="73"/>
      <c r="E13" s="74"/>
      <c r="F13" s="458"/>
      <c r="G13" s="458"/>
      <c r="H13" s="458"/>
      <c r="I13" s="458"/>
      <c r="J13" s="458"/>
      <c r="K13" s="458"/>
      <c r="L13" s="458"/>
      <c r="M13" s="458"/>
      <c r="N13" s="458"/>
      <c r="O13" s="458"/>
      <c r="P13" s="458"/>
      <c r="Q13" s="459"/>
      <c r="R13" s="71"/>
    </row>
    <row r="14" spans="1:18" x14ac:dyDescent="0.25">
      <c r="A14" s="75"/>
      <c r="B14" s="73" t="s">
        <v>76</v>
      </c>
      <c r="C14" s="73"/>
      <c r="D14" s="73"/>
      <c r="E14" s="74">
        <v>70</v>
      </c>
      <c r="F14" s="460">
        <v>0</v>
      </c>
      <c r="G14" s="460">
        <v>0</v>
      </c>
      <c r="H14" s="460">
        <v>0</v>
      </c>
      <c r="I14" s="460">
        <v>0</v>
      </c>
      <c r="J14" s="460">
        <v>0</v>
      </c>
      <c r="K14" s="460">
        <v>0</v>
      </c>
      <c r="L14" s="460">
        <v>0</v>
      </c>
      <c r="M14" s="460">
        <v>0</v>
      </c>
      <c r="N14" s="460">
        <v>0</v>
      </c>
      <c r="O14" s="460">
        <v>0</v>
      </c>
      <c r="P14" s="460">
        <v>0</v>
      </c>
      <c r="Q14" s="458">
        <f>SUM(F14:P14)</f>
        <v>0</v>
      </c>
      <c r="R14" s="71"/>
    </row>
    <row r="15" spans="1:18" x14ac:dyDescent="0.25">
      <c r="A15" s="75"/>
      <c r="B15" s="76" t="s">
        <v>77</v>
      </c>
      <c r="C15" s="73"/>
      <c r="D15" s="73"/>
      <c r="E15" s="74"/>
      <c r="F15" s="458"/>
      <c r="G15" s="458"/>
      <c r="H15" s="458"/>
      <c r="I15" s="458"/>
      <c r="J15" s="458"/>
      <c r="K15" s="458"/>
      <c r="L15" s="458"/>
      <c r="M15" s="458"/>
      <c r="N15" s="458"/>
      <c r="O15" s="458"/>
      <c r="P15" s="458"/>
      <c r="Q15" s="458"/>
      <c r="R15" s="71"/>
    </row>
    <row r="16" spans="1:18" x14ac:dyDescent="0.25">
      <c r="A16" s="75"/>
      <c r="B16" s="73" t="s">
        <v>78</v>
      </c>
      <c r="C16" s="73"/>
      <c r="D16" s="73"/>
      <c r="E16" s="74"/>
      <c r="F16" s="458"/>
      <c r="G16" s="458"/>
      <c r="H16" s="458"/>
      <c r="I16" s="458"/>
      <c r="J16" s="458"/>
      <c r="K16" s="458"/>
      <c r="L16" s="458"/>
      <c r="M16" s="458"/>
      <c r="N16" s="458"/>
      <c r="O16" s="458"/>
      <c r="P16" s="458"/>
      <c r="Q16" s="458"/>
      <c r="R16" s="71"/>
    </row>
    <row r="17" spans="1:18" x14ac:dyDescent="0.25">
      <c r="A17" s="75"/>
      <c r="B17" s="76" t="s">
        <v>79</v>
      </c>
      <c r="C17" s="73"/>
      <c r="D17" s="73"/>
      <c r="E17" s="74">
        <v>71</v>
      </c>
      <c r="F17" s="460">
        <v>0</v>
      </c>
      <c r="G17" s="460">
        <v>0</v>
      </c>
      <c r="H17" s="460">
        <v>0</v>
      </c>
      <c r="I17" s="460">
        <v>0</v>
      </c>
      <c r="J17" s="460">
        <v>0</v>
      </c>
      <c r="K17" s="460">
        <v>0</v>
      </c>
      <c r="L17" s="460">
        <v>0</v>
      </c>
      <c r="M17" s="460">
        <v>0</v>
      </c>
      <c r="N17" s="460">
        <v>0</v>
      </c>
      <c r="O17" s="460">
        <v>0</v>
      </c>
      <c r="P17" s="460">
        <v>0</v>
      </c>
      <c r="Q17" s="458">
        <f>SUM(F17:P17)</f>
        <v>0</v>
      </c>
      <c r="R17" s="71"/>
    </row>
    <row r="18" spans="1:18" x14ac:dyDescent="0.25">
      <c r="A18" s="75"/>
      <c r="B18" s="73" t="s">
        <v>80</v>
      </c>
      <c r="C18" s="73"/>
      <c r="D18" s="73"/>
      <c r="E18" s="74">
        <v>72</v>
      </c>
      <c r="F18" s="460">
        <v>0</v>
      </c>
      <c r="G18" s="460">
        <v>0</v>
      </c>
      <c r="H18" s="460">
        <v>0</v>
      </c>
      <c r="I18" s="460">
        <v>0</v>
      </c>
      <c r="J18" s="460">
        <v>0</v>
      </c>
      <c r="K18" s="460">
        <v>0</v>
      </c>
      <c r="L18" s="460">
        <v>0</v>
      </c>
      <c r="M18" s="460">
        <v>0</v>
      </c>
      <c r="N18" s="460">
        <v>0</v>
      </c>
      <c r="O18" s="460">
        <v>0</v>
      </c>
      <c r="P18" s="460">
        <v>0</v>
      </c>
      <c r="Q18" s="458">
        <f>SUM(F18:P18)</f>
        <v>0</v>
      </c>
      <c r="R18" s="71"/>
    </row>
    <row r="19" spans="1:18" x14ac:dyDescent="0.25">
      <c r="A19" s="75"/>
      <c r="B19" s="73" t="s">
        <v>81</v>
      </c>
      <c r="C19" s="76"/>
      <c r="D19" s="73"/>
      <c r="E19" s="74">
        <v>74</v>
      </c>
      <c r="F19" s="460">
        <v>0</v>
      </c>
      <c r="G19" s="460">
        <v>0</v>
      </c>
      <c r="H19" s="460">
        <v>0</v>
      </c>
      <c r="I19" s="460">
        <v>0</v>
      </c>
      <c r="J19" s="460">
        <v>0</v>
      </c>
      <c r="K19" s="460">
        <v>0</v>
      </c>
      <c r="L19" s="460">
        <v>0</v>
      </c>
      <c r="M19" s="460">
        <v>0</v>
      </c>
      <c r="N19" s="460">
        <v>0</v>
      </c>
      <c r="O19" s="460">
        <v>0</v>
      </c>
      <c r="P19" s="460">
        <v>0</v>
      </c>
      <c r="Q19" s="458">
        <f>SUM(F19:P19)</f>
        <v>0</v>
      </c>
      <c r="R19" s="71"/>
    </row>
    <row r="20" spans="1:18" x14ac:dyDescent="0.25">
      <c r="A20" s="75"/>
      <c r="B20" s="76"/>
      <c r="C20" s="73"/>
      <c r="D20" s="73"/>
      <c r="E20" s="74"/>
      <c r="F20" s="458"/>
      <c r="G20" s="458"/>
      <c r="H20" s="458"/>
      <c r="I20" s="458"/>
      <c r="J20" s="458"/>
      <c r="K20" s="458"/>
      <c r="L20" s="458"/>
      <c r="M20" s="458"/>
      <c r="N20" s="458"/>
      <c r="O20" s="458"/>
      <c r="P20" s="458"/>
      <c r="Q20" s="458"/>
      <c r="R20" s="71"/>
    </row>
    <row r="21" spans="1:18" ht="13" x14ac:dyDescent="0.25">
      <c r="A21" s="77" t="s">
        <v>82</v>
      </c>
      <c r="B21" s="78"/>
      <c r="C21" s="69"/>
      <c r="D21" s="69"/>
      <c r="E21" s="70">
        <v>75</v>
      </c>
      <c r="F21" s="461">
        <v>0</v>
      </c>
      <c r="G21" s="461">
        <v>0</v>
      </c>
      <c r="H21" s="461">
        <v>0</v>
      </c>
      <c r="I21" s="461">
        <v>0</v>
      </c>
      <c r="J21" s="461">
        <v>0</v>
      </c>
      <c r="K21" s="461">
        <v>0</v>
      </c>
      <c r="L21" s="461">
        <v>0</v>
      </c>
      <c r="M21" s="461">
        <v>0</v>
      </c>
      <c r="N21" s="461">
        <v>0</v>
      </c>
      <c r="O21" s="461">
        <v>0</v>
      </c>
      <c r="P21" s="461">
        <v>0</v>
      </c>
      <c r="Q21" s="457">
        <f>SUM(F21:P21)</f>
        <v>0</v>
      </c>
      <c r="R21" s="71"/>
    </row>
    <row r="22" spans="1:18" ht="13" x14ac:dyDescent="0.25">
      <c r="A22" s="79"/>
      <c r="B22" s="80"/>
      <c r="C22" s="81"/>
      <c r="D22" s="81"/>
      <c r="E22" s="82"/>
      <c r="F22" s="462"/>
      <c r="G22" s="462"/>
      <c r="H22" s="462"/>
      <c r="I22" s="462"/>
      <c r="J22" s="462"/>
      <c r="K22" s="462"/>
      <c r="L22" s="462"/>
      <c r="M22" s="462"/>
      <c r="N22" s="462"/>
      <c r="O22" s="462"/>
      <c r="P22" s="462"/>
      <c r="Q22" s="457"/>
      <c r="R22" s="71"/>
    </row>
    <row r="23" spans="1:18" ht="13" x14ac:dyDescent="0.3">
      <c r="A23" s="77" t="s">
        <v>83</v>
      </c>
      <c r="B23" s="83"/>
      <c r="C23" s="69"/>
      <c r="D23" s="69"/>
      <c r="E23" s="70">
        <v>76</v>
      </c>
      <c r="F23" s="461">
        <v>0</v>
      </c>
      <c r="G23" s="461">
        <v>0</v>
      </c>
      <c r="H23" s="461">
        <v>0</v>
      </c>
      <c r="I23" s="461">
        <v>0</v>
      </c>
      <c r="J23" s="461">
        <v>0</v>
      </c>
      <c r="K23" s="461">
        <v>0</v>
      </c>
      <c r="L23" s="461">
        <v>0</v>
      </c>
      <c r="M23" s="461">
        <v>0</v>
      </c>
      <c r="N23" s="461">
        <v>0</v>
      </c>
      <c r="O23" s="461">
        <v>0</v>
      </c>
      <c r="P23" s="461">
        <v>0</v>
      </c>
      <c r="Q23" s="457">
        <f>SUM(F23:P23)</f>
        <v>0</v>
      </c>
      <c r="R23" s="71"/>
    </row>
    <row r="24" spans="1:18" x14ac:dyDescent="0.25">
      <c r="A24" s="75"/>
      <c r="B24" s="73"/>
      <c r="C24" s="73"/>
      <c r="D24" s="73"/>
      <c r="E24" s="74"/>
      <c r="F24" s="458"/>
      <c r="G24" s="458"/>
      <c r="H24" s="458"/>
      <c r="I24" s="458"/>
      <c r="J24" s="458"/>
      <c r="K24" s="458"/>
      <c r="L24" s="458"/>
      <c r="M24" s="458"/>
      <c r="N24" s="458"/>
      <c r="O24" s="458"/>
      <c r="P24" s="458"/>
      <c r="Q24" s="458"/>
      <c r="R24" s="71"/>
    </row>
    <row r="25" spans="1:18" ht="13" x14ac:dyDescent="0.25">
      <c r="A25" s="77" t="s">
        <v>84</v>
      </c>
      <c r="B25" s="69"/>
      <c r="C25" s="69"/>
      <c r="D25" s="69"/>
      <c r="E25" s="70"/>
      <c r="F25" s="457"/>
      <c r="G25" s="457"/>
      <c r="H25" s="457"/>
      <c r="I25" s="457"/>
      <c r="J25" s="457"/>
      <c r="K25" s="457"/>
      <c r="L25" s="457"/>
      <c r="M25" s="457"/>
      <c r="N25" s="457"/>
      <c r="O25" s="457"/>
      <c r="P25" s="457"/>
      <c r="Q25" s="457"/>
      <c r="R25" s="71"/>
    </row>
    <row r="26" spans="1:18" ht="13" x14ac:dyDescent="0.25">
      <c r="A26" s="77" t="s">
        <v>85</v>
      </c>
      <c r="B26" s="69"/>
      <c r="C26" s="69"/>
      <c r="D26" s="69"/>
      <c r="E26" s="70">
        <v>780</v>
      </c>
      <c r="F26" s="461">
        <v>0</v>
      </c>
      <c r="G26" s="461">
        <v>0</v>
      </c>
      <c r="H26" s="461">
        <v>0</v>
      </c>
      <c r="I26" s="461">
        <v>0</v>
      </c>
      <c r="J26" s="461">
        <v>0</v>
      </c>
      <c r="K26" s="461">
        <v>0</v>
      </c>
      <c r="L26" s="461">
        <v>0</v>
      </c>
      <c r="M26" s="461">
        <v>0</v>
      </c>
      <c r="N26" s="461">
        <v>0</v>
      </c>
      <c r="O26" s="461">
        <v>0</v>
      </c>
      <c r="P26" s="461">
        <v>0</v>
      </c>
      <c r="Q26" s="457">
        <f>SUM(F26:P26)</f>
        <v>0</v>
      </c>
      <c r="R26" s="71"/>
    </row>
    <row r="27" spans="1:18" ht="13" x14ac:dyDescent="0.25">
      <c r="A27" s="79"/>
      <c r="B27" s="81"/>
      <c r="C27" s="81"/>
      <c r="D27" s="81"/>
      <c r="E27" s="82"/>
      <c r="F27" s="462"/>
      <c r="G27" s="462"/>
      <c r="H27" s="462"/>
      <c r="I27" s="462"/>
      <c r="J27" s="462"/>
      <c r="K27" s="462"/>
      <c r="L27" s="462"/>
      <c r="M27" s="462"/>
      <c r="N27" s="462"/>
      <c r="O27" s="462"/>
      <c r="P27" s="462"/>
      <c r="Q27" s="457"/>
      <c r="R27" s="71"/>
    </row>
    <row r="28" spans="1:18" ht="13" x14ac:dyDescent="0.25">
      <c r="A28" s="77" t="s">
        <v>86</v>
      </c>
      <c r="B28" s="69"/>
      <c r="C28" s="69"/>
      <c r="D28" s="69"/>
      <c r="E28" s="70"/>
      <c r="F28" s="457"/>
      <c r="G28" s="457"/>
      <c r="H28" s="457"/>
      <c r="I28" s="457"/>
      <c r="J28" s="457"/>
      <c r="K28" s="457"/>
      <c r="L28" s="457"/>
      <c r="M28" s="457"/>
      <c r="N28" s="457"/>
      <c r="O28" s="457"/>
      <c r="P28" s="457"/>
      <c r="Q28" s="457"/>
      <c r="R28" s="56"/>
    </row>
    <row r="29" spans="1:18" ht="13" x14ac:dyDescent="0.25">
      <c r="A29" s="77"/>
      <c r="B29" s="69" t="s">
        <v>87</v>
      </c>
      <c r="C29" s="69"/>
      <c r="D29" s="69"/>
      <c r="E29" s="70">
        <v>77</v>
      </c>
      <c r="F29" s="461">
        <v>0</v>
      </c>
      <c r="G29" s="461">
        <v>0</v>
      </c>
      <c r="H29" s="461">
        <v>0</v>
      </c>
      <c r="I29" s="461">
        <v>0</v>
      </c>
      <c r="J29" s="461">
        <v>0</v>
      </c>
      <c r="K29" s="461">
        <v>0</v>
      </c>
      <c r="L29" s="461">
        <v>0</v>
      </c>
      <c r="M29" s="461">
        <v>0</v>
      </c>
      <c r="N29" s="461">
        <v>0</v>
      </c>
      <c r="O29" s="461">
        <v>0</v>
      </c>
      <c r="P29" s="461">
        <v>0</v>
      </c>
      <c r="Q29" s="457">
        <f>SUM(F29:P29)</f>
        <v>0</v>
      </c>
      <c r="R29" s="71"/>
    </row>
    <row r="30" spans="1:18" ht="13" x14ac:dyDescent="0.25">
      <c r="A30" s="79"/>
      <c r="B30" s="81"/>
      <c r="C30" s="81"/>
      <c r="D30" s="81"/>
      <c r="E30" s="82"/>
      <c r="F30" s="462"/>
      <c r="G30" s="462"/>
      <c r="H30" s="462"/>
      <c r="I30" s="462"/>
      <c r="J30" s="462"/>
      <c r="K30" s="462"/>
      <c r="L30" s="462"/>
      <c r="M30" s="462"/>
      <c r="N30" s="462"/>
      <c r="O30" s="462"/>
      <c r="P30" s="462"/>
      <c r="Q30" s="457"/>
      <c r="R30" s="56"/>
    </row>
    <row r="31" spans="1:18" ht="13" x14ac:dyDescent="0.25">
      <c r="A31" s="77" t="s">
        <v>88</v>
      </c>
      <c r="B31" s="69"/>
      <c r="C31" s="78"/>
      <c r="D31" s="69"/>
      <c r="E31" s="70"/>
      <c r="F31" s="461">
        <v>0</v>
      </c>
      <c r="G31" s="461">
        <v>0</v>
      </c>
      <c r="H31" s="461">
        <v>0</v>
      </c>
      <c r="I31" s="461">
        <v>0</v>
      </c>
      <c r="J31" s="461">
        <v>0</v>
      </c>
      <c r="K31" s="461">
        <v>0</v>
      </c>
      <c r="L31" s="461">
        <v>0</v>
      </c>
      <c r="M31" s="461">
        <v>0</v>
      </c>
      <c r="N31" s="461">
        <v>0</v>
      </c>
      <c r="O31" s="461">
        <v>0</v>
      </c>
      <c r="P31" s="461">
        <v>0</v>
      </c>
      <c r="Q31" s="457">
        <f>SUM(F31:P31)</f>
        <v>0</v>
      </c>
      <c r="R31" s="71"/>
    </row>
    <row r="32" spans="1:18" x14ac:dyDescent="0.25">
      <c r="A32" s="75"/>
      <c r="B32" s="73"/>
      <c r="C32" s="73"/>
      <c r="D32" s="73"/>
      <c r="E32" s="74"/>
      <c r="F32" s="463"/>
      <c r="G32" s="463"/>
      <c r="H32" s="463"/>
      <c r="I32" s="463"/>
      <c r="J32" s="463"/>
      <c r="K32" s="463"/>
      <c r="L32" s="463"/>
      <c r="M32" s="463"/>
      <c r="N32" s="463"/>
      <c r="O32" s="463"/>
      <c r="P32" s="463"/>
      <c r="Q32" s="463"/>
      <c r="R32" s="71"/>
    </row>
    <row r="33" spans="1:18" ht="15.5" x14ac:dyDescent="0.25">
      <c r="A33" s="84"/>
      <c r="B33" s="85"/>
      <c r="C33" s="85"/>
      <c r="D33" s="86"/>
      <c r="E33" s="87"/>
      <c r="F33" s="464"/>
      <c r="G33" s="464"/>
      <c r="H33" s="464"/>
      <c r="I33" s="464"/>
      <c r="J33" s="464"/>
      <c r="K33" s="464"/>
      <c r="L33" s="464"/>
      <c r="M33" s="464"/>
      <c r="N33" s="464"/>
      <c r="O33" s="464"/>
      <c r="P33" s="464"/>
      <c r="Q33" s="464"/>
      <c r="R33" s="71"/>
    </row>
    <row r="34" spans="1:18" ht="14" x14ac:dyDescent="0.25">
      <c r="A34" s="88"/>
      <c r="B34" s="89"/>
      <c r="C34" s="89"/>
      <c r="D34" s="90" t="s">
        <v>31</v>
      </c>
      <c r="E34" s="91"/>
      <c r="F34" s="465">
        <f t="shared" ref="F34:Q34" si="1">SUM(F12,F21,F23,F26,F29,F31)</f>
        <v>0</v>
      </c>
      <c r="G34" s="465">
        <f t="shared" si="1"/>
        <v>0</v>
      </c>
      <c r="H34" s="465">
        <f t="shared" si="1"/>
        <v>0</v>
      </c>
      <c r="I34" s="465">
        <f>SUM(I12,I21,I23,I26,I29,I31)</f>
        <v>0</v>
      </c>
      <c r="J34" s="465">
        <f>SUM(J12,J21,J23,J26,J29,J31)</f>
        <v>0</v>
      </c>
      <c r="K34" s="465">
        <f t="shared" si="1"/>
        <v>0</v>
      </c>
      <c r="L34" s="465">
        <f t="shared" si="1"/>
        <v>0</v>
      </c>
      <c r="M34" s="465">
        <f t="shared" si="1"/>
        <v>0</v>
      </c>
      <c r="N34" s="465">
        <f>SUM(N12,N21,N23,N26,N29,N31)</f>
        <v>0</v>
      </c>
      <c r="O34" s="465">
        <f>SUM(O12,O21,O23,O26,O29,O31)</f>
        <v>0</v>
      </c>
      <c r="P34" s="465">
        <f t="shared" si="1"/>
        <v>0</v>
      </c>
      <c r="Q34" s="465">
        <f t="shared" si="1"/>
        <v>0</v>
      </c>
      <c r="R34" s="71"/>
    </row>
    <row r="35" spans="1:18" ht="16" thickBot="1" x14ac:dyDescent="0.3">
      <c r="A35" s="92"/>
      <c r="B35" s="93"/>
      <c r="C35" s="93"/>
      <c r="D35" s="94"/>
      <c r="E35" s="95"/>
      <c r="F35" s="96"/>
      <c r="G35" s="96"/>
      <c r="H35" s="96"/>
      <c r="I35" s="96"/>
      <c r="J35" s="96"/>
      <c r="K35" s="96"/>
      <c r="L35" s="96"/>
      <c r="M35" s="96"/>
      <c r="N35" s="96"/>
      <c r="O35" s="96"/>
      <c r="P35" s="96"/>
      <c r="Q35" s="96"/>
      <c r="R35" s="56"/>
    </row>
    <row r="36" spans="1:18" ht="13.5" thickTop="1" x14ac:dyDescent="0.3">
      <c r="A36" s="97"/>
      <c r="B36" s="98"/>
      <c r="C36" s="98"/>
      <c r="D36" s="98"/>
      <c r="E36" s="99"/>
      <c r="F36" s="100"/>
      <c r="G36" s="100"/>
      <c r="H36" s="100"/>
      <c r="I36" s="100"/>
      <c r="J36" s="100"/>
      <c r="K36" s="100"/>
      <c r="L36" s="100"/>
      <c r="M36" s="100"/>
      <c r="N36" s="100"/>
      <c r="O36" s="100"/>
      <c r="P36" s="100"/>
      <c r="Q36" s="98"/>
      <c r="R36" s="56"/>
    </row>
    <row r="37" spans="1:18" ht="13.5" thickBot="1" x14ac:dyDescent="0.35">
      <c r="A37" s="97"/>
      <c r="B37" s="98"/>
      <c r="C37" s="98"/>
      <c r="D37" s="98"/>
      <c r="E37" s="99"/>
      <c r="F37" s="100"/>
      <c r="G37" s="100"/>
      <c r="H37" s="100"/>
      <c r="I37" s="100"/>
      <c r="J37" s="100"/>
      <c r="K37" s="100"/>
      <c r="L37" s="100"/>
      <c r="M37" s="100"/>
      <c r="N37" s="100"/>
      <c r="O37" s="100"/>
      <c r="P37" s="100"/>
      <c r="Q37" s="98"/>
      <c r="R37" s="56"/>
    </row>
    <row r="38" spans="1:18" ht="13" thickTop="1" x14ac:dyDescent="0.25">
      <c r="A38" s="982" t="s">
        <v>89</v>
      </c>
      <c r="B38" s="983"/>
      <c r="C38" s="983"/>
      <c r="D38" s="984"/>
      <c r="E38" s="988" t="s">
        <v>3</v>
      </c>
      <c r="F38" s="976" t="s">
        <v>113</v>
      </c>
      <c r="G38" s="977"/>
      <c r="H38" s="977"/>
      <c r="I38" s="977"/>
      <c r="J38" s="978"/>
      <c r="K38" s="976" t="s">
        <v>114</v>
      </c>
      <c r="L38" s="977"/>
      <c r="M38" s="977"/>
      <c r="N38" s="977"/>
      <c r="O38" s="978"/>
      <c r="P38" s="974" t="s">
        <v>115</v>
      </c>
      <c r="Q38" s="974" t="s">
        <v>31</v>
      </c>
      <c r="R38" s="56"/>
    </row>
    <row r="39" spans="1:18" x14ac:dyDescent="0.25">
      <c r="A39" s="985"/>
      <c r="B39" s="986"/>
      <c r="C39" s="986"/>
      <c r="D39" s="987"/>
      <c r="E39" s="989"/>
      <c r="F39" s="979"/>
      <c r="G39" s="980"/>
      <c r="H39" s="980"/>
      <c r="I39" s="980"/>
      <c r="J39" s="981"/>
      <c r="K39" s="979"/>
      <c r="L39" s="980"/>
      <c r="M39" s="980"/>
      <c r="N39" s="980"/>
      <c r="O39" s="981"/>
      <c r="P39" s="975"/>
      <c r="Q39" s="975"/>
      <c r="R39" s="56"/>
    </row>
    <row r="40" spans="1:18" ht="26" x14ac:dyDescent="0.25">
      <c r="A40" s="450"/>
      <c r="B40" s="451"/>
      <c r="C40" s="451"/>
      <c r="D40" s="451"/>
      <c r="E40" s="70"/>
      <c r="F40" s="970" t="s">
        <v>180</v>
      </c>
      <c r="G40" s="971"/>
      <c r="H40" s="971"/>
      <c r="I40" s="972"/>
      <c r="J40" s="61" t="s">
        <v>115</v>
      </c>
      <c r="K40" s="970" t="s">
        <v>180</v>
      </c>
      <c r="L40" s="971"/>
      <c r="M40" s="971"/>
      <c r="N40" s="973"/>
      <c r="O40" s="453" t="s">
        <v>115</v>
      </c>
      <c r="P40" s="447"/>
      <c r="Q40" s="447"/>
      <c r="R40" s="56"/>
    </row>
    <row r="41" spans="1:18" ht="31.5" customHeight="1" x14ac:dyDescent="0.3">
      <c r="A41" s="57"/>
      <c r="B41" s="58"/>
      <c r="C41" s="59"/>
      <c r="D41" s="59"/>
      <c r="E41" s="60"/>
      <c r="F41" s="61" t="s">
        <v>229</v>
      </c>
      <c r="G41" s="61" t="s">
        <v>116</v>
      </c>
      <c r="H41" s="61" t="s">
        <v>122</v>
      </c>
      <c r="I41" s="61" t="s">
        <v>179</v>
      </c>
      <c r="J41" s="61"/>
      <c r="K41" s="61" t="s">
        <v>229</v>
      </c>
      <c r="L41" s="61" t="s">
        <v>116</v>
      </c>
      <c r="M41" s="61" t="s">
        <v>122</v>
      </c>
      <c r="N41" s="61" t="s">
        <v>179</v>
      </c>
      <c r="O41" s="61"/>
      <c r="P41" s="62"/>
      <c r="Q41" s="62"/>
      <c r="R41" s="56"/>
    </row>
    <row r="42" spans="1:18" ht="13" x14ac:dyDescent="0.3">
      <c r="A42" s="57"/>
      <c r="B42" s="58"/>
      <c r="C42" s="59"/>
      <c r="D42" s="59"/>
      <c r="E42" s="60"/>
      <c r="F42" s="63"/>
      <c r="G42" s="63"/>
      <c r="H42" s="63"/>
      <c r="I42" s="63"/>
      <c r="J42" s="63"/>
      <c r="K42" s="63"/>
      <c r="L42" s="63"/>
      <c r="M42" s="63"/>
      <c r="N42" s="63"/>
      <c r="O42" s="63"/>
      <c r="P42" s="63"/>
      <c r="Q42" s="63"/>
      <c r="R42" s="56"/>
    </row>
    <row r="43" spans="1:18" x14ac:dyDescent="0.25">
      <c r="A43" s="64"/>
      <c r="B43" s="65"/>
      <c r="C43" s="65"/>
      <c r="D43" s="65"/>
      <c r="E43" s="66"/>
      <c r="F43" s="67"/>
      <c r="G43" s="67"/>
      <c r="H43" s="67"/>
      <c r="I43" s="67"/>
      <c r="J43" s="67"/>
      <c r="K43" s="67"/>
      <c r="L43" s="67"/>
      <c r="M43" s="67"/>
      <c r="N43" s="67"/>
      <c r="O43" s="67"/>
      <c r="P43" s="67"/>
      <c r="Q43" s="67"/>
      <c r="R43" s="56"/>
    </row>
    <row r="44" spans="1:18" ht="13" x14ac:dyDescent="0.25">
      <c r="A44" s="68" t="s">
        <v>90</v>
      </c>
      <c r="B44" s="69"/>
      <c r="C44" s="69"/>
      <c r="D44" s="69"/>
      <c r="E44" s="70" t="s">
        <v>91</v>
      </c>
      <c r="F44" s="457">
        <f t="shared" ref="F44:Q44" si="2">SUM(F46,F47,F48,F51,F54,F56,F57,F59)</f>
        <v>0</v>
      </c>
      <c r="G44" s="457">
        <f t="shared" si="2"/>
        <v>0</v>
      </c>
      <c r="H44" s="457">
        <f t="shared" si="2"/>
        <v>0</v>
      </c>
      <c r="I44" s="457">
        <f>SUM(I46,I47,I48,I51,I54,I56,I57,I59)</f>
        <v>0</v>
      </c>
      <c r="J44" s="457">
        <f>SUM(J46,J47,J48,J51,J54,J56,J57,J59)</f>
        <v>0</v>
      </c>
      <c r="K44" s="457">
        <f t="shared" si="2"/>
        <v>0</v>
      </c>
      <c r="L44" s="457">
        <f t="shared" si="2"/>
        <v>0</v>
      </c>
      <c r="M44" s="457">
        <f t="shared" si="2"/>
        <v>0</v>
      </c>
      <c r="N44" s="457">
        <f>SUM(N46,N47,N48,N51,N54,N56,N57,N59)</f>
        <v>0</v>
      </c>
      <c r="O44" s="457">
        <f>SUM(O46,O47,O48,O51,O54,O56,O57,O59)</f>
        <v>0</v>
      </c>
      <c r="P44" s="457">
        <f t="shared" si="2"/>
        <v>0</v>
      </c>
      <c r="Q44" s="457">
        <f t="shared" si="2"/>
        <v>0</v>
      </c>
      <c r="R44" s="56"/>
    </row>
    <row r="45" spans="1:18" x14ac:dyDescent="0.25">
      <c r="A45" s="72"/>
      <c r="B45" s="73"/>
      <c r="C45" s="73"/>
      <c r="D45" s="73"/>
      <c r="E45" s="74"/>
      <c r="F45" s="458"/>
      <c r="G45" s="458"/>
      <c r="H45" s="458"/>
      <c r="I45" s="458"/>
      <c r="J45" s="458"/>
      <c r="K45" s="458"/>
      <c r="L45" s="458"/>
      <c r="M45" s="458"/>
      <c r="N45" s="458"/>
      <c r="O45" s="458"/>
      <c r="P45" s="458"/>
      <c r="Q45" s="458"/>
      <c r="R45" s="56"/>
    </row>
    <row r="46" spans="1:18" x14ac:dyDescent="0.25">
      <c r="A46" s="75"/>
      <c r="B46" s="73" t="s">
        <v>92</v>
      </c>
      <c r="C46" s="73"/>
      <c r="D46" s="73"/>
      <c r="E46" s="74">
        <v>60</v>
      </c>
      <c r="F46" s="460">
        <v>0</v>
      </c>
      <c r="G46" s="460">
        <v>0</v>
      </c>
      <c r="H46" s="460">
        <v>0</v>
      </c>
      <c r="I46" s="460">
        <v>0</v>
      </c>
      <c r="J46" s="460">
        <v>0</v>
      </c>
      <c r="K46" s="460">
        <v>0</v>
      </c>
      <c r="L46" s="460">
        <v>0</v>
      </c>
      <c r="M46" s="460">
        <v>0</v>
      </c>
      <c r="N46" s="460">
        <v>0</v>
      </c>
      <c r="O46" s="460">
        <v>0</v>
      </c>
      <c r="P46" s="460">
        <v>0</v>
      </c>
      <c r="Q46" s="458">
        <f>SUM(F46:P46)</f>
        <v>0</v>
      </c>
      <c r="R46" s="56"/>
    </row>
    <row r="47" spans="1:18" x14ac:dyDescent="0.25">
      <c r="A47" s="75"/>
      <c r="B47" s="76" t="s">
        <v>93</v>
      </c>
      <c r="C47" s="73"/>
      <c r="D47" s="73"/>
      <c r="E47" s="74">
        <v>61</v>
      </c>
      <c r="F47" s="460">
        <v>0</v>
      </c>
      <c r="G47" s="460">
        <v>0</v>
      </c>
      <c r="H47" s="460">
        <v>0</v>
      </c>
      <c r="I47" s="460">
        <v>0</v>
      </c>
      <c r="J47" s="460">
        <v>0</v>
      </c>
      <c r="K47" s="460">
        <v>0</v>
      </c>
      <c r="L47" s="460">
        <v>0</v>
      </c>
      <c r="M47" s="460">
        <v>0</v>
      </c>
      <c r="N47" s="460">
        <v>0</v>
      </c>
      <c r="O47" s="460">
        <v>0</v>
      </c>
      <c r="P47" s="460">
        <v>0</v>
      </c>
      <c r="Q47" s="458">
        <f>SUM(F47:P47)</f>
        <v>0</v>
      </c>
      <c r="R47" s="56"/>
    </row>
    <row r="48" spans="1:18" x14ac:dyDescent="0.25">
      <c r="A48" s="75"/>
      <c r="B48" s="73" t="s">
        <v>94</v>
      </c>
      <c r="C48" s="73"/>
      <c r="D48" s="73"/>
      <c r="E48" s="74">
        <v>62</v>
      </c>
      <c r="F48" s="460">
        <v>0</v>
      </c>
      <c r="G48" s="460">
        <v>0</v>
      </c>
      <c r="H48" s="460">
        <v>0</v>
      </c>
      <c r="I48" s="460">
        <v>0</v>
      </c>
      <c r="J48" s="460">
        <v>0</v>
      </c>
      <c r="K48" s="460">
        <v>0</v>
      </c>
      <c r="L48" s="460">
        <v>0</v>
      </c>
      <c r="M48" s="460">
        <v>0</v>
      </c>
      <c r="N48" s="460">
        <v>0</v>
      </c>
      <c r="O48" s="460">
        <v>0</v>
      </c>
      <c r="P48" s="460">
        <v>0</v>
      </c>
      <c r="Q48" s="458">
        <f>SUM(F48:P48)</f>
        <v>0</v>
      </c>
      <c r="R48" s="56"/>
    </row>
    <row r="49" spans="1:18" x14ac:dyDescent="0.25">
      <c r="A49" s="75"/>
      <c r="B49" s="76" t="s">
        <v>95</v>
      </c>
      <c r="C49" s="73"/>
      <c r="D49" s="73"/>
      <c r="E49" s="74"/>
      <c r="F49" s="458"/>
      <c r="G49" s="458"/>
      <c r="H49" s="458"/>
      <c r="I49" s="458"/>
      <c r="J49" s="458"/>
      <c r="K49" s="458"/>
      <c r="L49" s="458"/>
      <c r="M49" s="458"/>
      <c r="N49" s="458"/>
      <c r="O49" s="458"/>
      <c r="P49" s="458"/>
      <c r="Q49" s="458"/>
      <c r="R49" s="56"/>
    </row>
    <row r="50" spans="1:18" x14ac:dyDescent="0.25">
      <c r="A50" s="75"/>
      <c r="B50" s="73" t="s">
        <v>96</v>
      </c>
      <c r="C50" s="73"/>
      <c r="D50" s="73"/>
      <c r="E50" s="74"/>
      <c r="F50" s="458"/>
      <c r="G50" s="458"/>
      <c r="H50" s="458"/>
      <c r="I50" s="458"/>
      <c r="J50" s="458"/>
      <c r="K50" s="458"/>
      <c r="L50" s="458"/>
      <c r="M50" s="458"/>
      <c r="N50" s="458"/>
      <c r="O50" s="458"/>
      <c r="P50" s="458"/>
      <c r="Q50" s="458"/>
      <c r="R50" s="56"/>
    </row>
    <row r="51" spans="1:18" x14ac:dyDescent="0.25">
      <c r="A51" s="75"/>
      <c r="B51" s="73" t="s">
        <v>97</v>
      </c>
      <c r="C51" s="76"/>
      <c r="D51" s="73"/>
      <c r="E51" s="74">
        <v>630</v>
      </c>
      <c r="F51" s="460">
        <v>0</v>
      </c>
      <c r="G51" s="460">
        <v>0</v>
      </c>
      <c r="H51" s="460">
        <v>0</v>
      </c>
      <c r="I51" s="460">
        <v>0</v>
      </c>
      <c r="J51" s="460">
        <v>0</v>
      </c>
      <c r="K51" s="460">
        <v>0</v>
      </c>
      <c r="L51" s="460">
        <v>0</v>
      </c>
      <c r="M51" s="460">
        <v>0</v>
      </c>
      <c r="N51" s="460">
        <v>0</v>
      </c>
      <c r="O51" s="460">
        <v>0</v>
      </c>
      <c r="P51" s="460">
        <v>0</v>
      </c>
      <c r="Q51" s="458">
        <f>SUM(F51:P51)</f>
        <v>0</v>
      </c>
      <c r="R51" s="56"/>
    </row>
    <row r="52" spans="1:18" x14ac:dyDescent="0.25">
      <c r="A52" s="75"/>
      <c r="B52" s="73" t="s">
        <v>98</v>
      </c>
      <c r="C52" s="76"/>
      <c r="D52" s="73"/>
      <c r="E52" s="74"/>
      <c r="F52" s="458"/>
      <c r="G52" s="458"/>
      <c r="H52" s="458"/>
      <c r="I52" s="458"/>
      <c r="J52" s="458"/>
      <c r="K52" s="458"/>
      <c r="L52" s="458"/>
      <c r="M52" s="458"/>
      <c r="N52" s="458"/>
      <c r="O52" s="458"/>
      <c r="P52" s="458"/>
      <c r="Q52" s="458"/>
      <c r="R52" s="56"/>
    </row>
    <row r="53" spans="1:18" x14ac:dyDescent="0.25">
      <c r="A53" s="75"/>
      <c r="B53" s="73" t="s">
        <v>99</v>
      </c>
      <c r="C53" s="76"/>
      <c r="D53" s="73"/>
      <c r="E53" s="74"/>
      <c r="F53" s="458"/>
      <c r="G53" s="458"/>
      <c r="H53" s="458"/>
      <c r="I53" s="458"/>
      <c r="J53" s="458"/>
      <c r="K53" s="458"/>
      <c r="L53" s="458"/>
      <c r="M53" s="458"/>
      <c r="N53" s="458"/>
      <c r="O53" s="458"/>
      <c r="P53" s="458"/>
      <c r="Q53" s="458"/>
      <c r="R53" s="56"/>
    </row>
    <row r="54" spans="1:18" x14ac:dyDescent="0.25">
      <c r="A54" s="75"/>
      <c r="B54" s="73" t="s">
        <v>100</v>
      </c>
      <c r="C54" s="76"/>
      <c r="D54" s="73"/>
      <c r="E54" s="74" t="s">
        <v>101</v>
      </c>
      <c r="F54" s="460">
        <v>0</v>
      </c>
      <c r="G54" s="460">
        <v>0</v>
      </c>
      <c r="H54" s="460">
        <v>0</v>
      </c>
      <c r="I54" s="460">
        <v>0</v>
      </c>
      <c r="J54" s="460">
        <v>0</v>
      </c>
      <c r="K54" s="460">
        <v>0</v>
      </c>
      <c r="L54" s="460">
        <v>0</v>
      </c>
      <c r="M54" s="460">
        <v>0</v>
      </c>
      <c r="N54" s="460">
        <v>0</v>
      </c>
      <c r="O54" s="460">
        <v>0</v>
      </c>
      <c r="P54" s="460">
        <v>0</v>
      </c>
      <c r="Q54" s="458">
        <f>SUM(F54:P54)</f>
        <v>0</v>
      </c>
      <c r="R54" s="56"/>
    </row>
    <row r="55" spans="1:18" x14ac:dyDescent="0.25">
      <c r="A55" s="75"/>
      <c r="B55" s="73" t="s">
        <v>102</v>
      </c>
      <c r="C55" s="76"/>
      <c r="D55" s="73"/>
      <c r="E55" s="74"/>
      <c r="F55" s="458"/>
      <c r="G55" s="458"/>
      <c r="H55" s="458"/>
      <c r="I55" s="458"/>
      <c r="J55" s="458"/>
      <c r="K55" s="458"/>
      <c r="L55" s="458"/>
      <c r="M55" s="458"/>
      <c r="N55" s="458"/>
      <c r="O55" s="458"/>
      <c r="P55" s="458"/>
      <c r="Q55" s="458"/>
      <c r="R55" s="56"/>
    </row>
    <row r="56" spans="1:18" x14ac:dyDescent="0.25">
      <c r="A56" s="75"/>
      <c r="B56" s="73" t="s">
        <v>103</v>
      </c>
      <c r="C56" s="76"/>
      <c r="D56" s="73"/>
      <c r="E56" s="74" t="s">
        <v>104</v>
      </c>
      <c r="F56" s="460">
        <v>0</v>
      </c>
      <c r="G56" s="460">
        <v>0</v>
      </c>
      <c r="H56" s="460">
        <v>0</v>
      </c>
      <c r="I56" s="460">
        <v>0</v>
      </c>
      <c r="J56" s="460">
        <v>0</v>
      </c>
      <c r="K56" s="460">
        <v>0</v>
      </c>
      <c r="L56" s="460">
        <v>0</v>
      </c>
      <c r="M56" s="460">
        <v>0</v>
      </c>
      <c r="N56" s="460">
        <v>0</v>
      </c>
      <c r="O56" s="460">
        <v>0</v>
      </c>
      <c r="P56" s="460">
        <v>0</v>
      </c>
      <c r="Q56" s="458">
        <f>SUM(F56:P56)</f>
        <v>0</v>
      </c>
      <c r="R56" s="56"/>
    </row>
    <row r="57" spans="1:18" x14ac:dyDescent="0.25">
      <c r="A57" s="75"/>
      <c r="B57" s="73" t="s">
        <v>105</v>
      </c>
      <c r="C57" s="73"/>
      <c r="D57" s="73"/>
      <c r="E57" s="74" t="s">
        <v>106</v>
      </c>
      <c r="F57" s="460">
        <v>0</v>
      </c>
      <c r="G57" s="460">
        <v>0</v>
      </c>
      <c r="H57" s="460">
        <v>0</v>
      </c>
      <c r="I57" s="460">
        <v>0</v>
      </c>
      <c r="J57" s="460">
        <v>0</v>
      </c>
      <c r="K57" s="460">
        <v>0</v>
      </c>
      <c r="L57" s="460">
        <v>0</v>
      </c>
      <c r="M57" s="460">
        <v>0</v>
      </c>
      <c r="N57" s="460">
        <v>0</v>
      </c>
      <c r="O57" s="460">
        <v>0</v>
      </c>
      <c r="P57" s="460">
        <v>0</v>
      </c>
      <c r="Q57" s="458">
        <f>SUM(F57:P57)</f>
        <v>0</v>
      </c>
      <c r="R57" s="56"/>
    </row>
    <row r="58" spans="1:18" x14ac:dyDescent="0.25">
      <c r="A58" s="75"/>
      <c r="B58" s="76" t="s">
        <v>107</v>
      </c>
      <c r="C58" s="73"/>
      <c r="D58" s="73"/>
      <c r="E58" s="74"/>
      <c r="F58" s="458"/>
      <c r="G58" s="458"/>
      <c r="H58" s="458"/>
      <c r="I58" s="458"/>
      <c r="J58" s="458"/>
      <c r="K58" s="458"/>
      <c r="L58" s="458"/>
      <c r="M58" s="458"/>
      <c r="N58" s="458"/>
      <c r="O58" s="458"/>
      <c r="P58" s="458"/>
      <c r="Q58" s="458"/>
      <c r="R58" s="56"/>
    </row>
    <row r="59" spans="1:18" x14ac:dyDescent="0.25">
      <c r="A59" s="75"/>
      <c r="B59" s="76" t="s">
        <v>108</v>
      </c>
      <c r="C59" s="73"/>
      <c r="D59" s="73"/>
      <c r="E59" s="74">
        <v>649</v>
      </c>
      <c r="F59" s="460">
        <v>0</v>
      </c>
      <c r="G59" s="460">
        <v>0</v>
      </c>
      <c r="H59" s="460">
        <v>0</v>
      </c>
      <c r="I59" s="460">
        <v>0</v>
      </c>
      <c r="J59" s="460">
        <v>0</v>
      </c>
      <c r="K59" s="460">
        <v>0</v>
      </c>
      <c r="L59" s="460">
        <v>0</v>
      </c>
      <c r="M59" s="460">
        <v>0</v>
      </c>
      <c r="N59" s="460">
        <v>0</v>
      </c>
      <c r="O59" s="460">
        <v>0</v>
      </c>
      <c r="P59" s="460">
        <v>0</v>
      </c>
      <c r="Q59" s="458">
        <f>SUM(F59:P59)</f>
        <v>0</v>
      </c>
      <c r="R59" s="56"/>
    </row>
    <row r="60" spans="1:18" x14ac:dyDescent="0.25">
      <c r="A60" s="75"/>
      <c r="B60" s="76"/>
      <c r="C60" s="73"/>
      <c r="D60" s="73"/>
      <c r="E60" s="74"/>
      <c r="F60" s="458"/>
      <c r="G60" s="458"/>
      <c r="H60" s="458"/>
      <c r="I60" s="458"/>
      <c r="J60" s="458"/>
      <c r="K60" s="458"/>
      <c r="L60" s="458"/>
      <c r="M60" s="458"/>
      <c r="N60" s="458"/>
      <c r="O60" s="458"/>
      <c r="P60" s="458"/>
      <c r="Q60" s="458"/>
      <c r="R60" s="56"/>
    </row>
    <row r="61" spans="1:18" ht="13" x14ac:dyDescent="0.25">
      <c r="A61" s="77" t="s">
        <v>109</v>
      </c>
      <c r="B61" s="78"/>
      <c r="C61" s="69"/>
      <c r="D61" s="69"/>
      <c r="E61" s="70">
        <v>65</v>
      </c>
      <c r="F61" s="461">
        <v>0</v>
      </c>
      <c r="G61" s="461">
        <v>0</v>
      </c>
      <c r="H61" s="461">
        <v>0</v>
      </c>
      <c r="I61" s="461">
        <v>0</v>
      </c>
      <c r="J61" s="461">
        <v>0</v>
      </c>
      <c r="K61" s="461">
        <v>0</v>
      </c>
      <c r="L61" s="461">
        <v>0</v>
      </c>
      <c r="M61" s="461">
        <v>0</v>
      </c>
      <c r="N61" s="461">
        <v>0</v>
      </c>
      <c r="O61" s="461">
        <v>0</v>
      </c>
      <c r="P61" s="461">
        <v>0</v>
      </c>
      <c r="Q61" s="457">
        <f>SUM(F61:P61)</f>
        <v>0</v>
      </c>
      <c r="R61" s="56"/>
    </row>
    <row r="62" spans="1:18" ht="13" x14ac:dyDescent="0.25">
      <c r="A62" s="79"/>
      <c r="B62" s="80"/>
      <c r="C62" s="81"/>
      <c r="D62" s="81"/>
      <c r="E62" s="82"/>
      <c r="F62" s="462"/>
      <c r="G62" s="462"/>
      <c r="H62" s="462"/>
      <c r="I62" s="462"/>
      <c r="J62" s="462"/>
      <c r="K62" s="462"/>
      <c r="L62" s="462"/>
      <c r="M62" s="462"/>
      <c r="N62" s="462"/>
      <c r="O62" s="462"/>
      <c r="P62" s="462"/>
      <c r="Q62" s="457"/>
      <c r="R62" s="56"/>
    </row>
    <row r="63" spans="1:18" ht="13" x14ac:dyDescent="0.25">
      <c r="A63" s="77" t="s">
        <v>110</v>
      </c>
      <c r="B63" s="78"/>
      <c r="C63" s="69"/>
      <c r="D63" s="69"/>
      <c r="E63" s="70">
        <v>66</v>
      </c>
      <c r="F63" s="461">
        <v>0</v>
      </c>
      <c r="G63" s="461">
        <v>0</v>
      </c>
      <c r="H63" s="461">
        <v>0</v>
      </c>
      <c r="I63" s="461">
        <v>0</v>
      </c>
      <c r="J63" s="461">
        <v>0</v>
      </c>
      <c r="K63" s="461">
        <v>0</v>
      </c>
      <c r="L63" s="461">
        <v>0</v>
      </c>
      <c r="M63" s="461">
        <v>0</v>
      </c>
      <c r="N63" s="461">
        <v>0</v>
      </c>
      <c r="O63" s="461">
        <v>0</v>
      </c>
      <c r="P63" s="461">
        <v>0</v>
      </c>
      <c r="Q63" s="457">
        <f>SUM(F63:P63)</f>
        <v>0</v>
      </c>
      <c r="R63" s="56"/>
    </row>
    <row r="64" spans="1:18" x14ac:dyDescent="0.25">
      <c r="A64" s="75"/>
      <c r="B64" s="73"/>
      <c r="C64" s="73"/>
      <c r="D64" s="73"/>
      <c r="E64" s="74"/>
      <c r="F64" s="458"/>
      <c r="G64" s="458"/>
      <c r="H64" s="458"/>
      <c r="I64" s="458"/>
      <c r="J64" s="458"/>
      <c r="K64" s="458"/>
      <c r="L64" s="458"/>
      <c r="M64" s="458"/>
      <c r="N64" s="458"/>
      <c r="O64" s="458"/>
      <c r="P64" s="458"/>
      <c r="Q64" s="458"/>
      <c r="R64" s="56"/>
    </row>
    <row r="65" spans="1:18" ht="13" x14ac:dyDescent="0.25">
      <c r="A65" s="77" t="s">
        <v>111</v>
      </c>
      <c r="B65" s="69"/>
      <c r="C65" s="69"/>
      <c r="D65" s="69"/>
      <c r="E65" s="70"/>
      <c r="F65" s="457"/>
      <c r="G65" s="457"/>
      <c r="H65" s="457"/>
      <c r="I65" s="457"/>
      <c r="J65" s="457"/>
      <c r="K65" s="457"/>
      <c r="L65" s="457"/>
      <c r="M65" s="457"/>
      <c r="N65" s="457"/>
      <c r="O65" s="457"/>
      <c r="P65" s="457"/>
      <c r="Q65" s="457"/>
      <c r="R65" s="56"/>
    </row>
    <row r="66" spans="1:18" ht="13" x14ac:dyDescent="0.25">
      <c r="A66" s="77" t="s">
        <v>85</v>
      </c>
      <c r="B66" s="69"/>
      <c r="C66" s="69"/>
      <c r="D66" s="69"/>
      <c r="E66" s="70">
        <v>680</v>
      </c>
      <c r="F66" s="461">
        <v>0</v>
      </c>
      <c r="G66" s="461">
        <v>0</v>
      </c>
      <c r="H66" s="461">
        <v>0</v>
      </c>
      <c r="I66" s="461">
        <v>0</v>
      </c>
      <c r="J66" s="461">
        <v>0</v>
      </c>
      <c r="K66" s="461">
        <v>0</v>
      </c>
      <c r="L66" s="461">
        <v>0</v>
      </c>
      <c r="M66" s="461">
        <v>0</v>
      </c>
      <c r="N66" s="461">
        <v>0</v>
      </c>
      <c r="O66" s="461">
        <v>0</v>
      </c>
      <c r="P66" s="461">
        <v>0</v>
      </c>
      <c r="Q66" s="457">
        <f>SUM(F66:P66)</f>
        <v>0</v>
      </c>
      <c r="R66" s="56"/>
    </row>
    <row r="67" spans="1:18" ht="13" x14ac:dyDescent="0.25">
      <c r="A67" s="79"/>
      <c r="B67" s="81"/>
      <c r="C67" s="81"/>
      <c r="D67" s="81"/>
      <c r="E67" s="82"/>
      <c r="F67" s="462"/>
      <c r="G67" s="462"/>
      <c r="H67" s="462"/>
      <c r="I67" s="462"/>
      <c r="J67" s="462"/>
      <c r="K67" s="462"/>
      <c r="L67" s="462"/>
      <c r="M67" s="462"/>
      <c r="N67" s="462"/>
      <c r="O67" s="462"/>
      <c r="P67" s="462"/>
      <c r="Q67" s="462"/>
      <c r="R67" s="56"/>
    </row>
    <row r="68" spans="1:18" ht="13" x14ac:dyDescent="0.25">
      <c r="A68" s="77" t="s">
        <v>121</v>
      </c>
      <c r="B68" s="69"/>
      <c r="C68" s="69"/>
      <c r="D68" s="69"/>
      <c r="E68" s="70" t="s">
        <v>112</v>
      </c>
      <c r="F68" s="461">
        <v>0</v>
      </c>
      <c r="G68" s="461">
        <v>0</v>
      </c>
      <c r="H68" s="461">
        <v>0</v>
      </c>
      <c r="I68" s="461">
        <v>0</v>
      </c>
      <c r="J68" s="461">
        <v>0</v>
      </c>
      <c r="K68" s="461">
        <v>0</v>
      </c>
      <c r="L68" s="461">
        <v>0</v>
      </c>
      <c r="M68" s="461">
        <v>0</v>
      </c>
      <c r="N68" s="461">
        <v>0</v>
      </c>
      <c r="O68" s="461">
        <v>0</v>
      </c>
      <c r="P68" s="461">
        <v>0</v>
      </c>
      <c r="Q68" s="457">
        <f>SUM(F68:P68)</f>
        <v>0</v>
      </c>
      <c r="R68" s="56"/>
    </row>
    <row r="69" spans="1:18" ht="13" x14ac:dyDescent="0.25">
      <c r="A69" s="79"/>
      <c r="B69" s="81"/>
      <c r="C69" s="81"/>
      <c r="D69" s="81"/>
      <c r="E69" s="82"/>
      <c r="F69" s="462"/>
      <c r="G69" s="462"/>
      <c r="H69" s="462"/>
      <c r="I69" s="462"/>
      <c r="J69" s="462"/>
      <c r="K69" s="462"/>
      <c r="L69" s="462"/>
      <c r="M69" s="462"/>
      <c r="N69" s="462"/>
      <c r="O69" s="462"/>
      <c r="P69" s="462"/>
      <c r="Q69" s="462"/>
      <c r="R69" s="56"/>
    </row>
    <row r="70" spans="1:18" ht="13" x14ac:dyDescent="0.25">
      <c r="A70" s="77" t="s">
        <v>117</v>
      </c>
      <c r="B70" s="69"/>
      <c r="C70" s="78"/>
      <c r="D70" s="69"/>
      <c r="E70" s="70"/>
      <c r="F70" s="461">
        <v>0</v>
      </c>
      <c r="G70" s="461">
        <v>0</v>
      </c>
      <c r="H70" s="461">
        <v>0</v>
      </c>
      <c r="I70" s="461">
        <v>0</v>
      </c>
      <c r="J70" s="461">
        <v>0</v>
      </c>
      <c r="K70" s="461">
        <v>0</v>
      </c>
      <c r="L70" s="461">
        <v>0</v>
      </c>
      <c r="M70" s="461">
        <v>0</v>
      </c>
      <c r="N70" s="461">
        <v>0</v>
      </c>
      <c r="O70" s="461">
        <v>0</v>
      </c>
      <c r="P70" s="461">
        <v>0</v>
      </c>
      <c r="Q70" s="457">
        <f>SUM(F70:P70)</f>
        <v>0</v>
      </c>
      <c r="R70" s="56"/>
    </row>
    <row r="71" spans="1:18" x14ac:dyDescent="0.25">
      <c r="A71" s="75"/>
      <c r="B71" s="73"/>
      <c r="C71" s="73"/>
      <c r="D71" s="73"/>
      <c r="E71" s="74"/>
      <c r="F71" s="458"/>
      <c r="G71" s="458"/>
      <c r="H71" s="458"/>
      <c r="I71" s="458"/>
      <c r="J71" s="458"/>
      <c r="K71" s="458"/>
      <c r="L71" s="458"/>
      <c r="M71" s="458"/>
      <c r="N71" s="458"/>
      <c r="O71" s="458"/>
      <c r="P71" s="458"/>
      <c r="Q71" s="458"/>
      <c r="R71" s="56"/>
    </row>
    <row r="72" spans="1:18" ht="15.5" x14ac:dyDescent="0.25">
      <c r="A72" s="84"/>
      <c r="B72" s="85"/>
      <c r="C72" s="85"/>
      <c r="D72" s="86"/>
      <c r="E72" s="87"/>
      <c r="F72" s="464"/>
      <c r="G72" s="464"/>
      <c r="H72" s="464"/>
      <c r="I72" s="464"/>
      <c r="J72" s="464"/>
      <c r="K72" s="464"/>
      <c r="L72" s="464"/>
      <c r="M72" s="464"/>
      <c r="N72" s="464"/>
      <c r="O72" s="464"/>
      <c r="P72" s="464"/>
      <c r="Q72" s="464"/>
      <c r="R72" s="56"/>
    </row>
    <row r="73" spans="1:18" ht="14" x14ac:dyDescent="0.25">
      <c r="A73" s="88"/>
      <c r="B73" s="89"/>
      <c r="C73" s="89"/>
      <c r="D73" s="90" t="s">
        <v>31</v>
      </c>
      <c r="E73" s="91"/>
      <c r="F73" s="465">
        <f t="shared" ref="F73:Q73" si="3">SUM(F44,F61,F63,F66,F68,F70)</f>
        <v>0</v>
      </c>
      <c r="G73" s="465">
        <f t="shared" si="3"/>
        <v>0</v>
      </c>
      <c r="H73" s="465">
        <f t="shared" si="3"/>
        <v>0</v>
      </c>
      <c r="I73" s="465">
        <f>SUM(I44,I61,I63,I66,I68,I70)</f>
        <v>0</v>
      </c>
      <c r="J73" s="465">
        <f>SUM(J44,J61,J63,J66,J68,J70)</f>
        <v>0</v>
      </c>
      <c r="K73" s="465">
        <f t="shared" si="3"/>
        <v>0</v>
      </c>
      <c r="L73" s="465">
        <f t="shared" si="3"/>
        <v>0</v>
      </c>
      <c r="M73" s="465">
        <f t="shared" si="3"/>
        <v>0</v>
      </c>
      <c r="N73" s="465">
        <f>SUM(N44,N61,N63,N66,N68,N70)</f>
        <v>0</v>
      </c>
      <c r="O73" s="465">
        <f>SUM(O44,O61,O63,O66,O68,O70)</f>
        <v>0</v>
      </c>
      <c r="P73" s="465">
        <f t="shared" si="3"/>
        <v>0</v>
      </c>
      <c r="Q73" s="465">
        <f t="shared" si="3"/>
        <v>0</v>
      </c>
      <c r="R73" s="56"/>
    </row>
    <row r="74" spans="1:18" ht="16" thickBot="1" x14ac:dyDescent="0.3">
      <c r="A74" s="92"/>
      <c r="B74" s="93"/>
      <c r="C74" s="93"/>
      <c r="D74" s="94"/>
      <c r="E74" s="95"/>
      <c r="F74" s="96"/>
      <c r="G74" s="96"/>
      <c r="H74" s="96"/>
      <c r="I74" s="96"/>
      <c r="J74" s="96"/>
      <c r="K74" s="96"/>
      <c r="L74" s="96"/>
      <c r="M74" s="96"/>
      <c r="N74" s="96"/>
      <c r="O74" s="96"/>
      <c r="P74" s="96"/>
      <c r="Q74" s="96"/>
      <c r="R74" s="71"/>
    </row>
    <row r="75" spans="1:18" ht="13" thickTop="1" x14ac:dyDescent="0.25">
      <c r="A75" s="101"/>
      <c r="B75" s="101"/>
      <c r="C75" s="101"/>
      <c r="D75" s="101"/>
      <c r="E75" s="102"/>
      <c r="F75" s="103"/>
      <c r="G75" s="103"/>
      <c r="H75" s="103"/>
      <c r="I75" s="103"/>
      <c r="J75" s="103"/>
      <c r="K75" s="103"/>
      <c r="L75" s="103"/>
      <c r="M75" s="103"/>
      <c r="N75" s="103"/>
      <c r="O75" s="103"/>
      <c r="P75" s="103"/>
      <c r="Q75" s="103"/>
      <c r="R75" s="71"/>
    </row>
    <row r="76" spans="1:18" ht="13" x14ac:dyDescent="0.25">
      <c r="A76" s="101"/>
      <c r="B76" s="101"/>
      <c r="C76" s="101"/>
      <c r="D76" s="101" t="s">
        <v>118</v>
      </c>
      <c r="E76" s="102"/>
      <c r="F76" s="103">
        <f t="shared" ref="F76:Q76" si="4">SUM(F12,F21,F23,F26,F29)</f>
        <v>0</v>
      </c>
      <c r="G76" s="103">
        <f t="shared" si="4"/>
        <v>0</v>
      </c>
      <c r="H76" s="103">
        <f t="shared" si="4"/>
        <v>0</v>
      </c>
      <c r="I76" s="103">
        <f t="shared" si="4"/>
        <v>0</v>
      </c>
      <c r="J76" s="103">
        <f t="shared" si="4"/>
        <v>0</v>
      </c>
      <c r="K76" s="103">
        <f t="shared" si="4"/>
        <v>0</v>
      </c>
      <c r="L76" s="103">
        <f t="shared" si="4"/>
        <v>0</v>
      </c>
      <c r="M76" s="103">
        <f t="shared" si="4"/>
        <v>0</v>
      </c>
      <c r="N76" s="103">
        <f t="shared" si="4"/>
        <v>0</v>
      </c>
      <c r="O76" s="103">
        <f t="shared" si="4"/>
        <v>0</v>
      </c>
      <c r="P76" s="103">
        <f t="shared" si="4"/>
        <v>0</v>
      </c>
      <c r="Q76" s="466">
        <f t="shared" si="4"/>
        <v>0</v>
      </c>
      <c r="R76" s="71"/>
    </row>
    <row r="77" spans="1:18" ht="13" x14ac:dyDescent="0.25">
      <c r="A77" s="101"/>
      <c r="B77" s="101"/>
      <c r="C77" s="101"/>
      <c r="D77" s="101" t="s">
        <v>119</v>
      </c>
      <c r="E77" s="102"/>
      <c r="F77" s="103">
        <f t="shared" ref="F77:Q77" si="5">SUM(F44,F61,F63,F66,F68)</f>
        <v>0</v>
      </c>
      <c r="G77" s="103">
        <f t="shared" si="5"/>
        <v>0</v>
      </c>
      <c r="H77" s="103">
        <f t="shared" si="5"/>
        <v>0</v>
      </c>
      <c r="I77" s="103">
        <f>SUM(I44,I61,I63,I66,I68)</f>
        <v>0</v>
      </c>
      <c r="J77" s="103">
        <f>SUM(J44,J61,J63,J66,J68)</f>
        <v>0</v>
      </c>
      <c r="K77" s="103">
        <f t="shared" si="5"/>
        <v>0</v>
      </c>
      <c r="L77" s="103">
        <f t="shared" si="5"/>
        <v>0</v>
      </c>
      <c r="M77" s="103">
        <f t="shared" si="5"/>
        <v>0</v>
      </c>
      <c r="N77" s="103">
        <f>SUM(N44,N61,N63,N66,N68)</f>
        <v>0</v>
      </c>
      <c r="O77" s="103">
        <f>SUM(O44,O61,O63,O66,O68)</f>
        <v>0</v>
      </c>
      <c r="P77" s="103">
        <f t="shared" si="5"/>
        <v>0</v>
      </c>
      <c r="Q77" s="466">
        <f t="shared" si="5"/>
        <v>0</v>
      </c>
      <c r="R77" s="71"/>
    </row>
    <row r="78" spans="1:18" ht="13" x14ac:dyDescent="0.25">
      <c r="A78" s="101"/>
      <c r="B78" s="101"/>
      <c r="C78" s="101"/>
      <c r="D78" s="101" t="s">
        <v>120</v>
      </c>
      <c r="E78" s="102"/>
      <c r="F78" s="103">
        <f t="shared" ref="F78:Q78" si="6">F76-F77</f>
        <v>0</v>
      </c>
      <c r="G78" s="103">
        <f t="shared" si="6"/>
        <v>0</v>
      </c>
      <c r="H78" s="103">
        <f t="shared" si="6"/>
        <v>0</v>
      </c>
      <c r="I78" s="103">
        <f>I76-I77</f>
        <v>0</v>
      </c>
      <c r="J78" s="103">
        <f>J76-J77</f>
        <v>0</v>
      </c>
      <c r="K78" s="103">
        <f t="shared" si="6"/>
        <v>0</v>
      </c>
      <c r="L78" s="103">
        <f t="shared" si="6"/>
        <v>0</v>
      </c>
      <c r="M78" s="103">
        <f t="shared" si="6"/>
        <v>0</v>
      </c>
      <c r="N78" s="103">
        <f>N76-N77</f>
        <v>0</v>
      </c>
      <c r="O78" s="103">
        <f>O76-O77</f>
        <v>0</v>
      </c>
      <c r="P78" s="103">
        <f t="shared" si="6"/>
        <v>0</v>
      </c>
      <c r="Q78" s="466">
        <f t="shared" si="6"/>
        <v>0</v>
      </c>
      <c r="R78" s="71"/>
    </row>
    <row r="79" spans="1:18" x14ac:dyDescent="0.25">
      <c r="A79" s="101"/>
      <c r="B79" s="101"/>
      <c r="C79" s="101"/>
      <c r="D79" s="101"/>
      <c r="E79" s="102"/>
      <c r="F79" s="101"/>
      <c r="G79" s="101"/>
      <c r="H79" s="101"/>
      <c r="I79" s="101"/>
      <c r="J79" s="101"/>
      <c r="K79" s="101"/>
      <c r="L79" s="101"/>
      <c r="M79" s="101"/>
      <c r="N79" s="101"/>
      <c r="O79" s="101"/>
      <c r="P79" s="101"/>
      <c r="Q79" s="101"/>
      <c r="R79" s="101"/>
    </row>
    <row r="80" spans="1:18" ht="13" x14ac:dyDescent="0.25">
      <c r="A80" s="101"/>
      <c r="B80" s="101"/>
      <c r="C80" s="101"/>
      <c r="D80" s="104"/>
      <c r="E80" s="102"/>
      <c r="F80" s="101"/>
      <c r="G80" s="101"/>
      <c r="H80" s="101"/>
      <c r="I80" s="101"/>
      <c r="J80" s="101"/>
      <c r="K80" s="101"/>
      <c r="L80" s="101"/>
      <c r="M80" s="101"/>
      <c r="N80" s="101"/>
      <c r="O80" s="101"/>
      <c r="P80" s="101"/>
      <c r="Q80" s="101"/>
      <c r="R80" s="101"/>
    </row>
    <row r="81" spans="1:18" x14ac:dyDescent="0.25">
      <c r="A81" s="101"/>
      <c r="B81" s="101"/>
      <c r="C81" s="101"/>
      <c r="D81" s="101"/>
      <c r="E81" s="102"/>
      <c r="F81" s="101"/>
      <c r="G81" s="101"/>
      <c r="H81" s="101"/>
      <c r="I81" s="101"/>
      <c r="J81" s="101"/>
      <c r="K81" s="101"/>
      <c r="L81" s="101"/>
      <c r="M81" s="101"/>
      <c r="N81" s="101"/>
      <c r="O81" s="101"/>
      <c r="P81" s="101"/>
      <c r="Q81" s="101"/>
      <c r="R81" s="101"/>
    </row>
    <row r="82" spans="1:18" x14ac:dyDescent="0.25">
      <c r="A82" s="101"/>
      <c r="B82" s="101"/>
      <c r="C82" s="101"/>
      <c r="D82" s="101"/>
      <c r="E82" s="102"/>
      <c r="F82" s="101"/>
      <c r="G82" s="101"/>
      <c r="H82" s="101"/>
      <c r="I82" s="101"/>
      <c r="J82" s="101"/>
      <c r="K82" s="101"/>
      <c r="L82" s="101"/>
      <c r="M82" s="101"/>
      <c r="N82" s="101"/>
      <c r="O82" s="101"/>
      <c r="P82" s="101"/>
      <c r="Q82" s="101"/>
      <c r="R82" s="101"/>
    </row>
    <row r="83" spans="1:18" x14ac:dyDescent="0.25">
      <c r="A83" s="101"/>
      <c r="B83" s="101"/>
      <c r="C83" s="101"/>
      <c r="D83" s="101"/>
      <c r="E83" s="102"/>
      <c r="F83" s="101"/>
      <c r="G83" s="101"/>
      <c r="H83" s="101"/>
      <c r="I83" s="101"/>
      <c r="J83" s="101"/>
      <c r="K83" s="101"/>
      <c r="L83" s="101"/>
      <c r="M83" s="101"/>
      <c r="N83" s="101"/>
      <c r="O83" s="101"/>
      <c r="P83" s="101"/>
      <c r="Q83" s="101"/>
      <c r="R83" s="101"/>
    </row>
    <row r="84" spans="1:18" x14ac:dyDescent="0.25">
      <c r="A84" s="101"/>
      <c r="B84" s="101"/>
      <c r="C84" s="101"/>
      <c r="D84" s="101"/>
      <c r="E84" s="102"/>
      <c r="F84" s="101"/>
      <c r="G84" s="101"/>
      <c r="H84" s="101"/>
      <c r="I84" s="101"/>
      <c r="J84" s="101"/>
      <c r="K84" s="101"/>
      <c r="L84" s="101"/>
      <c r="M84" s="101"/>
      <c r="N84" s="101"/>
      <c r="O84" s="101"/>
      <c r="P84" s="101"/>
      <c r="Q84" s="101"/>
      <c r="R84" s="101"/>
    </row>
    <row r="85" spans="1:18" x14ac:dyDescent="0.25">
      <c r="A85" s="101"/>
      <c r="B85" s="101"/>
      <c r="C85" s="101"/>
      <c r="D85" s="101"/>
      <c r="E85" s="102"/>
      <c r="F85" s="101"/>
      <c r="G85" s="101"/>
      <c r="H85" s="101"/>
      <c r="I85" s="101"/>
      <c r="J85" s="101"/>
      <c r="K85" s="101"/>
      <c r="L85" s="101"/>
      <c r="M85" s="101"/>
      <c r="N85" s="101"/>
      <c r="O85" s="101"/>
      <c r="P85" s="101"/>
      <c r="Q85" s="101"/>
      <c r="R85" s="101"/>
    </row>
    <row r="86" spans="1:18" x14ac:dyDescent="0.25">
      <c r="A86" s="101"/>
      <c r="B86" s="101"/>
      <c r="C86" s="101"/>
      <c r="D86" s="101"/>
      <c r="E86" s="102"/>
      <c r="F86" s="101"/>
      <c r="G86" s="101"/>
      <c r="H86" s="101"/>
      <c r="I86" s="101"/>
      <c r="J86" s="101"/>
      <c r="K86" s="101"/>
      <c r="L86" s="101"/>
      <c r="M86" s="101"/>
      <c r="N86" s="101"/>
      <c r="O86" s="101"/>
      <c r="P86" s="101"/>
      <c r="Q86" s="101"/>
      <c r="R86" s="101"/>
    </row>
    <row r="87" spans="1:18" x14ac:dyDescent="0.25">
      <c r="A87" s="101"/>
      <c r="B87" s="101"/>
      <c r="C87" s="101"/>
      <c r="D87" s="101"/>
      <c r="E87" s="102"/>
      <c r="F87" s="101"/>
      <c r="G87" s="101"/>
      <c r="H87" s="101"/>
      <c r="I87" s="101"/>
      <c r="J87" s="101"/>
      <c r="K87" s="101"/>
      <c r="L87" s="101"/>
      <c r="M87" s="101"/>
      <c r="N87" s="101"/>
      <c r="O87" s="101"/>
      <c r="P87" s="101"/>
      <c r="Q87" s="101"/>
      <c r="R87" s="101"/>
    </row>
    <row r="88" spans="1:18" x14ac:dyDescent="0.25">
      <c r="A88" s="101"/>
      <c r="B88" s="101"/>
      <c r="C88" s="101"/>
      <c r="D88" s="101"/>
      <c r="E88" s="102"/>
      <c r="F88" s="101"/>
      <c r="G88" s="101"/>
      <c r="H88" s="101"/>
      <c r="I88" s="101"/>
      <c r="J88" s="101"/>
      <c r="K88" s="101"/>
      <c r="L88" s="101"/>
      <c r="M88" s="101"/>
      <c r="N88" s="101"/>
      <c r="O88" s="101"/>
      <c r="P88" s="101"/>
      <c r="Q88" s="101"/>
      <c r="R88" s="101"/>
    </row>
    <row r="89" spans="1:18" x14ac:dyDescent="0.25">
      <c r="A89" s="101"/>
      <c r="B89" s="101"/>
      <c r="C89" s="101"/>
      <c r="D89" s="101"/>
      <c r="E89" s="102"/>
      <c r="F89" s="101"/>
      <c r="G89" s="101"/>
      <c r="H89" s="101"/>
      <c r="I89" s="101"/>
      <c r="J89" s="101"/>
      <c r="K89" s="101"/>
      <c r="L89" s="101"/>
      <c r="M89" s="101"/>
      <c r="N89" s="101"/>
      <c r="O89" s="101"/>
      <c r="P89" s="101"/>
      <c r="Q89" s="101"/>
      <c r="R89" s="101"/>
    </row>
    <row r="90" spans="1:18" x14ac:dyDescent="0.25">
      <c r="A90" s="101"/>
      <c r="B90" s="101"/>
      <c r="C90" s="101"/>
      <c r="D90" s="101"/>
      <c r="E90" s="102"/>
      <c r="F90" s="101"/>
      <c r="G90" s="101"/>
      <c r="H90" s="101"/>
      <c r="I90" s="101"/>
      <c r="J90" s="101"/>
      <c r="K90" s="101"/>
      <c r="L90" s="101"/>
      <c r="M90" s="101"/>
      <c r="N90" s="101"/>
      <c r="O90" s="101"/>
      <c r="P90" s="101"/>
      <c r="Q90" s="101"/>
      <c r="R90" s="101"/>
    </row>
    <row r="91" spans="1:18" x14ac:dyDescent="0.25">
      <c r="A91" s="101"/>
      <c r="B91" s="101"/>
      <c r="C91" s="101"/>
      <c r="D91" s="101"/>
      <c r="E91" s="102"/>
      <c r="F91" s="101"/>
      <c r="G91" s="101"/>
      <c r="H91" s="101"/>
      <c r="I91" s="101"/>
      <c r="J91" s="101"/>
      <c r="K91" s="101"/>
      <c r="L91" s="101"/>
      <c r="M91" s="101"/>
      <c r="N91" s="101"/>
      <c r="O91" s="101"/>
      <c r="P91" s="101"/>
      <c r="Q91" s="101"/>
      <c r="R91" s="101"/>
    </row>
    <row r="92" spans="1:18" x14ac:dyDescent="0.25">
      <c r="A92" s="101"/>
      <c r="B92" s="101"/>
      <c r="C92" s="101"/>
      <c r="D92" s="101"/>
      <c r="E92" s="102"/>
      <c r="F92" s="101"/>
      <c r="G92" s="101"/>
      <c r="H92" s="101"/>
      <c r="I92" s="101"/>
      <c r="J92" s="101"/>
      <c r="K92" s="101"/>
      <c r="L92" s="101"/>
      <c r="M92" s="101"/>
      <c r="N92" s="101"/>
      <c r="O92" s="101"/>
      <c r="P92" s="101"/>
      <c r="Q92" s="101"/>
      <c r="R92" s="101"/>
    </row>
    <row r="93" spans="1:18" x14ac:dyDescent="0.25">
      <c r="A93" s="101"/>
      <c r="B93" s="101"/>
      <c r="C93" s="101"/>
      <c r="D93" s="101"/>
      <c r="E93" s="102"/>
      <c r="F93" s="101"/>
      <c r="G93" s="101"/>
      <c r="H93" s="101"/>
      <c r="I93" s="101"/>
      <c r="J93" s="101"/>
      <c r="K93" s="101"/>
      <c r="L93" s="101"/>
      <c r="M93" s="101"/>
      <c r="N93" s="101"/>
      <c r="O93" s="101"/>
      <c r="P93" s="101"/>
      <c r="Q93" s="101"/>
      <c r="R93" s="101"/>
    </row>
    <row r="94" spans="1:18" x14ac:dyDescent="0.25">
      <c r="A94" s="101"/>
      <c r="B94" s="101"/>
      <c r="C94" s="101"/>
      <c r="D94" s="101"/>
      <c r="E94" s="102"/>
      <c r="F94" s="101"/>
      <c r="G94" s="101"/>
      <c r="H94" s="101"/>
      <c r="I94" s="101"/>
      <c r="J94" s="101"/>
      <c r="K94" s="101"/>
      <c r="L94" s="101"/>
      <c r="M94" s="101"/>
      <c r="N94" s="101"/>
      <c r="O94" s="101"/>
      <c r="P94" s="101"/>
      <c r="Q94" s="101"/>
      <c r="R94" s="101"/>
    </row>
    <row r="95" spans="1:18" x14ac:dyDescent="0.25">
      <c r="A95" s="101"/>
      <c r="B95" s="101"/>
      <c r="C95" s="101"/>
      <c r="D95" s="101"/>
      <c r="E95" s="102"/>
      <c r="F95" s="101"/>
      <c r="G95" s="101"/>
      <c r="H95" s="101"/>
      <c r="I95" s="101"/>
      <c r="J95" s="101"/>
      <c r="K95" s="101"/>
      <c r="L95" s="101"/>
      <c r="M95" s="101"/>
      <c r="N95" s="101"/>
      <c r="O95" s="101"/>
      <c r="P95" s="101"/>
      <c r="Q95" s="101"/>
      <c r="R95" s="101"/>
    </row>
    <row r="96" spans="1:18" x14ac:dyDescent="0.25">
      <c r="A96" s="101"/>
      <c r="B96" s="101"/>
      <c r="C96" s="101"/>
      <c r="D96" s="101"/>
      <c r="E96" s="102"/>
      <c r="F96" s="101"/>
      <c r="G96" s="101"/>
      <c r="H96" s="101"/>
      <c r="I96" s="101"/>
      <c r="J96" s="101"/>
      <c r="K96" s="101"/>
      <c r="L96" s="101"/>
      <c r="M96" s="101"/>
      <c r="N96" s="101"/>
      <c r="O96" s="101"/>
      <c r="P96" s="101"/>
      <c r="Q96" s="101"/>
      <c r="R96" s="101"/>
    </row>
    <row r="97" spans="1:18" x14ac:dyDescent="0.25">
      <c r="A97" s="101"/>
      <c r="B97" s="101"/>
      <c r="C97" s="101"/>
      <c r="D97" s="101"/>
      <c r="E97" s="102"/>
      <c r="F97" s="101"/>
      <c r="G97" s="101"/>
      <c r="H97" s="101"/>
      <c r="I97" s="101"/>
      <c r="J97" s="101"/>
      <c r="K97" s="101"/>
      <c r="L97" s="101"/>
      <c r="M97" s="101"/>
      <c r="N97" s="101"/>
      <c r="O97" s="101"/>
      <c r="P97" s="101"/>
      <c r="Q97" s="101"/>
      <c r="R97" s="101"/>
    </row>
    <row r="98" spans="1:18" x14ac:dyDescent="0.25">
      <c r="A98" s="101"/>
      <c r="B98" s="101"/>
      <c r="C98" s="101"/>
      <c r="D98" s="101"/>
      <c r="E98" s="102"/>
      <c r="F98" s="101"/>
      <c r="G98" s="101"/>
      <c r="H98" s="101"/>
      <c r="I98" s="101"/>
      <c r="J98" s="101"/>
      <c r="K98" s="101"/>
      <c r="L98" s="101"/>
      <c r="M98" s="101"/>
      <c r="N98" s="101"/>
      <c r="O98" s="101"/>
      <c r="P98" s="101"/>
      <c r="Q98" s="101"/>
      <c r="R98" s="101"/>
    </row>
    <row r="99" spans="1:18" x14ac:dyDescent="0.25">
      <c r="A99" s="101"/>
      <c r="B99" s="101"/>
      <c r="C99" s="101"/>
      <c r="D99" s="101"/>
      <c r="E99" s="102"/>
      <c r="F99" s="101"/>
      <c r="G99" s="101"/>
      <c r="H99" s="101"/>
      <c r="I99" s="101"/>
      <c r="J99" s="101"/>
      <c r="K99" s="101"/>
      <c r="L99" s="101"/>
      <c r="M99" s="101"/>
      <c r="N99" s="101"/>
      <c r="O99" s="101"/>
      <c r="P99" s="101"/>
      <c r="Q99" s="101"/>
      <c r="R99" s="101"/>
    </row>
    <row r="100" spans="1:18" x14ac:dyDescent="0.25">
      <c r="A100" s="101"/>
      <c r="B100" s="101"/>
      <c r="C100" s="101"/>
      <c r="D100" s="101"/>
      <c r="E100" s="102"/>
      <c r="F100" s="101"/>
      <c r="G100" s="101"/>
      <c r="H100" s="101"/>
      <c r="I100" s="101"/>
      <c r="J100" s="101"/>
      <c r="K100" s="101"/>
      <c r="L100" s="101"/>
      <c r="M100" s="101"/>
      <c r="N100" s="101"/>
      <c r="O100" s="101"/>
      <c r="P100" s="101"/>
      <c r="Q100" s="101"/>
      <c r="R100" s="101"/>
    </row>
    <row r="101" spans="1:18" x14ac:dyDescent="0.25">
      <c r="A101" s="101"/>
      <c r="B101" s="101"/>
      <c r="C101" s="101"/>
      <c r="D101" s="101"/>
      <c r="E101" s="102"/>
      <c r="F101" s="101"/>
      <c r="G101" s="101"/>
      <c r="H101" s="101"/>
      <c r="I101" s="101"/>
      <c r="J101" s="101"/>
      <c r="K101" s="101"/>
      <c r="L101" s="101"/>
      <c r="M101" s="101"/>
      <c r="N101" s="101"/>
      <c r="O101" s="101"/>
      <c r="P101" s="101"/>
      <c r="Q101" s="101"/>
      <c r="R101" s="101"/>
    </row>
    <row r="102" spans="1:18" x14ac:dyDescent="0.25">
      <c r="A102" s="101"/>
      <c r="B102" s="101"/>
      <c r="C102" s="101"/>
      <c r="D102" s="101"/>
      <c r="E102" s="102"/>
      <c r="F102" s="101"/>
      <c r="G102" s="101"/>
      <c r="H102" s="101"/>
      <c r="I102" s="101"/>
      <c r="J102" s="101"/>
      <c r="K102" s="101"/>
      <c r="L102" s="101"/>
      <c r="M102" s="101"/>
      <c r="N102" s="101"/>
      <c r="O102" s="101"/>
      <c r="P102" s="101"/>
      <c r="Q102" s="101"/>
      <c r="R102" s="101"/>
    </row>
    <row r="103" spans="1:18" x14ac:dyDescent="0.25">
      <c r="A103" s="101"/>
      <c r="B103" s="101"/>
      <c r="C103" s="101"/>
      <c r="D103" s="101"/>
      <c r="E103" s="102"/>
      <c r="F103" s="101"/>
      <c r="G103" s="101"/>
      <c r="H103" s="101"/>
      <c r="I103" s="101"/>
      <c r="J103" s="101"/>
      <c r="K103" s="101"/>
      <c r="L103" s="101"/>
      <c r="M103" s="101"/>
      <c r="N103" s="101"/>
      <c r="O103" s="101"/>
      <c r="P103" s="101"/>
      <c r="Q103" s="101"/>
      <c r="R103" s="101"/>
    </row>
    <row r="104" spans="1:18" x14ac:dyDescent="0.25">
      <c r="A104" s="101"/>
      <c r="B104" s="101"/>
      <c r="C104" s="101"/>
      <c r="D104" s="101"/>
      <c r="E104" s="102"/>
      <c r="F104" s="101"/>
      <c r="G104" s="101"/>
      <c r="H104" s="101"/>
      <c r="I104" s="101"/>
      <c r="J104" s="101"/>
      <c r="K104" s="101"/>
      <c r="L104" s="101"/>
      <c r="M104" s="101"/>
      <c r="N104" s="101"/>
      <c r="O104" s="101"/>
      <c r="P104" s="101"/>
      <c r="Q104" s="101"/>
      <c r="R104" s="101"/>
    </row>
    <row r="105" spans="1:18" x14ac:dyDescent="0.25">
      <c r="A105" s="101"/>
      <c r="B105" s="101"/>
      <c r="C105" s="101"/>
      <c r="D105" s="101"/>
      <c r="E105" s="102"/>
      <c r="F105" s="101"/>
      <c r="G105" s="101"/>
      <c r="H105" s="101"/>
      <c r="I105" s="101"/>
      <c r="J105" s="101"/>
      <c r="K105" s="101"/>
      <c r="L105" s="101"/>
      <c r="M105" s="101"/>
      <c r="N105" s="101"/>
      <c r="O105" s="101"/>
      <c r="P105" s="101"/>
      <c r="Q105" s="101"/>
      <c r="R105" s="101"/>
    </row>
    <row r="106" spans="1:18" x14ac:dyDescent="0.25">
      <c r="A106" s="101"/>
      <c r="B106" s="101"/>
      <c r="C106" s="101"/>
      <c r="D106" s="101"/>
      <c r="E106" s="102"/>
      <c r="F106" s="101"/>
      <c r="G106" s="101"/>
      <c r="H106" s="101"/>
      <c r="I106" s="101"/>
      <c r="J106" s="101"/>
      <c r="K106" s="101"/>
      <c r="L106" s="101"/>
      <c r="M106" s="101"/>
      <c r="N106" s="101"/>
      <c r="O106" s="101"/>
      <c r="P106" s="101"/>
      <c r="Q106" s="101"/>
      <c r="R106" s="101"/>
    </row>
    <row r="107" spans="1:18" x14ac:dyDescent="0.25">
      <c r="A107" s="101"/>
      <c r="B107" s="101"/>
      <c r="C107" s="101"/>
      <c r="D107" s="101"/>
      <c r="E107" s="102"/>
      <c r="F107" s="101"/>
      <c r="G107" s="101"/>
      <c r="H107" s="101"/>
      <c r="I107" s="101"/>
      <c r="J107" s="101"/>
      <c r="K107" s="101"/>
      <c r="L107" s="101"/>
      <c r="M107" s="101"/>
      <c r="N107" s="101"/>
      <c r="O107" s="101"/>
      <c r="P107" s="101"/>
      <c r="Q107" s="101"/>
      <c r="R107" s="101"/>
    </row>
    <row r="108" spans="1:18" x14ac:dyDescent="0.25">
      <c r="A108" s="101"/>
      <c r="B108" s="101"/>
      <c r="C108" s="101"/>
      <c r="D108" s="101"/>
      <c r="E108" s="102"/>
      <c r="F108" s="101"/>
      <c r="G108" s="101"/>
      <c r="H108" s="101"/>
      <c r="I108" s="101"/>
      <c r="J108" s="101"/>
      <c r="K108" s="101"/>
      <c r="L108" s="101"/>
      <c r="M108" s="101"/>
      <c r="N108" s="101"/>
      <c r="O108" s="101"/>
      <c r="P108" s="101"/>
      <c r="Q108" s="101"/>
      <c r="R108" s="101"/>
    </row>
    <row r="109" spans="1:18" x14ac:dyDescent="0.25">
      <c r="A109" s="101"/>
      <c r="B109" s="101"/>
      <c r="C109" s="101"/>
      <c r="D109" s="101"/>
      <c r="E109" s="102"/>
      <c r="F109" s="101"/>
      <c r="G109" s="101"/>
      <c r="H109" s="101"/>
      <c r="I109" s="101"/>
      <c r="J109" s="101"/>
      <c r="K109" s="101"/>
      <c r="L109" s="101"/>
      <c r="M109" s="101"/>
      <c r="N109" s="101"/>
      <c r="O109" s="101"/>
      <c r="P109" s="101"/>
      <c r="Q109" s="101"/>
      <c r="R109" s="101"/>
    </row>
    <row r="110" spans="1:18" x14ac:dyDescent="0.25">
      <c r="A110" s="101"/>
      <c r="B110" s="101"/>
      <c r="C110" s="101"/>
      <c r="D110" s="101"/>
      <c r="E110" s="102"/>
      <c r="F110" s="101"/>
      <c r="G110" s="101"/>
      <c r="H110" s="101"/>
      <c r="I110" s="101"/>
      <c r="J110" s="101"/>
      <c r="K110" s="101"/>
      <c r="L110" s="101"/>
      <c r="M110" s="101"/>
      <c r="N110" s="101"/>
      <c r="O110" s="101"/>
      <c r="P110" s="101"/>
      <c r="Q110" s="101"/>
      <c r="R110" s="101"/>
    </row>
    <row r="111" spans="1:18" x14ac:dyDescent="0.25">
      <c r="A111" s="101"/>
      <c r="B111" s="101"/>
      <c r="C111" s="101"/>
      <c r="D111" s="101"/>
      <c r="E111" s="102"/>
      <c r="F111" s="101"/>
      <c r="G111" s="101"/>
      <c r="H111" s="101"/>
      <c r="I111" s="101"/>
      <c r="J111" s="101"/>
      <c r="K111" s="101"/>
      <c r="L111" s="101"/>
      <c r="M111" s="101"/>
      <c r="N111" s="101"/>
      <c r="O111" s="101"/>
      <c r="P111" s="101"/>
      <c r="Q111" s="101"/>
      <c r="R111" s="101"/>
    </row>
    <row r="112" spans="1:18" x14ac:dyDescent="0.25">
      <c r="A112" s="101"/>
      <c r="B112" s="101"/>
      <c r="C112" s="101"/>
      <c r="D112" s="101"/>
      <c r="E112" s="102"/>
      <c r="F112" s="101"/>
      <c r="G112" s="101"/>
      <c r="H112" s="101"/>
      <c r="I112" s="101"/>
      <c r="J112" s="101"/>
      <c r="K112" s="101"/>
      <c r="L112" s="101"/>
      <c r="M112" s="101"/>
      <c r="N112" s="101"/>
      <c r="O112" s="101"/>
      <c r="P112" s="101"/>
      <c r="Q112" s="101"/>
      <c r="R112" s="101"/>
    </row>
    <row r="113" spans="1:18" x14ac:dyDescent="0.25">
      <c r="A113" s="101"/>
      <c r="B113" s="101"/>
      <c r="C113" s="101"/>
      <c r="D113" s="101"/>
      <c r="E113" s="102"/>
      <c r="F113" s="101"/>
      <c r="G113" s="101"/>
      <c r="H113" s="101"/>
      <c r="I113" s="101"/>
      <c r="J113" s="101"/>
      <c r="K113" s="101"/>
      <c r="L113" s="101"/>
      <c r="M113" s="101"/>
      <c r="N113" s="101"/>
      <c r="O113" s="101"/>
      <c r="P113" s="101"/>
      <c r="Q113" s="101"/>
      <c r="R113" s="101"/>
    </row>
    <row r="114" spans="1:18" x14ac:dyDescent="0.25">
      <c r="A114" s="101"/>
      <c r="B114" s="101"/>
      <c r="C114" s="101"/>
      <c r="D114" s="101"/>
      <c r="E114" s="102"/>
      <c r="F114" s="101"/>
      <c r="G114" s="101"/>
      <c r="H114" s="101"/>
      <c r="I114" s="101"/>
      <c r="J114" s="101"/>
      <c r="K114" s="101"/>
      <c r="L114" s="101"/>
      <c r="M114" s="101"/>
      <c r="N114" s="101"/>
      <c r="O114" s="101"/>
      <c r="P114" s="101"/>
      <c r="Q114" s="101"/>
      <c r="R114" s="101"/>
    </row>
    <row r="115" spans="1:18" x14ac:dyDescent="0.25">
      <c r="A115" s="101"/>
      <c r="B115" s="101"/>
      <c r="C115" s="101"/>
      <c r="D115" s="101"/>
      <c r="E115" s="102"/>
      <c r="F115" s="101"/>
      <c r="G115" s="101"/>
      <c r="H115" s="101"/>
      <c r="I115" s="101"/>
      <c r="J115" s="101"/>
      <c r="K115" s="101"/>
      <c r="L115" s="101"/>
      <c r="M115" s="101"/>
      <c r="N115" s="101"/>
      <c r="O115" s="101"/>
      <c r="P115" s="101"/>
      <c r="Q115" s="101"/>
      <c r="R115" s="101"/>
    </row>
    <row r="116" spans="1:18" x14ac:dyDescent="0.25">
      <c r="A116" s="101"/>
      <c r="B116" s="101"/>
      <c r="C116" s="101"/>
      <c r="D116" s="101"/>
      <c r="E116" s="102"/>
      <c r="F116" s="101"/>
      <c r="G116" s="101"/>
      <c r="H116" s="101"/>
      <c r="I116" s="101"/>
      <c r="J116" s="101"/>
      <c r="K116" s="101"/>
      <c r="L116" s="101"/>
      <c r="M116" s="101"/>
      <c r="N116" s="101"/>
      <c r="O116" s="101"/>
      <c r="P116" s="101"/>
      <c r="Q116" s="101"/>
      <c r="R116" s="101"/>
    </row>
    <row r="117" spans="1:18" x14ac:dyDescent="0.25">
      <c r="A117" s="101"/>
      <c r="B117" s="101"/>
      <c r="C117" s="101"/>
      <c r="D117" s="101"/>
      <c r="E117" s="102"/>
      <c r="F117" s="101"/>
      <c r="G117" s="101"/>
      <c r="H117" s="101"/>
      <c r="I117" s="101"/>
      <c r="J117" s="101"/>
      <c r="K117" s="101"/>
      <c r="L117" s="101"/>
      <c r="M117" s="101"/>
      <c r="N117" s="101"/>
      <c r="O117" s="101"/>
      <c r="P117" s="101"/>
      <c r="Q117" s="101"/>
      <c r="R117" s="101"/>
    </row>
    <row r="118" spans="1:18" x14ac:dyDescent="0.25">
      <c r="A118" s="101"/>
      <c r="B118" s="101"/>
      <c r="C118" s="101"/>
      <c r="D118" s="101"/>
      <c r="E118" s="102"/>
      <c r="F118" s="101"/>
      <c r="G118" s="101"/>
      <c r="H118" s="101"/>
      <c r="I118" s="101"/>
      <c r="J118" s="101"/>
      <c r="K118" s="101"/>
      <c r="L118" s="101"/>
      <c r="M118" s="101"/>
      <c r="N118" s="101"/>
      <c r="O118" s="101"/>
      <c r="P118" s="101"/>
      <c r="Q118" s="101"/>
      <c r="R118" s="101"/>
    </row>
    <row r="119" spans="1:18" x14ac:dyDescent="0.25">
      <c r="A119" s="101"/>
      <c r="B119" s="101"/>
      <c r="C119" s="101"/>
      <c r="D119" s="101"/>
      <c r="E119" s="102"/>
      <c r="F119" s="101"/>
      <c r="G119" s="101"/>
      <c r="H119" s="101"/>
      <c r="I119" s="101"/>
      <c r="J119" s="101"/>
      <c r="K119" s="101"/>
      <c r="L119" s="101"/>
      <c r="M119" s="101"/>
      <c r="N119" s="101"/>
      <c r="O119" s="101"/>
      <c r="P119" s="101"/>
      <c r="Q119" s="101"/>
      <c r="R119" s="101"/>
    </row>
    <row r="120" spans="1:18" x14ac:dyDescent="0.25">
      <c r="A120" s="101"/>
      <c r="B120" s="101"/>
      <c r="C120" s="101"/>
      <c r="D120" s="101"/>
      <c r="E120" s="102"/>
      <c r="F120" s="101"/>
      <c r="G120" s="101"/>
      <c r="H120" s="101"/>
      <c r="I120" s="101"/>
      <c r="J120" s="101"/>
      <c r="K120" s="101"/>
      <c r="L120" s="101"/>
      <c r="M120" s="101"/>
      <c r="N120" s="101"/>
      <c r="O120" s="101"/>
      <c r="P120" s="101"/>
      <c r="Q120" s="101"/>
      <c r="R120" s="101"/>
    </row>
    <row r="121" spans="1:18" x14ac:dyDescent="0.25">
      <c r="A121" s="98"/>
      <c r="B121" s="98"/>
      <c r="C121" s="98"/>
      <c r="D121" s="98"/>
      <c r="E121" s="105"/>
      <c r="F121" s="98"/>
      <c r="G121" s="98"/>
      <c r="H121" s="98"/>
      <c r="I121" s="98"/>
      <c r="J121" s="98"/>
      <c r="K121" s="98"/>
      <c r="L121" s="98"/>
      <c r="M121" s="98"/>
      <c r="N121" s="98"/>
      <c r="O121" s="98"/>
      <c r="P121" s="98"/>
      <c r="Q121" s="98"/>
      <c r="R121" s="98"/>
    </row>
    <row r="122" spans="1:18" x14ac:dyDescent="0.25">
      <c r="A122" s="98"/>
      <c r="B122" s="98"/>
      <c r="C122" s="98"/>
      <c r="D122" s="98"/>
      <c r="E122" s="105"/>
      <c r="F122" s="98"/>
      <c r="G122" s="98"/>
      <c r="H122" s="98"/>
      <c r="I122" s="98"/>
      <c r="J122" s="98"/>
      <c r="K122" s="98"/>
      <c r="L122" s="98"/>
      <c r="M122" s="98"/>
      <c r="N122" s="98"/>
      <c r="O122" s="98"/>
      <c r="P122" s="98"/>
      <c r="Q122" s="98"/>
      <c r="R122" s="98"/>
    </row>
    <row r="123" spans="1:18" x14ac:dyDescent="0.25">
      <c r="A123" s="98"/>
      <c r="B123" s="98"/>
      <c r="C123" s="98"/>
      <c r="D123" s="98"/>
      <c r="E123" s="105"/>
      <c r="F123" s="98"/>
      <c r="G123" s="98"/>
      <c r="H123" s="98"/>
      <c r="I123" s="98"/>
      <c r="J123" s="98"/>
      <c r="K123" s="98"/>
      <c r="L123" s="98"/>
      <c r="M123" s="98"/>
      <c r="N123" s="98"/>
      <c r="O123" s="98"/>
      <c r="P123" s="98"/>
      <c r="Q123" s="98"/>
      <c r="R123" s="98"/>
    </row>
    <row r="124" spans="1:18" x14ac:dyDescent="0.25">
      <c r="A124" s="98"/>
      <c r="B124" s="98"/>
      <c r="C124" s="98"/>
      <c r="D124" s="98"/>
      <c r="E124" s="105"/>
      <c r="F124" s="98"/>
      <c r="G124" s="98"/>
      <c r="H124" s="98"/>
      <c r="I124" s="98"/>
      <c r="J124" s="98"/>
      <c r="K124" s="98"/>
      <c r="L124" s="98"/>
      <c r="M124" s="98"/>
      <c r="N124" s="98"/>
      <c r="O124" s="98"/>
      <c r="P124" s="98"/>
      <c r="Q124" s="98"/>
      <c r="R124" s="98"/>
    </row>
  </sheetData>
  <customSheetViews>
    <customSheetView guid="{C8C7977F-B6BF-432B-A1A7-559450D521AF}" scale="90">
      <selection activeCell="A2" sqref="A2"/>
      <pageMargins left="0.7" right="0.7" top="0.75" bottom="0.75" header="0.3" footer="0.3"/>
    </customSheetView>
  </customSheetViews>
  <mergeCells count="17">
    <mergeCell ref="A38:D39"/>
    <mergeCell ref="E38:E39"/>
    <mergeCell ref="A1:L1"/>
    <mergeCell ref="A6:D7"/>
    <mergeCell ref="E6:E7"/>
    <mergeCell ref="F6:J7"/>
    <mergeCell ref="K6:O7"/>
    <mergeCell ref="F40:I40"/>
    <mergeCell ref="K40:N40"/>
    <mergeCell ref="Q38:Q39"/>
    <mergeCell ref="P6:P7"/>
    <mergeCell ref="Q6:Q7"/>
    <mergeCell ref="F38:J39"/>
    <mergeCell ref="K38:O39"/>
    <mergeCell ref="F8:I8"/>
    <mergeCell ref="K8:N8"/>
    <mergeCell ref="P38:P39"/>
  </mergeCells>
  <conditionalFormatting sqref="F12:Q34 F44:Q73 F76:Q78">
    <cfRule type="expression" dxfId="104" priority="1" stopIfTrue="1">
      <formula>$P$2="ex-ante"</formula>
    </cfRule>
  </conditionalFormatting>
  <pageMargins left="0.70866141732283472" right="0.70866141732283472" top="0.74803149606299213" bottom="0.74803149606299213" header="0.31496062992125984" footer="0.31496062992125984"/>
  <pageSetup paperSize="8" scale="54" orientation="landscape" r:id="rId1"/>
  <colBreaks count="1" manualBreakCount="1">
    <brk id="17" max="12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H902"/>
  <sheetViews>
    <sheetView zoomScale="90" zoomScaleNormal="90" workbookViewId="0">
      <selection activeCell="A29" sqref="A29"/>
    </sheetView>
  </sheetViews>
  <sheetFormatPr defaultColWidth="9.1796875" defaultRowHeight="12.5" x14ac:dyDescent="0.25"/>
  <cols>
    <col min="1" max="1" width="48" style="109" customWidth="1"/>
    <col min="2" max="5" width="18.7265625" style="109" customWidth="1"/>
    <col min="6" max="27" width="9.1796875" style="109"/>
    <col min="28" max="28" width="13.7265625" style="109" customWidth="1"/>
    <col min="29" max="16384" width="9.1796875" style="109"/>
  </cols>
  <sheetData>
    <row r="1" spans="1:8" s="21" customFormat="1" ht="18.5" thickBot="1" x14ac:dyDescent="0.45">
      <c r="A1" s="990" t="s">
        <v>72</v>
      </c>
      <c r="B1" s="991"/>
      <c r="C1" s="991"/>
      <c r="D1" s="991"/>
      <c r="E1" s="992"/>
      <c r="F1" s="106"/>
      <c r="G1" s="106"/>
      <c r="H1" s="106"/>
    </row>
    <row r="2" spans="1:8" s="20" customFormat="1" ht="13" thickBot="1" x14ac:dyDescent="0.3"/>
    <row r="3" spans="1:8" s="20" customFormat="1" ht="13" thickBot="1" x14ac:dyDescent="0.3">
      <c r="A3" s="107" t="s">
        <v>21</v>
      </c>
      <c r="C3" s="107" t="s">
        <v>22</v>
      </c>
      <c r="D3" s="108">
        <f>TITELBLAD!E15</f>
        <v>2017</v>
      </c>
    </row>
    <row r="4" spans="1:8" s="20" customFormat="1" ht="13" thickBot="1" x14ac:dyDescent="0.3">
      <c r="C4" s="107" t="s">
        <v>23</v>
      </c>
      <c r="D4" s="108">
        <f>TITELBLAD!E16</f>
        <v>2020</v>
      </c>
    </row>
    <row r="5" spans="1:8" s="20" customFormat="1" ht="13" thickBot="1" x14ac:dyDescent="0.3"/>
    <row r="6" spans="1:8" s="20" customFormat="1" ht="13" thickBot="1" x14ac:dyDescent="0.3">
      <c r="A6" s="610" t="s">
        <v>198</v>
      </c>
      <c r="D6" s="108">
        <f>TITELBLAD!E18</f>
        <v>2019</v>
      </c>
      <c r="E6" s="108" t="str">
        <f>+TITELBLAD!F18</f>
        <v>ex-ante</v>
      </c>
      <c r="F6" s="21"/>
      <c r="G6" s="21"/>
    </row>
    <row r="7" spans="1:8" s="20" customFormat="1" x14ac:dyDescent="0.25"/>
    <row r="8" spans="1:8" s="20" customFormat="1" ht="13" thickBot="1" x14ac:dyDescent="0.3">
      <c r="A8" s="107" t="s">
        <v>26</v>
      </c>
    </row>
    <row r="9" spans="1:8" s="20" customFormat="1" ht="13.5" thickBot="1" x14ac:dyDescent="0.35">
      <c r="A9" s="995" t="str">
        <f>TITELBLAD!C7</f>
        <v>Naam distributienetbeheerder</v>
      </c>
      <c r="B9" s="996"/>
      <c r="C9" s="996"/>
      <c r="D9" s="997"/>
    </row>
    <row r="10" spans="1:8" s="20" customFormat="1" x14ac:dyDescent="0.25"/>
    <row r="11" spans="1:8" s="20" customFormat="1" ht="13" thickBot="1" x14ac:dyDescent="0.3">
      <c r="A11" s="107" t="s">
        <v>27</v>
      </c>
    </row>
    <row r="12" spans="1:8" s="20" customFormat="1" ht="13.5" thickBot="1" x14ac:dyDescent="0.35">
      <c r="A12" s="998" t="str">
        <f>TITELBLAD!C12</f>
        <v>elektriciteit</v>
      </c>
      <c r="B12" s="999"/>
      <c r="C12" s="999"/>
      <c r="D12" s="1000"/>
    </row>
    <row r="13" spans="1:8" s="20" customFormat="1" x14ac:dyDescent="0.25"/>
    <row r="14" spans="1:8" s="20" customFormat="1" ht="13" x14ac:dyDescent="0.3">
      <c r="A14" s="110" t="s">
        <v>301</v>
      </c>
    </row>
    <row r="15" spans="1:8" s="20" customFormat="1" ht="13" x14ac:dyDescent="0.3">
      <c r="A15" s="110"/>
    </row>
    <row r="16" spans="1:8" s="20" customFormat="1" ht="13" x14ac:dyDescent="0.25">
      <c r="B16" s="111" t="s">
        <v>0</v>
      </c>
      <c r="C16" s="111" t="s">
        <v>1</v>
      </c>
    </row>
    <row r="17" spans="1:6" s="20" customFormat="1" ht="13" x14ac:dyDescent="0.25">
      <c r="A17" s="112" t="s">
        <v>28</v>
      </c>
      <c r="B17" s="113">
        <f>D6</f>
        <v>2019</v>
      </c>
      <c r="C17" s="114">
        <f>D6</f>
        <v>2019</v>
      </c>
    </row>
    <row r="18" spans="1:6" s="20" customFormat="1" ht="27.75" customHeight="1" x14ac:dyDescent="0.25">
      <c r="A18" s="115" t="s">
        <v>135</v>
      </c>
      <c r="B18" s="436">
        <f>+T3B!D142</f>
        <v>0</v>
      </c>
      <c r="C18" s="436">
        <f>+T3B!E142</f>
        <v>0</v>
      </c>
    </row>
    <row r="19" spans="1:6" s="20" customFormat="1" ht="31.5" customHeight="1" x14ac:dyDescent="0.25">
      <c r="A19" s="115" t="s">
        <v>136</v>
      </c>
      <c r="B19" s="436">
        <f>+T3B!D143</f>
        <v>0</v>
      </c>
      <c r="C19" s="436">
        <f>+T3B!E143</f>
        <v>0</v>
      </c>
    </row>
    <row r="20" spans="1:6" s="20" customFormat="1" ht="30.75" customHeight="1" x14ac:dyDescent="0.25">
      <c r="A20" s="115" t="s">
        <v>137</v>
      </c>
      <c r="B20" s="436">
        <f>+T3B!D144</f>
        <v>0</v>
      </c>
      <c r="C20" s="436">
        <f>+T3B!E144</f>
        <v>0</v>
      </c>
    </row>
    <row r="21" spans="1:6" s="20" customFormat="1" ht="26.25" customHeight="1" x14ac:dyDescent="0.25">
      <c r="A21" s="117" t="s">
        <v>139</v>
      </c>
      <c r="B21" s="436">
        <f>+T3B!D145</f>
        <v>0</v>
      </c>
      <c r="C21" s="436">
        <f>+T3B!E145</f>
        <v>0</v>
      </c>
    </row>
    <row r="22" spans="1:6" s="20" customFormat="1" ht="29.25" customHeight="1" x14ac:dyDescent="0.25">
      <c r="A22" s="794" t="s">
        <v>147</v>
      </c>
      <c r="B22" s="436">
        <f>+T3B!D146</f>
        <v>0</v>
      </c>
      <c r="C22" s="436">
        <f>+T3B!E146</f>
        <v>0</v>
      </c>
    </row>
    <row r="23" spans="1:6" s="20" customFormat="1" ht="26.25" customHeight="1" x14ac:dyDescent="0.25">
      <c r="A23" s="117" t="s">
        <v>140</v>
      </c>
      <c r="B23" s="436">
        <f>+T3B!D147</f>
        <v>0</v>
      </c>
      <c r="C23" s="436">
        <f>+T3B!E147</f>
        <v>0</v>
      </c>
    </row>
    <row r="24" spans="1:6" s="20" customFormat="1" ht="26.25" customHeight="1" x14ac:dyDescent="0.25">
      <c r="A24" s="117" t="s">
        <v>141</v>
      </c>
      <c r="B24" s="436">
        <f>+T3B!D148</f>
        <v>0</v>
      </c>
      <c r="C24" s="436">
        <f>+T3B!E148</f>
        <v>0</v>
      </c>
    </row>
    <row r="25" spans="1:6" s="20" customFormat="1" ht="26.25" customHeight="1" x14ac:dyDescent="0.25">
      <c r="A25" s="117" t="s">
        <v>142</v>
      </c>
      <c r="B25" s="436">
        <f>+T3B!D149</f>
        <v>0</v>
      </c>
      <c r="C25" s="436">
        <f>+T3B!E149</f>
        <v>0</v>
      </c>
    </row>
    <row r="26" spans="1:6" s="20" customFormat="1" ht="42.75" customHeight="1" x14ac:dyDescent="0.25">
      <c r="A26" s="117" t="s">
        <v>143</v>
      </c>
      <c r="B26" s="436">
        <f>+T3B!D150</f>
        <v>0</v>
      </c>
      <c r="C26" s="436">
        <f>+T3B!E150</f>
        <v>0</v>
      </c>
    </row>
    <row r="27" spans="1:6" s="20" customFormat="1" x14ac:dyDescent="0.25">
      <c r="A27" s="118"/>
      <c r="B27" s="116"/>
      <c r="C27" s="116"/>
    </row>
    <row r="28" spans="1:6" s="48" customFormat="1" ht="27" customHeight="1" x14ac:dyDescent="0.25">
      <c r="A28" s="773" t="s">
        <v>292</v>
      </c>
      <c r="B28" s="785">
        <f>SUM(B23:B26,B18:B21)</f>
        <v>0</v>
      </c>
      <c r="C28" s="785">
        <f>SUM(C23:C26,C18:C21)</f>
        <v>0</v>
      </c>
      <c r="D28" s="20"/>
      <c r="E28" s="722"/>
      <c r="F28" s="710"/>
    </row>
    <row r="29" spans="1:6" s="48" customFormat="1" ht="27" customHeight="1" x14ac:dyDescent="0.25">
      <c r="A29" s="773" t="s">
        <v>293</v>
      </c>
      <c r="B29" s="785">
        <f>SUM(B22)</f>
        <v>0</v>
      </c>
      <c r="C29" s="785">
        <f>SUM(C22)</f>
        <v>0</v>
      </c>
      <c r="D29" s="20"/>
      <c r="E29" s="722"/>
      <c r="F29" s="710"/>
    </row>
    <row r="30" spans="1:6" s="48" customFormat="1" ht="27" customHeight="1" x14ac:dyDescent="0.25">
      <c r="A30" s="773" t="s">
        <v>294</v>
      </c>
      <c r="B30" s="785">
        <f>SUM(B28:B29)</f>
        <v>0</v>
      </c>
      <c r="C30" s="785">
        <f>SUM(C28:C29)</f>
        <v>0</v>
      </c>
      <c r="D30" s="20"/>
      <c r="E30" s="722"/>
      <c r="F30" s="710"/>
    </row>
    <row r="31" spans="1:6" s="20" customFormat="1" ht="13" x14ac:dyDescent="0.3">
      <c r="A31" s="381" t="s">
        <v>181</v>
      </c>
      <c r="B31" s="454">
        <f>+B30-T3B!D154</f>
        <v>0</v>
      </c>
      <c r="C31" s="454">
        <f>+C30-T3B!E154</f>
        <v>0</v>
      </c>
    </row>
    <row r="32" spans="1:6" s="20" customFormat="1" x14ac:dyDescent="0.25"/>
    <row r="33" s="20" customFormat="1" x14ac:dyDescent="0.25"/>
    <row r="34" s="20" customFormat="1" x14ac:dyDescent="0.25"/>
    <row r="35" s="20" customFormat="1" x14ac:dyDescent="0.25"/>
    <row r="36" s="20" customFormat="1" x14ac:dyDescent="0.25"/>
    <row r="37" s="20" customFormat="1" x14ac:dyDescent="0.25"/>
    <row r="38" s="20" customFormat="1" x14ac:dyDescent="0.25"/>
    <row r="39" s="20" customFormat="1" x14ac:dyDescent="0.25"/>
    <row r="40" s="20" customFormat="1" x14ac:dyDescent="0.25"/>
    <row r="41" s="20" customFormat="1" x14ac:dyDescent="0.25"/>
    <row r="42" s="20" customFormat="1" x14ac:dyDescent="0.25"/>
    <row r="43" s="20" customFormat="1" x14ac:dyDescent="0.25"/>
    <row r="44" s="20" customFormat="1" x14ac:dyDescent="0.25"/>
    <row r="45" s="20" customFormat="1" x14ac:dyDescent="0.25"/>
    <row r="46" s="20" customFormat="1" x14ac:dyDescent="0.25"/>
    <row r="47" s="20" customFormat="1" x14ac:dyDescent="0.25"/>
    <row r="48" s="20" customFormat="1" x14ac:dyDescent="0.25"/>
    <row r="49" s="20" customFormat="1" x14ac:dyDescent="0.25"/>
    <row r="50" s="20" customFormat="1" x14ac:dyDescent="0.25"/>
    <row r="51" s="20" customFormat="1" x14ac:dyDescent="0.25"/>
    <row r="52" s="20" customFormat="1" x14ac:dyDescent="0.25"/>
    <row r="53" s="20" customFormat="1" x14ac:dyDescent="0.25"/>
    <row r="54" s="20" customFormat="1" x14ac:dyDescent="0.25"/>
    <row r="55" s="20" customFormat="1" x14ac:dyDescent="0.25"/>
    <row r="56" s="20" customFormat="1" x14ac:dyDescent="0.25"/>
    <row r="57" s="20" customFormat="1" x14ac:dyDescent="0.25"/>
    <row r="58" s="20" customFormat="1" x14ac:dyDescent="0.25"/>
    <row r="59" s="20" customFormat="1" x14ac:dyDescent="0.25"/>
    <row r="60" s="20" customFormat="1" x14ac:dyDescent="0.25"/>
    <row r="61" s="20" customFormat="1" x14ac:dyDescent="0.25"/>
    <row r="62" s="20" customFormat="1" x14ac:dyDescent="0.25"/>
    <row r="63" s="20" customFormat="1" x14ac:dyDescent="0.25"/>
    <row r="64" s="20" customFormat="1" x14ac:dyDescent="0.25"/>
    <row r="65" s="20" customFormat="1" x14ac:dyDescent="0.25"/>
    <row r="66" s="20" customFormat="1" x14ac:dyDescent="0.25"/>
    <row r="67" s="20" customFormat="1" x14ac:dyDescent="0.25"/>
    <row r="68" s="20" customFormat="1" x14ac:dyDescent="0.25"/>
    <row r="69" s="20" customFormat="1" x14ac:dyDescent="0.25"/>
    <row r="70" s="20" customFormat="1" x14ac:dyDescent="0.25"/>
    <row r="71" s="20" customFormat="1" x14ac:dyDescent="0.25"/>
    <row r="72" s="20" customFormat="1" x14ac:dyDescent="0.25"/>
    <row r="73" s="20" customFormat="1" x14ac:dyDescent="0.25"/>
    <row r="74" s="20" customFormat="1" x14ac:dyDescent="0.25"/>
    <row r="75" s="20" customFormat="1" x14ac:dyDescent="0.25"/>
    <row r="76" s="20" customFormat="1" x14ac:dyDescent="0.25"/>
    <row r="77" s="20" customFormat="1" x14ac:dyDescent="0.25"/>
    <row r="78" s="20" customFormat="1" x14ac:dyDescent="0.25"/>
    <row r="79" s="20" customFormat="1" x14ac:dyDescent="0.25"/>
    <row r="80" s="20" customFormat="1" x14ac:dyDescent="0.25"/>
    <row r="81" s="20" customFormat="1" x14ac:dyDescent="0.25"/>
    <row r="82" s="20" customFormat="1" x14ac:dyDescent="0.25"/>
    <row r="83" s="20" customFormat="1" x14ac:dyDescent="0.25"/>
    <row r="84" s="20" customFormat="1" x14ac:dyDescent="0.25"/>
    <row r="85" s="20" customFormat="1" x14ac:dyDescent="0.25"/>
    <row r="86" s="20" customFormat="1" x14ac:dyDescent="0.25"/>
    <row r="87" s="20" customFormat="1" x14ac:dyDescent="0.25"/>
    <row r="88" s="20" customFormat="1" x14ac:dyDescent="0.25"/>
    <row r="89" s="20" customFormat="1" x14ac:dyDescent="0.25"/>
    <row r="90" s="20" customFormat="1" x14ac:dyDescent="0.25"/>
    <row r="91" s="20" customFormat="1" x14ac:dyDescent="0.25"/>
    <row r="92" s="20" customFormat="1" x14ac:dyDescent="0.25"/>
    <row r="93" s="20" customFormat="1" x14ac:dyDescent="0.25"/>
    <row r="94" s="20" customFormat="1" x14ac:dyDescent="0.25"/>
    <row r="95" s="20" customFormat="1" x14ac:dyDescent="0.25"/>
    <row r="96" s="20" customFormat="1" x14ac:dyDescent="0.25"/>
    <row r="97" s="20" customFormat="1" x14ac:dyDescent="0.25"/>
    <row r="98" s="20" customFormat="1" x14ac:dyDescent="0.25"/>
    <row r="99" s="20" customFormat="1" x14ac:dyDescent="0.25"/>
    <row r="100" s="20" customFormat="1" x14ac:dyDescent="0.25"/>
    <row r="101" s="20" customFormat="1" x14ac:dyDescent="0.25"/>
    <row r="102" s="20" customFormat="1" x14ac:dyDescent="0.25"/>
    <row r="103" s="20" customFormat="1" x14ac:dyDescent="0.25"/>
    <row r="104" s="20" customFormat="1" x14ac:dyDescent="0.25"/>
    <row r="105" s="20" customFormat="1" x14ac:dyDescent="0.25"/>
    <row r="106" s="20" customFormat="1" x14ac:dyDescent="0.25"/>
    <row r="107" s="20" customFormat="1" x14ac:dyDescent="0.25"/>
    <row r="108" s="20" customFormat="1" x14ac:dyDescent="0.25"/>
    <row r="109" s="20" customFormat="1" x14ac:dyDescent="0.25"/>
    <row r="110" s="20" customFormat="1" x14ac:dyDescent="0.25"/>
    <row r="111" s="20" customFormat="1" x14ac:dyDescent="0.25"/>
    <row r="112" s="20" customFormat="1" x14ac:dyDescent="0.25"/>
    <row r="113" s="20" customFormat="1" x14ac:dyDescent="0.25"/>
    <row r="114" s="20" customFormat="1" x14ac:dyDescent="0.25"/>
    <row r="115" s="20" customFormat="1" x14ac:dyDescent="0.25"/>
    <row r="116" s="20" customFormat="1" x14ac:dyDescent="0.25"/>
    <row r="117" s="20" customFormat="1" x14ac:dyDescent="0.25"/>
    <row r="118" s="20" customFormat="1" x14ac:dyDescent="0.25"/>
    <row r="119" s="20" customFormat="1" x14ac:dyDescent="0.25"/>
    <row r="120" s="20" customFormat="1" x14ac:dyDescent="0.25"/>
    <row r="121" s="20" customFormat="1" x14ac:dyDescent="0.25"/>
    <row r="122" s="20" customFormat="1" x14ac:dyDescent="0.25"/>
    <row r="123" s="20" customFormat="1" x14ac:dyDescent="0.25"/>
    <row r="124" s="20" customFormat="1" x14ac:dyDescent="0.25"/>
    <row r="125" s="20" customFormat="1" x14ac:dyDescent="0.25"/>
    <row r="126" s="20" customFormat="1" x14ac:dyDescent="0.25"/>
    <row r="127" s="20" customFormat="1" x14ac:dyDescent="0.25"/>
    <row r="128" s="20" customFormat="1" x14ac:dyDescent="0.25"/>
    <row r="129" s="20" customFormat="1" x14ac:dyDescent="0.25"/>
    <row r="130" s="20" customFormat="1" x14ac:dyDescent="0.25"/>
    <row r="131" s="20" customFormat="1" x14ac:dyDescent="0.25"/>
    <row r="132" s="20" customFormat="1" x14ac:dyDescent="0.25"/>
    <row r="133" s="20" customFormat="1" x14ac:dyDescent="0.25"/>
    <row r="134" s="20" customFormat="1" x14ac:dyDescent="0.25"/>
    <row r="135" s="20" customFormat="1" x14ac:dyDescent="0.25"/>
    <row r="136" s="20" customFormat="1" x14ac:dyDescent="0.25"/>
    <row r="137" s="20" customFormat="1" x14ac:dyDescent="0.25"/>
    <row r="138" s="20" customFormat="1" x14ac:dyDescent="0.25"/>
    <row r="139" s="20" customFormat="1" x14ac:dyDescent="0.25"/>
    <row r="140" s="20" customFormat="1" x14ac:dyDescent="0.25"/>
    <row r="141" s="20" customFormat="1" x14ac:dyDescent="0.25"/>
    <row r="142" s="20" customFormat="1" x14ac:dyDescent="0.25"/>
    <row r="143" s="20" customFormat="1" x14ac:dyDescent="0.25"/>
    <row r="144" s="20" customFormat="1" x14ac:dyDescent="0.25"/>
    <row r="145" s="20" customFormat="1" x14ac:dyDescent="0.25"/>
    <row r="146" s="20" customFormat="1" x14ac:dyDescent="0.25"/>
    <row r="147" s="20" customFormat="1" x14ac:dyDescent="0.25"/>
    <row r="148" s="20" customFormat="1" x14ac:dyDescent="0.25"/>
    <row r="149" s="20" customFormat="1" x14ac:dyDescent="0.25"/>
    <row r="150" s="20" customFormat="1" x14ac:dyDescent="0.25"/>
    <row r="151" s="20" customFormat="1" x14ac:dyDescent="0.25"/>
    <row r="152" s="20" customFormat="1" x14ac:dyDescent="0.25"/>
    <row r="153" s="20" customFormat="1" x14ac:dyDescent="0.25"/>
    <row r="154" s="20" customFormat="1" x14ac:dyDescent="0.25"/>
    <row r="155" s="20" customFormat="1" x14ac:dyDescent="0.25"/>
    <row r="156" s="20" customFormat="1" x14ac:dyDescent="0.25"/>
    <row r="157" s="20" customFormat="1" x14ac:dyDescent="0.25"/>
    <row r="158" s="20" customFormat="1" x14ac:dyDescent="0.25"/>
    <row r="159" s="20" customFormat="1" x14ac:dyDescent="0.25"/>
    <row r="160"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row r="168" s="20" customFormat="1" x14ac:dyDescent="0.25"/>
    <row r="169" s="20" customFormat="1" x14ac:dyDescent="0.25"/>
    <row r="170" s="20" customFormat="1" x14ac:dyDescent="0.25"/>
    <row r="171" s="20" customFormat="1" x14ac:dyDescent="0.25"/>
    <row r="172" s="20" customFormat="1" x14ac:dyDescent="0.25"/>
    <row r="173" s="20" customFormat="1" x14ac:dyDescent="0.25"/>
    <row r="174" s="20" customFormat="1" x14ac:dyDescent="0.25"/>
    <row r="175" s="20" customFormat="1" x14ac:dyDescent="0.25"/>
    <row r="176" s="20" customFormat="1" x14ac:dyDescent="0.25"/>
    <row r="177" s="20" customFormat="1" x14ac:dyDescent="0.25"/>
    <row r="178" s="20" customFormat="1" x14ac:dyDescent="0.25"/>
    <row r="179" s="20" customFormat="1" x14ac:dyDescent="0.25"/>
    <row r="180" s="20" customFormat="1" x14ac:dyDescent="0.25"/>
    <row r="181" s="20" customFormat="1" x14ac:dyDescent="0.25"/>
    <row r="182" s="20" customFormat="1" x14ac:dyDescent="0.25"/>
    <row r="183" s="20" customFormat="1" x14ac:dyDescent="0.25"/>
    <row r="184" s="20" customFormat="1" x14ac:dyDescent="0.25"/>
    <row r="185" s="20" customFormat="1" x14ac:dyDescent="0.25"/>
    <row r="186" s="20" customFormat="1" x14ac:dyDescent="0.25"/>
    <row r="187" s="20" customFormat="1" x14ac:dyDescent="0.25"/>
    <row r="188" s="20" customFormat="1" x14ac:dyDescent="0.25"/>
    <row r="189" s="20" customFormat="1" x14ac:dyDescent="0.25"/>
    <row r="190" s="20" customFormat="1" x14ac:dyDescent="0.25"/>
    <row r="191" s="20" customFormat="1" x14ac:dyDescent="0.25"/>
    <row r="192" s="20" customFormat="1" x14ac:dyDescent="0.25"/>
    <row r="193" s="20" customFormat="1" x14ac:dyDescent="0.25"/>
    <row r="194" s="20" customFormat="1" x14ac:dyDescent="0.25"/>
    <row r="195" s="20" customFormat="1" x14ac:dyDescent="0.25"/>
    <row r="196" s="20" customFormat="1" x14ac:dyDescent="0.25"/>
    <row r="197" s="20" customFormat="1" x14ac:dyDescent="0.25"/>
    <row r="198" s="20" customFormat="1" x14ac:dyDescent="0.25"/>
    <row r="199" s="20" customFormat="1" x14ac:dyDescent="0.25"/>
    <row r="200" s="20" customFormat="1" x14ac:dyDescent="0.25"/>
    <row r="201" s="20" customFormat="1" x14ac:dyDescent="0.25"/>
    <row r="202" s="20" customFormat="1" x14ac:dyDescent="0.25"/>
    <row r="203" s="20" customFormat="1" x14ac:dyDescent="0.25"/>
    <row r="204" s="20" customFormat="1" x14ac:dyDescent="0.25"/>
    <row r="205" s="20" customFormat="1" x14ac:dyDescent="0.25"/>
    <row r="206" s="20" customFormat="1" x14ac:dyDescent="0.25"/>
    <row r="207" s="20" customFormat="1" x14ac:dyDescent="0.25"/>
    <row r="208" s="20" customFormat="1" x14ac:dyDescent="0.25"/>
    <row r="209" s="20" customFormat="1" x14ac:dyDescent="0.25"/>
    <row r="210" s="20" customFormat="1" x14ac:dyDescent="0.25"/>
    <row r="211" s="20" customFormat="1" x14ac:dyDescent="0.25"/>
    <row r="212" s="20" customFormat="1" x14ac:dyDescent="0.25"/>
    <row r="213" s="20" customFormat="1" x14ac:dyDescent="0.25"/>
    <row r="214" s="20" customFormat="1" x14ac:dyDescent="0.25"/>
    <row r="215" s="20" customFormat="1" x14ac:dyDescent="0.25"/>
    <row r="216" s="20" customFormat="1" x14ac:dyDescent="0.25"/>
    <row r="217" s="20" customFormat="1" x14ac:dyDescent="0.25"/>
    <row r="218" s="20" customFormat="1" x14ac:dyDescent="0.25"/>
    <row r="219" s="20" customFormat="1" x14ac:dyDescent="0.25"/>
    <row r="220" s="20" customFormat="1" x14ac:dyDescent="0.25"/>
    <row r="221" s="20" customFormat="1" x14ac:dyDescent="0.25"/>
    <row r="222" s="20" customFormat="1" x14ac:dyDescent="0.25"/>
    <row r="223" s="20" customFormat="1" x14ac:dyDescent="0.25"/>
    <row r="224" s="20" customFormat="1" x14ac:dyDescent="0.25"/>
    <row r="225" s="20" customFormat="1" x14ac:dyDescent="0.25"/>
    <row r="226" s="20" customFormat="1" x14ac:dyDescent="0.25"/>
    <row r="227" s="20" customFormat="1" x14ac:dyDescent="0.25"/>
    <row r="228" s="20" customFormat="1" x14ac:dyDescent="0.25"/>
    <row r="229" s="20" customFormat="1" x14ac:dyDescent="0.25"/>
    <row r="230" s="20" customFormat="1" x14ac:dyDescent="0.25"/>
    <row r="231" s="20" customFormat="1" x14ac:dyDescent="0.25"/>
    <row r="232" s="20" customFormat="1" x14ac:dyDescent="0.25"/>
    <row r="233" s="20" customFormat="1" x14ac:dyDescent="0.25"/>
    <row r="234" s="20" customFormat="1" x14ac:dyDescent="0.25"/>
    <row r="235" s="20" customFormat="1" x14ac:dyDescent="0.25"/>
    <row r="236" s="20" customFormat="1" x14ac:dyDescent="0.25"/>
    <row r="237" s="20" customFormat="1" x14ac:dyDescent="0.25"/>
    <row r="238" s="20" customFormat="1" x14ac:dyDescent="0.25"/>
    <row r="239" s="20" customFormat="1" x14ac:dyDescent="0.25"/>
    <row r="240" s="20" customFormat="1" x14ac:dyDescent="0.25"/>
    <row r="241" s="20" customFormat="1" x14ac:dyDescent="0.25"/>
    <row r="242" s="20" customFormat="1" x14ac:dyDescent="0.25"/>
    <row r="243" s="20" customFormat="1" x14ac:dyDescent="0.25"/>
    <row r="244" s="20" customFormat="1" x14ac:dyDescent="0.25"/>
    <row r="245" s="20" customFormat="1" x14ac:dyDescent="0.25"/>
    <row r="246" s="20" customFormat="1" x14ac:dyDescent="0.25"/>
    <row r="247" s="20" customFormat="1" x14ac:dyDescent="0.25"/>
    <row r="248" s="20" customFormat="1" x14ac:dyDescent="0.25"/>
    <row r="249" s="20" customFormat="1" x14ac:dyDescent="0.25"/>
    <row r="250" s="20" customFormat="1" x14ac:dyDescent="0.25"/>
    <row r="251" s="20" customFormat="1" x14ac:dyDescent="0.25"/>
    <row r="252" s="20" customFormat="1" x14ac:dyDescent="0.25"/>
    <row r="253" s="20" customFormat="1" x14ac:dyDescent="0.25"/>
    <row r="254" s="20" customFormat="1" x14ac:dyDescent="0.25"/>
    <row r="255" s="20" customFormat="1" x14ac:dyDescent="0.25"/>
    <row r="256" s="20" customFormat="1" x14ac:dyDescent="0.25"/>
    <row r="257" s="20" customFormat="1" x14ac:dyDescent="0.25"/>
    <row r="258" s="20" customFormat="1" x14ac:dyDescent="0.25"/>
    <row r="259" s="20" customFormat="1" x14ac:dyDescent="0.25"/>
    <row r="260" s="20" customFormat="1" x14ac:dyDescent="0.25"/>
    <row r="261" s="20" customFormat="1" x14ac:dyDescent="0.25"/>
    <row r="262" s="20" customFormat="1" x14ac:dyDescent="0.25"/>
    <row r="263" s="20" customFormat="1" x14ac:dyDescent="0.25"/>
    <row r="264" s="20" customFormat="1" x14ac:dyDescent="0.25"/>
    <row r="265" s="20" customFormat="1" x14ac:dyDescent="0.25"/>
    <row r="266" s="20" customFormat="1" x14ac:dyDescent="0.25"/>
    <row r="267" s="20" customFormat="1" x14ac:dyDescent="0.25"/>
    <row r="268" s="20" customFormat="1" x14ac:dyDescent="0.25"/>
    <row r="269" s="20" customFormat="1" x14ac:dyDescent="0.25"/>
    <row r="270" s="20" customFormat="1" x14ac:dyDescent="0.25"/>
    <row r="271" s="20" customFormat="1" x14ac:dyDescent="0.25"/>
    <row r="272" s="20" customFormat="1" x14ac:dyDescent="0.25"/>
    <row r="273" s="20" customFormat="1" x14ac:dyDescent="0.25"/>
    <row r="274" s="20" customFormat="1" x14ac:dyDescent="0.25"/>
    <row r="275" s="20" customFormat="1" x14ac:dyDescent="0.25"/>
    <row r="276" s="20" customFormat="1" x14ac:dyDescent="0.25"/>
    <row r="277" s="20" customFormat="1" x14ac:dyDescent="0.25"/>
    <row r="278" s="20" customFormat="1" x14ac:dyDescent="0.25"/>
    <row r="279" s="20" customFormat="1" x14ac:dyDescent="0.25"/>
    <row r="280" s="20" customFormat="1" x14ac:dyDescent="0.25"/>
    <row r="281" s="20" customFormat="1" x14ac:dyDescent="0.25"/>
    <row r="282" s="20" customFormat="1" x14ac:dyDescent="0.25"/>
    <row r="283" s="20" customFormat="1" x14ac:dyDescent="0.25"/>
    <row r="284" s="20" customFormat="1" x14ac:dyDescent="0.25"/>
    <row r="285" s="20" customFormat="1" x14ac:dyDescent="0.25"/>
    <row r="286" s="20" customFormat="1" x14ac:dyDescent="0.25"/>
    <row r="287" s="20" customFormat="1" x14ac:dyDescent="0.25"/>
    <row r="288" s="20" customFormat="1" x14ac:dyDescent="0.25"/>
    <row r="289" s="20" customFormat="1" x14ac:dyDescent="0.25"/>
    <row r="290" s="20" customFormat="1" x14ac:dyDescent="0.25"/>
    <row r="291" s="20" customFormat="1" x14ac:dyDescent="0.25"/>
    <row r="292" s="20" customFormat="1" x14ac:dyDescent="0.25"/>
    <row r="293" s="20" customFormat="1" x14ac:dyDescent="0.25"/>
    <row r="294" s="20" customFormat="1" x14ac:dyDescent="0.25"/>
    <row r="295" s="20" customFormat="1" x14ac:dyDescent="0.25"/>
    <row r="296" s="20" customFormat="1" x14ac:dyDescent="0.25"/>
    <row r="297" s="20" customFormat="1" x14ac:dyDescent="0.25"/>
    <row r="298" s="20" customFormat="1" x14ac:dyDescent="0.25"/>
    <row r="299" s="20" customFormat="1" x14ac:dyDescent="0.25"/>
    <row r="300" s="20" customFormat="1" x14ac:dyDescent="0.25"/>
    <row r="301" s="20" customFormat="1" x14ac:dyDescent="0.25"/>
    <row r="302" s="20" customFormat="1" x14ac:dyDescent="0.25"/>
    <row r="303" s="20" customFormat="1" x14ac:dyDescent="0.25"/>
    <row r="304" s="20" customFormat="1" x14ac:dyDescent="0.25"/>
    <row r="305" s="20" customFormat="1" x14ac:dyDescent="0.25"/>
    <row r="306" s="20" customFormat="1" x14ac:dyDescent="0.25"/>
    <row r="307" s="20" customFormat="1" x14ac:dyDescent="0.25"/>
    <row r="308" s="20" customFormat="1" x14ac:dyDescent="0.25"/>
    <row r="309" s="20" customFormat="1" x14ac:dyDescent="0.25"/>
    <row r="310" s="20" customFormat="1" x14ac:dyDescent="0.25"/>
    <row r="311" s="20" customFormat="1" x14ac:dyDescent="0.25"/>
    <row r="312" s="20" customFormat="1" x14ac:dyDescent="0.25"/>
    <row r="313" s="20" customFormat="1" x14ac:dyDescent="0.25"/>
    <row r="314" s="20" customFormat="1" x14ac:dyDescent="0.25"/>
    <row r="315" s="20" customFormat="1" x14ac:dyDescent="0.25"/>
    <row r="316" s="20" customFormat="1" x14ac:dyDescent="0.25"/>
    <row r="317" s="20" customFormat="1" x14ac:dyDescent="0.25"/>
    <row r="318" s="20" customFormat="1" x14ac:dyDescent="0.25"/>
    <row r="319" s="20" customFormat="1" x14ac:dyDescent="0.25"/>
    <row r="320" s="20" customFormat="1" x14ac:dyDescent="0.25"/>
    <row r="321" s="20" customFormat="1" x14ac:dyDescent="0.25"/>
    <row r="322" s="20" customFormat="1" x14ac:dyDescent="0.25"/>
    <row r="323" s="20" customFormat="1" x14ac:dyDescent="0.25"/>
    <row r="324" s="20" customFormat="1" x14ac:dyDescent="0.25"/>
    <row r="325" s="20" customFormat="1" x14ac:dyDescent="0.25"/>
    <row r="326" s="20" customFormat="1" x14ac:dyDescent="0.25"/>
    <row r="327" s="20" customFormat="1" x14ac:dyDescent="0.25"/>
    <row r="328" s="20" customFormat="1" x14ac:dyDescent="0.25"/>
    <row r="329" s="20" customFormat="1" x14ac:dyDescent="0.25"/>
    <row r="330" s="20" customFormat="1" x14ac:dyDescent="0.25"/>
    <row r="331" s="20" customFormat="1" x14ac:dyDescent="0.25"/>
    <row r="332" s="20" customFormat="1" x14ac:dyDescent="0.25"/>
    <row r="333" s="20" customFormat="1" x14ac:dyDescent="0.25"/>
    <row r="334" s="20" customFormat="1" x14ac:dyDescent="0.25"/>
    <row r="335" s="20" customFormat="1" x14ac:dyDescent="0.25"/>
    <row r="336" s="20" customFormat="1" x14ac:dyDescent="0.25"/>
    <row r="337" s="20" customFormat="1" x14ac:dyDescent="0.25"/>
    <row r="338" s="20" customFormat="1" x14ac:dyDescent="0.25"/>
    <row r="339" s="20" customFormat="1" x14ac:dyDescent="0.25"/>
    <row r="340" s="20" customFormat="1" x14ac:dyDescent="0.25"/>
    <row r="341" s="20" customFormat="1" x14ac:dyDescent="0.25"/>
    <row r="342" s="20" customFormat="1" x14ac:dyDescent="0.25"/>
    <row r="343" s="20" customFormat="1" x14ac:dyDescent="0.25"/>
    <row r="344" s="20" customFormat="1" x14ac:dyDescent="0.25"/>
    <row r="345" s="20" customFormat="1" x14ac:dyDescent="0.25"/>
    <row r="346" s="20" customFormat="1" x14ac:dyDescent="0.25"/>
    <row r="347" s="20" customFormat="1" x14ac:dyDescent="0.25"/>
    <row r="348" s="20" customFormat="1" x14ac:dyDescent="0.25"/>
    <row r="349" s="20" customFormat="1" x14ac:dyDescent="0.25"/>
    <row r="350" s="20" customFormat="1" x14ac:dyDescent="0.25"/>
    <row r="351" s="20" customFormat="1" x14ac:dyDescent="0.25"/>
    <row r="352" s="20" customFormat="1" x14ac:dyDescent="0.25"/>
    <row r="353" s="20" customFormat="1" x14ac:dyDescent="0.25"/>
    <row r="354" s="20" customFormat="1" x14ac:dyDescent="0.25"/>
    <row r="355" s="20" customFormat="1" x14ac:dyDescent="0.25"/>
    <row r="356" s="20" customFormat="1" x14ac:dyDescent="0.25"/>
    <row r="357" s="20" customFormat="1" x14ac:dyDescent="0.25"/>
    <row r="358" s="20" customFormat="1" x14ac:dyDescent="0.25"/>
    <row r="359" s="20" customFormat="1" x14ac:dyDescent="0.25"/>
    <row r="360" s="20" customFormat="1" x14ac:dyDescent="0.25"/>
    <row r="361" s="20" customFormat="1" x14ac:dyDescent="0.25"/>
    <row r="362" s="20" customFormat="1" x14ac:dyDescent="0.25"/>
    <row r="363" s="20" customFormat="1" x14ac:dyDescent="0.25"/>
    <row r="364" s="20" customFormat="1" x14ac:dyDescent="0.25"/>
    <row r="365" s="20" customFormat="1" x14ac:dyDescent="0.25"/>
    <row r="366" s="20" customFormat="1" x14ac:dyDescent="0.25"/>
    <row r="367" s="20" customFormat="1" x14ac:dyDescent="0.25"/>
    <row r="368" s="20" customFormat="1" x14ac:dyDescent="0.25"/>
    <row r="369" s="20" customFormat="1" x14ac:dyDescent="0.25"/>
    <row r="370" s="20" customFormat="1" x14ac:dyDescent="0.25"/>
    <row r="371" s="20" customFormat="1" x14ac:dyDescent="0.25"/>
    <row r="372" s="20" customFormat="1" x14ac:dyDescent="0.25"/>
    <row r="373" s="20" customFormat="1" x14ac:dyDescent="0.25"/>
    <row r="374" s="20" customFormat="1" x14ac:dyDescent="0.25"/>
    <row r="375" s="20" customFormat="1" x14ac:dyDescent="0.25"/>
    <row r="376" s="20" customFormat="1" x14ac:dyDescent="0.25"/>
    <row r="377" s="20" customFormat="1" x14ac:dyDescent="0.25"/>
    <row r="378" s="20" customFormat="1" x14ac:dyDescent="0.25"/>
    <row r="379" s="20" customFormat="1" x14ac:dyDescent="0.25"/>
    <row r="380" s="20" customFormat="1" x14ac:dyDescent="0.25"/>
    <row r="381" s="20" customFormat="1" x14ac:dyDescent="0.25"/>
    <row r="382" s="20" customFormat="1" x14ac:dyDescent="0.25"/>
    <row r="383" s="20" customFormat="1" x14ac:dyDescent="0.25"/>
    <row r="384" s="20" customFormat="1" x14ac:dyDescent="0.25"/>
    <row r="385" s="20" customFormat="1" x14ac:dyDescent="0.25"/>
    <row r="386" s="20" customFormat="1" x14ac:dyDescent="0.25"/>
    <row r="387" s="20" customFormat="1" x14ac:dyDescent="0.25"/>
    <row r="388" s="20" customFormat="1" x14ac:dyDescent="0.25"/>
    <row r="389" s="20" customFormat="1" x14ac:dyDescent="0.25"/>
    <row r="390" s="20" customFormat="1" x14ac:dyDescent="0.25"/>
    <row r="391" s="20" customFormat="1" x14ac:dyDescent="0.25"/>
    <row r="392" s="20" customFormat="1" x14ac:dyDescent="0.25"/>
    <row r="393" s="20" customFormat="1" x14ac:dyDescent="0.25"/>
    <row r="394" s="20" customFormat="1" x14ac:dyDescent="0.25"/>
    <row r="395" s="20" customFormat="1" x14ac:dyDescent="0.25"/>
    <row r="396" s="20" customFormat="1" x14ac:dyDescent="0.25"/>
    <row r="397" s="20" customFormat="1" x14ac:dyDescent="0.25"/>
    <row r="398" s="20" customFormat="1" x14ac:dyDescent="0.25"/>
    <row r="399" s="20" customFormat="1" x14ac:dyDescent="0.25"/>
    <row r="400" s="20" customFormat="1" x14ac:dyDescent="0.25"/>
    <row r="401" s="20" customFormat="1" x14ac:dyDescent="0.25"/>
    <row r="402" s="20" customFormat="1" x14ac:dyDescent="0.25"/>
    <row r="403" s="20" customFormat="1" x14ac:dyDescent="0.25"/>
    <row r="404" s="20" customFormat="1" x14ac:dyDescent="0.25"/>
    <row r="405" s="20" customFormat="1" x14ac:dyDescent="0.25"/>
    <row r="406" s="20" customFormat="1" x14ac:dyDescent="0.25"/>
    <row r="407" s="20" customFormat="1" x14ac:dyDescent="0.25"/>
    <row r="408" s="20" customFormat="1" x14ac:dyDescent="0.25"/>
    <row r="409" s="20" customFormat="1" x14ac:dyDescent="0.25"/>
    <row r="410" s="20" customFormat="1" x14ac:dyDescent="0.25"/>
    <row r="411" s="20" customFormat="1" x14ac:dyDescent="0.25"/>
    <row r="412" s="20" customFormat="1" x14ac:dyDescent="0.25"/>
    <row r="413" s="20" customFormat="1" x14ac:dyDescent="0.25"/>
    <row r="414" s="20" customFormat="1" x14ac:dyDescent="0.25"/>
    <row r="415" s="20" customFormat="1" x14ac:dyDescent="0.25"/>
    <row r="416" s="20" customFormat="1" x14ac:dyDescent="0.25"/>
    <row r="417" s="20" customFormat="1" x14ac:dyDescent="0.25"/>
    <row r="418" s="20" customFormat="1" x14ac:dyDescent="0.25"/>
    <row r="419" s="20" customFormat="1" x14ac:dyDescent="0.25"/>
    <row r="420" s="20" customFormat="1" x14ac:dyDescent="0.25"/>
    <row r="421" s="20" customFormat="1" x14ac:dyDescent="0.25"/>
    <row r="422" s="20" customFormat="1" x14ac:dyDescent="0.25"/>
    <row r="423" s="20" customFormat="1" x14ac:dyDescent="0.25"/>
    <row r="424" s="20" customFormat="1" x14ac:dyDescent="0.25"/>
    <row r="425" s="20" customFormat="1" x14ac:dyDescent="0.25"/>
    <row r="426" s="20" customFormat="1" x14ac:dyDescent="0.25"/>
    <row r="427" s="20" customFormat="1" x14ac:dyDescent="0.25"/>
    <row r="428" s="20" customFormat="1" x14ac:dyDescent="0.25"/>
    <row r="429" s="20" customFormat="1" x14ac:dyDescent="0.25"/>
    <row r="430" s="20" customFormat="1" x14ac:dyDescent="0.25"/>
    <row r="431" s="20" customFormat="1" x14ac:dyDescent="0.25"/>
    <row r="432" s="20" customFormat="1" x14ac:dyDescent="0.25"/>
    <row r="433" s="20" customFormat="1" x14ac:dyDescent="0.25"/>
    <row r="434" s="20" customFormat="1" x14ac:dyDescent="0.25"/>
    <row r="435" s="20" customFormat="1" x14ac:dyDescent="0.25"/>
    <row r="436" s="20" customFormat="1" x14ac:dyDescent="0.25"/>
    <row r="437" s="20" customFormat="1" x14ac:dyDescent="0.25"/>
    <row r="438" s="20" customFormat="1" x14ac:dyDescent="0.25"/>
    <row r="439" s="20" customFormat="1" x14ac:dyDescent="0.25"/>
    <row r="440" s="20" customFormat="1" x14ac:dyDescent="0.25"/>
    <row r="441" s="20" customFormat="1" x14ac:dyDescent="0.25"/>
    <row r="442" s="20" customFormat="1" x14ac:dyDescent="0.25"/>
    <row r="443" s="20" customFormat="1" x14ac:dyDescent="0.25"/>
    <row r="444" s="20" customFormat="1" x14ac:dyDescent="0.25"/>
    <row r="445" s="20" customFormat="1" x14ac:dyDescent="0.25"/>
    <row r="446" s="20" customFormat="1" x14ac:dyDescent="0.25"/>
    <row r="447" s="20" customFormat="1" x14ac:dyDescent="0.25"/>
    <row r="448" s="20" customFormat="1" x14ac:dyDescent="0.25"/>
    <row r="449" s="20" customFormat="1" x14ac:dyDescent="0.25"/>
    <row r="450" s="20" customFormat="1" x14ac:dyDescent="0.25"/>
    <row r="451" s="20" customFormat="1" x14ac:dyDescent="0.25"/>
    <row r="452" s="20" customFormat="1" x14ac:dyDescent="0.25"/>
    <row r="453" s="20" customFormat="1" x14ac:dyDescent="0.25"/>
    <row r="454" s="20" customFormat="1" x14ac:dyDescent="0.25"/>
    <row r="455" s="20" customFormat="1" x14ac:dyDescent="0.25"/>
    <row r="456" s="20" customFormat="1" x14ac:dyDescent="0.25"/>
    <row r="457" s="20" customFormat="1" x14ac:dyDescent="0.25"/>
    <row r="458" s="20" customFormat="1" x14ac:dyDescent="0.25"/>
    <row r="459" s="20" customFormat="1" x14ac:dyDescent="0.25"/>
    <row r="460" s="20" customFormat="1" x14ac:dyDescent="0.25"/>
    <row r="461" s="20" customFormat="1" x14ac:dyDescent="0.25"/>
    <row r="462" s="20" customFormat="1" x14ac:dyDescent="0.25"/>
    <row r="463" s="20" customFormat="1" x14ac:dyDescent="0.25"/>
    <row r="464" s="20" customFormat="1" x14ac:dyDescent="0.25"/>
    <row r="465" s="20" customFormat="1" x14ac:dyDescent="0.25"/>
    <row r="466" s="20" customFormat="1" x14ac:dyDescent="0.25"/>
    <row r="467" s="20" customFormat="1" x14ac:dyDescent="0.25"/>
    <row r="468" s="20" customFormat="1" x14ac:dyDescent="0.25"/>
    <row r="469" s="20" customFormat="1" x14ac:dyDescent="0.25"/>
    <row r="470" s="20" customFormat="1" x14ac:dyDescent="0.25"/>
    <row r="471" s="20" customFormat="1" x14ac:dyDescent="0.25"/>
    <row r="472" s="20" customFormat="1" x14ac:dyDescent="0.25"/>
    <row r="473" s="20" customFormat="1" x14ac:dyDescent="0.25"/>
    <row r="474" s="20" customFormat="1" x14ac:dyDescent="0.25"/>
    <row r="475" s="20" customFormat="1" x14ac:dyDescent="0.25"/>
    <row r="476" s="20" customFormat="1" x14ac:dyDescent="0.25"/>
    <row r="477" s="20" customFormat="1" x14ac:dyDescent="0.25"/>
    <row r="478" s="20" customFormat="1" x14ac:dyDescent="0.25"/>
    <row r="479" s="20" customFormat="1" x14ac:dyDescent="0.25"/>
    <row r="480" s="20" customFormat="1" x14ac:dyDescent="0.25"/>
    <row r="481" s="20" customFormat="1" x14ac:dyDescent="0.25"/>
    <row r="482" s="20" customFormat="1" x14ac:dyDescent="0.25"/>
    <row r="483" s="20" customFormat="1" x14ac:dyDescent="0.25"/>
    <row r="484" s="20" customFormat="1" x14ac:dyDescent="0.25"/>
    <row r="485" s="20" customFormat="1" x14ac:dyDescent="0.25"/>
    <row r="486" s="20" customFormat="1" x14ac:dyDescent="0.25"/>
    <row r="487" s="20" customFormat="1" x14ac:dyDescent="0.25"/>
    <row r="488" s="20" customFormat="1" x14ac:dyDescent="0.25"/>
    <row r="489" s="20" customFormat="1" x14ac:dyDescent="0.25"/>
    <row r="490" s="20" customFormat="1" x14ac:dyDescent="0.25"/>
    <row r="491" s="20" customFormat="1" x14ac:dyDescent="0.25"/>
    <row r="492" s="20" customFormat="1" x14ac:dyDescent="0.25"/>
    <row r="493" s="20" customFormat="1" x14ac:dyDescent="0.25"/>
    <row r="494" s="20" customFormat="1" x14ac:dyDescent="0.25"/>
    <row r="495" s="20" customFormat="1" x14ac:dyDescent="0.25"/>
    <row r="496" s="20" customFormat="1" x14ac:dyDescent="0.25"/>
    <row r="497" s="20" customFormat="1" x14ac:dyDescent="0.25"/>
    <row r="498" s="20" customFormat="1" x14ac:dyDescent="0.25"/>
    <row r="499" s="20" customFormat="1" x14ac:dyDescent="0.25"/>
    <row r="500" s="20" customFormat="1" x14ac:dyDescent="0.25"/>
    <row r="501" s="20" customFormat="1" x14ac:dyDescent="0.25"/>
    <row r="502" s="20" customFormat="1" x14ac:dyDescent="0.25"/>
    <row r="503" s="20" customFormat="1" x14ac:dyDescent="0.25"/>
    <row r="504" s="20" customFormat="1" x14ac:dyDescent="0.25"/>
    <row r="505" s="20" customFormat="1" x14ac:dyDescent="0.25"/>
    <row r="506" s="20" customFormat="1" x14ac:dyDescent="0.25"/>
    <row r="507" s="20" customFormat="1" x14ac:dyDescent="0.25"/>
    <row r="508" s="20" customFormat="1" x14ac:dyDescent="0.25"/>
    <row r="509" s="20" customFormat="1" x14ac:dyDescent="0.25"/>
    <row r="510" s="20" customFormat="1" x14ac:dyDescent="0.25"/>
    <row r="511" s="20" customFormat="1" x14ac:dyDescent="0.25"/>
    <row r="512" s="20" customFormat="1" x14ac:dyDescent="0.25"/>
    <row r="513" s="20" customFormat="1" x14ac:dyDescent="0.25"/>
    <row r="514" s="20" customFormat="1" x14ac:dyDescent="0.25"/>
    <row r="515" s="20" customFormat="1" x14ac:dyDescent="0.25"/>
    <row r="516" s="20" customFormat="1" x14ac:dyDescent="0.25"/>
    <row r="517" s="20" customFormat="1" x14ac:dyDescent="0.25"/>
    <row r="518" s="20" customFormat="1" x14ac:dyDescent="0.25"/>
    <row r="519" s="20" customFormat="1" x14ac:dyDescent="0.25"/>
    <row r="520" s="20" customFormat="1" x14ac:dyDescent="0.25"/>
    <row r="521" s="20" customFormat="1" x14ac:dyDescent="0.25"/>
    <row r="522" s="20" customFormat="1" x14ac:dyDescent="0.25"/>
    <row r="523" s="20" customFormat="1" x14ac:dyDescent="0.25"/>
    <row r="524" s="20" customFormat="1" x14ac:dyDescent="0.25"/>
    <row r="525" s="20" customFormat="1" x14ac:dyDescent="0.25"/>
    <row r="526" s="20" customFormat="1" x14ac:dyDescent="0.25"/>
    <row r="527" s="20" customFormat="1" x14ac:dyDescent="0.25"/>
    <row r="528" s="20" customFormat="1" x14ac:dyDescent="0.25"/>
    <row r="529" s="20" customFormat="1" x14ac:dyDescent="0.25"/>
    <row r="530" s="20" customFormat="1" x14ac:dyDescent="0.25"/>
    <row r="531" s="20" customFormat="1" x14ac:dyDescent="0.25"/>
    <row r="532" s="20" customFormat="1" x14ac:dyDescent="0.25"/>
    <row r="533" s="20" customFormat="1" x14ac:dyDescent="0.25"/>
    <row r="534" s="20" customFormat="1" x14ac:dyDescent="0.25"/>
    <row r="535" s="20" customFormat="1" x14ac:dyDescent="0.25"/>
    <row r="536" s="20" customFormat="1" x14ac:dyDescent="0.25"/>
    <row r="537" s="20" customFormat="1" x14ac:dyDescent="0.25"/>
    <row r="538" s="20" customFormat="1" x14ac:dyDescent="0.25"/>
    <row r="539" s="20" customFormat="1" x14ac:dyDescent="0.25"/>
    <row r="540" s="20" customFormat="1" x14ac:dyDescent="0.25"/>
    <row r="541" s="20" customFormat="1" x14ac:dyDescent="0.25"/>
    <row r="542" s="20" customFormat="1" x14ac:dyDescent="0.25"/>
    <row r="543" s="20" customFormat="1" x14ac:dyDescent="0.25"/>
    <row r="544" s="20" customFormat="1" x14ac:dyDescent="0.25"/>
    <row r="545" s="20" customFormat="1" x14ac:dyDescent="0.25"/>
    <row r="546" s="20" customFormat="1" x14ac:dyDescent="0.25"/>
    <row r="547" s="20" customFormat="1" x14ac:dyDescent="0.25"/>
    <row r="548" s="20" customFormat="1" x14ac:dyDescent="0.25"/>
    <row r="549" s="20" customFormat="1" x14ac:dyDescent="0.25"/>
    <row r="550" s="20" customFormat="1" x14ac:dyDescent="0.25"/>
    <row r="551" s="20" customFormat="1" x14ac:dyDescent="0.25"/>
    <row r="552" s="20" customFormat="1" x14ac:dyDescent="0.25"/>
    <row r="553" s="20" customFormat="1" x14ac:dyDescent="0.25"/>
    <row r="554" s="20" customFormat="1" x14ac:dyDescent="0.25"/>
    <row r="555" s="20" customFormat="1" x14ac:dyDescent="0.25"/>
    <row r="556" s="20" customFormat="1" x14ac:dyDescent="0.25"/>
    <row r="557" s="20" customFormat="1" x14ac:dyDescent="0.25"/>
    <row r="558" s="20" customFormat="1" x14ac:dyDescent="0.25"/>
    <row r="559" s="20" customFormat="1" x14ac:dyDescent="0.25"/>
    <row r="560" s="20" customFormat="1" x14ac:dyDescent="0.25"/>
    <row r="561" s="20" customFormat="1" x14ac:dyDescent="0.25"/>
    <row r="562" s="20" customFormat="1" x14ac:dyDescent="0.25"/>
    <row r="563" s="20" customFormat="1" x14ac:dyDescent="0.25"/>
    <row r="564" s="20" customFormat="1" x14ac:dyDescent="0.25"/>
    <row r="565" s="20" customFormat="1" x14ac:dyDescent="0.25"/>
    <row r="566" s="20" customFormat="1" x14ac:dyDescent="0.25"/>
    <row r="567" s="20" customFormat="1" x14ac:dyDescent="0.25"/>
    <row r="568" s="20" customFormat="1" x14ac:dyDescent="0.25"/>
    <row r="569" s="20" customFormat="1" x14ac:dyDescent="0.25"/>
    <row r="570" s="20" customFormat="1" x14ac:dyDescent="0.25"/>
    <row r="571" s="20" customFormat="1" x14ac:dyDescent="0.25"/>
    <row r="572" s="20" customFormat="1" x14ac:dyDescent="0.25"/>
    <row r="573" s="20" customFormat="1" x14ac:dyDescent="0.25"/>
    <row r="574" s="20" customFormat="1" x14ac:dyDescent="0.25"/>
    <row r="575" s="20" customFormat="1" x14ac:dyDescent="0.25"/>
    <row r="576" s="20" customFormat="1" x14ac:dyDescent="0.25"/>
    <row r="577" s="20" customFormat="1" x14ac:dyDescent="0.25"/>
    <row r="578" s="20" customFormat="1" x14ac:dyDescent="0.25"/>
    <row r="579" s="20" customFormat="1" x14ac:dyDescent="0.25"/>
    <row r="580" s="20" customFormat="1" x14ac:dyDescent="0.25"/>
    <row r="581" s="20" customFormat="1" x14ac:dyDescent="0.25"/>
    <row r="582" s="20" customFormat="1" x14ac:dyDescent="0.25"/>
    <row r="583" s="20" customFormat="1" x14ac:dyDescent="0.25"/>
    <row r="584" s="20" customFormat="1" x14ac:dyDescent="0.25"/>
    <row r="585" s="20" customFormat="1" x14ac:dyDescent="0.25"/>
    <row r="586" s="20" customFormat="1" x14ac:dyDescent="0.25"/>
    <row r="587" s="20" customFormat="1" x14ac:dyDescent="0.25"/>
    <row r="588" s="20" customFormat="1" x14ac:dyDescent="0.25"/>
    <row r="589" s="20" customFormat="1" x14ac:dyDescent="0.25"/>
    <row r="590" s="20" customFormat="1" x14ac:dyDescent="0.25"/>
    <row r="591" s="20" customFormat="1" x14ac:dyDescent="0.25"/>
    <row r="592" s="20" customFormat="1" x14ac:dyDescent="0.25"/>
    <row r="593" s="20" customFormat="1" x14ac:dyDescent="0.25"/>
    <row r="594" s="20" customFormat="1" x14ac:dyDescent="0.25"/>
    <row r="595" s="20" customFormat="1" x14ac:dyDescent="0.25"/>
    <row r="596" s="20" customFormat="1" x14ac:dyDescent="0.25"/>
    <row r="597" s="20" customFormat="1" x14ac:dyDescent="0.25"/>
    <row r="598" s="20" customFormat="1" x14ac:dyDescent="0.25"/>
    <row r="599" s="20" customFormat="1" x14ac:dyDescent="0.25"/>
    <row r="600" s="20" customFormat="1" x14ac:dyDescent="0.25"/>
    <row r="601" s="20" customFormat="1" x14ac:dyDescent="0.25"/>
    <row r="602" s="20" customFormat="1" x14ac:dyDescent="0.25"/>
    <row r="603" s="20" customFormat="1" x14ac:dyDescent="0.25"/>
    <row r="604" s="20" customFormat="1" x14ac:dyDescent="0.25"/>
    <row r="605" s="20" customFormat="1" x14ac:dyDescent="0.25"/>
    <row r="606" s="20" customFormat="1" x14ac:dyDescent="0.25"/>
    <row r="607" s="20" customFormat="1" x14ac:dyDescent="0.25"/>
    <row r="608" s="20" customFormat="1" x14ac:dyDescent="0.25"/>
    <row r="609" s="20" customFormat="1" x14ac:dyDescent="0.25"/>
    <row r="610" s="20" customFormat="1" x14ac:dyDescent="0.25"/>
    <row r="611" s="20" customFormat="1" x14ac:dyDescent="0.25"/>
    <row r="612" s="20" customFormat="1" x14ac:dyDescent="0.25"/>
    <row r="613" s="20" customFormat="1" x14ac:dyDescent="0.25"/>
    <row r="614" s="20" customFormat="1" x14ac:dyDescent="0.25"/>
    <row r="615" s="20" customFormat="1" x14ac:dyDescent="0.25"/>
    <row r="616" s="20" customFormat="1" x14ac:dyDescent="0.25"/>
    <row r="617" s="20" customFormat="1" x14ac:dyDescent="0.25"/>
    <row r="618" s="20" customFormat="1" x14ac:dyDescent="0.25"/>
    <row r="619" s="20" customFormat="1" x14ac:dyDescent="0.25"/>
    <row r="620" s="20" customFormat="1" x14ac:dyDescent="0.25"/>
    <row r="621" s="20" customFormat="1" x14ac:dyDescent="0.25"/>
    <row r="622" s="20" customFormat="1" x14ac:dyDescent="0.25"/>
    <row r="623" s="20" customFormat="1" x14ac:dyDescent="0.25"/>
    <row r="624" s="20" customFormat="1" x14ac:dyDescent="0.25"/>
    <row r="625" s="20" customFormat="1" x14ac:dyDescent="0.25"/>
    <row r="626" s="20" customFormat="1" x14ac:dyDescent="0.25"/>
    <row r="627" s="20" customFormat="1" x14ac:dyDescent="0.25"/>
    <row r="628" s="20" customFormat="1" x14ac:dyDescent="0.25"/>
    <row r="629" s="20" customFormat="1" x14ac:dyDescent="0.25"/>
    <row r="630" s="20" customFormat="1" x14ac:dyDescent="0.25"/>
    <row r="631" s="20" customFormat="1" x14ac:dyDescent="0.25"/>
    <row r="632" s="20" customFormat="1" x14ac:dyDescent="0.25"/>
    <row r="633" s="20" customFormat="1" x14ac:dyDescent="0.25"/>
    <row r="634" s="20" customFormat="1" x14ac:dyDescent="0.25"/>
    <row r="635" s="20" customFormat="1" x14ac:dyDescent="0.25"/>
    <row r="636" s="20" customFormat="1" x14ac:dyDescent="0.25"/>
    <row r="637" s="20" customFormat="1" x14ac:dyDescent="0.25"/>
    <row r="638" s="20" customFormat="1" x14ac:dyDescent="0.25"/>
    <row r="639" s="20" customFormat="1" x14ac:dyDescent="0.25"/>
    <row r="640" s="20" customFormat="1" x14ac:dyDescent="0.25"/>
    <row r="641" s="20" customFormat="1" x14ac:dyDescent="0.25"/>
    <row r="642" s="20" customFormat="1" x14ac:dyDescent="0.25"/>
    <row r="643" s="20" customFormat="1" x14ac:dyDescent="0.25"/>
    <row r="644" s="20" customFormat="1" x14ac:dyDescent="0.25"/>
    <row r="645" s="20" customFormat="1" x14ac:dyDescent="0.25"/>
    <row r="646" s="20" customFormat="1" x14ac:dyDescent="0.25"/>
    <row r="647" s="20" customFormat="1" x14ac:dyDescent="0.25"/>
    <row r="648" s="20" customFormat="1" x14ac:dyDescent="0.25"/>
    <row r="649" s="20" customFormat="1" x14ac:dyDescent="0.25"/>
    <row r="650" s="20" customFormat="1" x14ac:dyDescent="0.25"/>
    <row r="651" s="20" customFormat="1" x14ac:dyDescent="0.25"/>
    <row r="652" s="20" customFormat="1" x14ac:dyDescent="0.25"/>
    <row r="653" s="20" customFormat="1" x14ac:dyDescent="0.25"/>
    <row r="654" s="20" customFormat="1" x14ac:dyDescent="0.25"/>
    <row r="655" s="20" customFormat="1" x14ac:dyDescent="0.25"/>
    <row r="656" s="20" customFormat="1" x14ac:dyDescent="0.25"/>
    <row r="657" s="20" customFormat="1" x14ac:dyDescent="0.25"/>
    <row r="658" s="20" customFormat="1" x14ac:dyDescent="0.25"/>
    <row r="659" s="20" customFormat="1" x14ac:dyDescent="0.25"/>
    <row r="660" s="20" customFormat="1" x14ac:dyDescent="0.25"/>
    <row r="661" s="20" customFormat="1" x14ac:dyDescent="0.25"/>
    <row r="662" s="20" customFormat="1" x14ac:dyDescent="0.25"/>
    <row r="663" s="20" customFormat="1" x14ac:dyDescent="0.25"/>
    <row r="664" s="20" customFormat="1" x14ac:dyDescent="0.25"/>
    <row r="665" s="20" customFormat="1" x14ac:dyDescent="0.25"/>
    <row r="666" s="20" customFormat="1" x14ac:dyDescent="0.25"/>
    <row r="667" s="20" customFormat="1" x14ac:dyDescent="0.25"/>
    <row r="668" s="20" customFormat="1" x14ac:dyDescent="0.25"/>
    <row r="669" s="20" customFormat="1" x14ac:dyDescent="0.25"/>
    <row r="670" s="20" customFormat="1" x14ac:dyDescent="0.25"/>
    <row r="671" s="20" customFormat="1" x14ac:dyDescent="0.25"/>
    <row r="672" s="20" customFormat="1" x14ac:dyDescent="0.25"/>
    <row r="673" s="20" customFormat="1" x14ac:dyDescent="0.25"/>
    <row r="674" s="20" customFormat="1" x14ac:dyDescent="0.25"/>
    <row r="675" s="20" customFormat="1" x14ac:dyDescent="0.25"/>
    <row r="676" s="20" customFormat="1" x14ac:dyDescent="0.25"/>
    <row r="677" s="20" customFormat="1" x14ac:dyDescent="0.25"/>
    <row r="678" s="20" customFormat="1" x14ac:dyDescent="0.25"/>
    <row r="679" s="20" customFormat="1" x14ac:dyDescent="0.25"/>
    <row r="680" s="20" customFormat="1" x14ac:dyDescent="0.25"/>
    <row r="681" s="20" customFormat="1" x14ac:dyDescent="0.25"/>
    <row r="682" s="20" customFormat="1" x14ac:dyDescent="0.25"/>
    <row r="683" s="20" customFormat="1" x14ac:dyDescent="0.25"/>
    <row r="684" s="20" customFormat="1" x14ac:dyDescent="0.25"/>
    <row r="685" s="20" customFormat="1" x14ac:dyDescent="0.25"/>
    <row r="686" s="20" customFormat="1" x14ac:dyDescent="0.25"/>
    <row r="687" s="20" customFormat="1" x14ac:dyDescent="0.25"/>
    <row r="688" s="20" customFormat="1" x14ac:dyDescent="0.25"/>
    <row r="689" s="20" customFormat="1" x14ac:dyDescent="0.25"/>
    <row r="690" s="20" customFormat="1" x14ac:dyDescent="0.25"/>
    <row r="691" s="20" customFormat="1" x14ac:dyDescent="0.25"/>
    <row r="692" s="20" customFormat="1" x14ac:dyDescent="0.25"/>
    <row r="693" s="20" customFormat="1" x14ac:dyDescent="0.25"/>
    <row r="694" s="20" customFormat="1" x14ac:dyDescent="0.25"/>
    <row r="695" s="20" customFormat="1" x14ac:dyDescent="0.25"/>
    <row r="696" s="20" customFormat="1" x14ac:dyDescent="0.25"/>
    <row r="697" s="20" customFormat="1" x14ac:dyDescent="0.25"/>
    <row r="698" s="20" customFormat="1" x14ac:dyDescent="0.25"/>
    <row r="699" s="20" customFormat="1" x14ac:dyDescent="0.25"/>
    <row r="700" s="20" customFormat="1" x14ac:dyDescent="0.25"/>
    <row r="701" s="20" customFormat="1" x14ac:dyDescent="0.25"/>
    <row r="702" s="20" customFormat="1" x14ac:dyDescent="0.25"/>
    <row r="703" s="20" customFormat="1" x14ac:dyDescent="0.25"/>
    <row r="704" s="20" customFormat="1" x14ac:dyDescent="0.25"/>
    <row r="705" s="20" customFormat="1" x14ac:dyDescent="0.25"/>
    <row r="706" s="20" customFormat="1" x14ac:dyDescent="0.25"/>
    <row r="707" s="20" customFormat="1" x14ac:dyDescent="0.25"/>
    <row r="708" s="20" customFormat="1" x14ac:dyDescent="0.25"/>
    <row r="709" s="20" customFormat="1" x14ac:dyDescent="0.25"/>
    <row r="710" s="20" customFormat="1" x14ac:dyDescent="0.25"/>
    <row r="711" s="20" customFormat="1" x14ac:dyDescent="0.25"/>
    <row r="712" s="20" customFormat="1" x14ac:dyDescent="0.25"/>
    <row r="713" s="20" customFormat="1" x14ac:dyDescent="0.25"/>
    <row r="714" s="20" customFormat="1" x14ac:dyDescent="0.25"/>
    <row r="715" s="20" customFormat="1" x14ac:dyDescent="0.25"/>
    <row r="716" s="20" customFormat="1" x14ac:dyDescent="0.25"/>
    <row r="717" s="20" customFormat="1" x14ac:dyDescent="0.25"/>
    <row r="718" s="20" customFormat="1" x14ac:dyDescent="0.25"/>
    <row r="719" s="20" customFormat="1" x14ac:dyDescent="0.25"/>
    <row r="720" s="20" customFormat="1" x14ac:dyDescent="0.25"/>
    <row r="721" s="20" customFormat="1" x14ac:dyDescent="0.25"/>
    <row r="722" s="20" customFormat="1" x14ac:dyDescent="0.25"/>
    <row r="723" s="20" customFormat="1" x14ac:dyDescent="0.25"/>
    <row r="724" s="20" customFormat="1" x14ac:dyDescent="0.25"/>
    <row r="725" s="20" customFormat="1" x14ac:dyDescent="0.25"/>
    <row r="726" s="20" customFormat="1" x14ac:dyDescent="0.25"/>
    <row r="727" s="20" customFormat="1" x14ac:dyDescent="0.25"/>
    <row r="728" s="20" customFormat="1" x14ac:dyDescent="0.25"/>
    <row r="729" s="20" customFormat="1" x14ac:dyDescent="0.25"/>
    <row r="730" s="20" customFormat="1" x14ac:dyDescent="0.25"/>
    <row r="731" s="20" customFormat="1" x14ac:dyDescent="0.25"/>
    <row r="732" s="20" customFormat="1" x14ac:dyDescent="0.25"/>
    <row r="733" s="20" customFormat="1" x14ac:dyDescent="0.25"/>
    <row r="734" s="20" customFormat="1" x14ac:dyDescent="0.25"/>
    <row r="735" s="20" customFormat="1" x14ac:dyDescent="0.25"/>
    <row r="736" s="20" customFormat="1" x14ac:dyDescent="0.25"/>
    <row r="737" s="20" customFormat="1" x14ac:dyDescent="0.25"/>
    <row r="738" s="20" customFormat="1" x14ac:dyDescent="0.25"/>
    <row r="739" s="20" customFormat="1" x14ac:dyDescent="0.25"/>
    <row r="740" s="20" customFormat="1" x14ac:dyDescent="0.25"/>
    <row r="741" s="20" customFormat="1" x14ac:dyDescent="0.25"/>
    <row r="742" s="20" customFormat="1" x14ac:dyDescent="0.25"/>
    <row r="743" s="20" customFormat="1" x14ac:dyDescent="0.25"/>
    <row r="744" s="20" customFormat="1" x14ac:dyDescent="0.25"/>
    <row r="745" s="20" customFormat="1" x14ac:dyDescent="0.25"/>
    <row r="746" s="20" customFormat="1" x14ac:dyDescent="0.25"/>
    <row r="747" s="20" customFormat="1" x14ac:dyDescent="0.25"/>
    <row r="748" s="20" customFormat="1" x14ac:dyDescent="0.25"/>
    <row r="749" s="20" customFormat="1" x14ac:dyDescent="0.25"/>
    <row r="750" s="20" customFormat="1" x14ac:dyDescent="0.25"/>
    <row r="751" s="20" customFormat="1" x14ac:dyDescent="0.25"/>
    <row r="752" s="20" customFormat="1" x14ac:dyDescent="0.25"/>
    <row r="753" s="20" customFormat="1" x14ac:dyDescent="0.25"/>
    <row r="754" s="20" customFormat="1" x14ac:dyDescent="0.25"/>
    <row r="755" s="20" customFormat="1" x14ac:dyDescent="0.25"/>
    <row r="756" s="20" customFormat="1" x14ac:dyDescent="0.25"/>
    <row r="757" s="20" customFormat="1" x14ac:dyDescent="0.25"/>
    <row r="758" s="20" customFormat="1" x14ac:dyDescent="0.25"/>
    <row r="759" s="20" customFormat="1" x14ac:dyDescent="0.25"/>
    <row r="760" s="20" customFormat="1" x14ac:dyDescent="0.25"/>
    <row r="761" s="20" customFormat="1" x14ac:dyDescent="0.25"/>
    <row r="762" s="20" customFormat="1" x14ac:dyDescent="0.25"/>
    <row r="763" s="20" customFormat="1" x14ac:dyDescent="0.25"/>
    <row r="764" s="20" customFormat="1" x14ac:dyDescent="0.25"/>
    <row r="765" s="20" customFormat="1" x14ac:dyDescent="0.25"/>
    <row r="766" s="20" customFormat="1" x14ac:dyDescent="0.25"/>
    <row r="767" s="20" customFormat="1" x14ac:dyDescent="0.25"/>
    <row r="768" s="20" customFormat="1" x14ac:dyDescent="0.25"/>
    <row r="769" s="20" customFormat="1" x14ac:dyDescent="0.25"/>
    <row r="770" s="20" customFormat="1" x14ac:dyDescent="0.25"/>
    <row r="771" s="20" customFormat="1" x14ac:dyDescent="0.25"/>
    <row r="772" s="20" customFormat="1" x14ac:dyDescent="0.25"/>
    <row r="773" s="20" customFormat="1" x14ac:dyDescent="0.25"/>
    <row r="774" s="20" customFormat="1" x14ac:dyDescent="0.25"/>
    <row r="775" s="20" customFormat="1" x14ac:dyDescent="0.25"/>
    <row r="776" s="20" customFormat="1" x14ac:dyDescent="0.25"/>
    <row r="777" s="20" customFormat="1" x14ac:dyDescent="0.25"/>
    <row r="778" s="20" customFormat="1" x14ac:dyDescent="0.25"/>
    <row r="779" s="20" customFormat="1" x14ac:dyDescent="0.25"/>
    <row r="780" s="20" customFormat="1" x14ac:dyDescent="0.25"/>
    <row r="781" s="20" customFormat="1" x14ac:dyDescent="0.25"/>
    <row r="782" s="20" customFormat="1" x14ac:dyDescent="0.25"/>
    <row r="783" s="20" customFormat="1" x14ac:dyDescent="0.25"/>
    <row r="784" s="20" customFormat="1" x14ac:dyDescent="0.25"/>
    <row r="785" s="20" customFormat="1" x14ac:dyDescent="0.25"/>
    <row r="786" s="20" customFormat="1" x14ac:dyDescent="0.25"/>
    <row r="787" s="20" customFormat="1" x14ac:dyDescent="0.25"/>
    <row r="788" s="20" customFormat="1" x14ac:dyDescent="0.25"/>
    <row r="789" s="20" customFormat="1" x14ac:dyDescent="0.25"/>
    <row r="790" s="20" customFormat="1" x14ac:dyDescent="0.25"/>
    <row r="791" s="20" customFormat="1" x14ac:dyDescent="0.25"/>
    <row r="792" s="20" customFormat="1" x14ac:dyDescent="0.25"/>
    <row r="793" s="20" customFormat="1" x14ac:dyDescent="0.25"/>
    <row r="794" s="20" customFormat="1" x14ac:dyDescent="0.25"/>
    <row r="795" s="20" customFormat="1" x14ac:dyDescent="0.25"/>
    <row r="796" s="20" customFormat="1" x14ac:dyDescent="0.25"/>
    <row r="797" s="20" customFormat="1" x14ac:dyDescent="0.25"/>
    <row r="798" s="20" customFormat="1" x14ac:dyDescent="0.25"/>
    <row r="799" s="20" customFormat="1" x14ac:dyDescent="0.25"/>
    <row r="800" s="20" customFormat="1" x14ac:dyDescent="0.25"/>
    <row r="801" s="20" customFormat="1" x14ac:dyDescent="0.25"/>
    <row r="802" s="20" customFormat="1" x14ac:dyDescent="0.25"/>
    <row r="803" s="20" customFormat="1" x14ac:dyDescent="0.25"/>
    <row r="804" s="20" customFormat="1" x14ac:dyDescent="0.25"/>
    <row r="805" s="20" customFormat="1" x14ac:dyDescent="0.25"/>
    <row r="806" s="20" customFormat="1" x14ac:dyDescent="0.25"/>
    <row r="807" s="20" customFormat="1" x14ac:dyDescent="0.25"/>
    <row r="808" s="20" customFormat="1" x14ac:dyDescent="0.25"/>
    <row r="809" s="20" customFormat="1" x14ac:dyDescent="0.25"/>
    <row r="810" s="20" customFormat="1" x14ac:dyDescent="0.25"/>
    <row r="811" s="20" customFormat="1" x14ac:dyDescent="0.25"/>
    <row r="812" s="20" customFormat="1" x14ac:dyDescent="0.25"/>
    <row r="813" s="20" customFormat="1" x14ac:dyDescent="0.25"/>
    <row r="814" s="20" customFormat="1" x14ac:dyDescent="0.25"/>
    <row r="815" s="20" customFormat="1" x14ac:dyDescent="0.25"/>
    <row r="816" s="20" customFormat="1" x14ac:dyDescent="0.25"/>
    <row r="817" s="20" customFormat="1" x14ac:dyDescent="0.25"/>
    <row r="818" s="20" customFormat="1" x14ac:dyDescent="0.25"/>
    <row r="819" s="20" customFormat="1" x14ac:dyDescent="0.25"/>
    <row r="820" s="20" customFormat="1" x14ac:dyDescent="0.25"/>
    <row r="821" s="20" customFormat="1" x14ac:dyDescent="0.25"/>
    <row r="822" s="20" customFormat="1" x14ac:dyDescent="0.25"/>
    <row r="823" s="20" customFormat="1" x14ac:dyDescent="0.25"/>
    <row r="824" s="20" customFormat="1" x14ac:dyDescent="0.25"/>
    <row r="825" s="20" customFormat="1" x14ac:dyDescent="0.25"/>
    <row r="826" s="20" customFormat="1" x14ac:dyDescent="0.25"/>
    <row r="827" s="20" customFormat="1" x14ac:dyDescent="0.25"/>
    <row r="828" s="20" customFormat="1" x14ac:dyDescent="0.25"/>
    <row r="829" s="20" customFormat="1" x14ac:dyDescent="0.25"/>
    <row r="830" s="20" customFormat="1" x14ac:dyDescent="0.25"/>
    <row r="831" s="20" customFormat="1" x14ac:dyDescent="0.25"/>
    <row r="832" s="20" customFormat="1" x14ac:dyDescent="0.25"/>
    <row r="833" s="20" customFormat="1" x14ac:dyDescent="0.25"/>
    <row r="834" s="20" customFormat="1" x14ac:dyDescent="0.25"/>
    <row r="835" s="20" customFormat="1" x14ac:dyDescent="0.25"/>
    <row r="836" s="20" customFormat="1" x14ac:dyDescent="0.25"/>
    <row r="837" s="20" customFormat="1" x14ac:dyDescent="0.25"/>
    <row r="838" s="20" customFormat="1" x14ac:dyDescent="0.25"/>
    <row r="839" s="20" customFormat="1" x14ac:dyDescent="0.25"/>
    <row r="840" s="20" customFormat="1" x14ac:dyDescent="0.25"/>
    <row r="841" s="20" customFormat="1" x14ac:dyDescent="0.25"/>
    <row r="842" s="20" customFormat="1" x14ac:dyDescent="0.25"/>
    <row r="843" s="20" customFormat="1" x14ac:dyDescent="0.25"/>
    <row r="844" s="20" customFormat="1" x14ac:dyDescent="0.25"/>
    <row r="845" s="20" customFormat="1" x14ac:dyDescent="0.25"/>
    <row r="846" s="20" customFormat="1" x14ac:dyDescent="0.25"/>
    <row r="847" s="20" customFormat="1" x14ac:dyDescent="0.25"/>
    <row r="848" s="20" customFormat="1" x14ac:dyDescent="0.25"/>
    <row r="849" s="20" customFormat="1" x14ac:dyDescent="0.25"/>
    <row r="850" s="20" customFormat="1" x14ac:dyDescent="0.25"/>
    <row r="851" s="20" customFormat="1" x14ac:dyDescent="0.25"/>
    <row r="852" s="20" customFormat="1" x14ac:dyDescent="0.25"/>
    <row r="853" s="20" customFormat="1" x14ac:dyDescent="0.25"/>
    <row r="854" s="20" customFormat="1" x14ac:dyDescent="0.25"/>
    <row r="855" s="20" customFormat="1" x14ac:dyDescent="0.25"/>
    <row r="856" s="20" customFormat="1" x14ac:dyDescent="0.25"/>
    <row r="857" s="20" customFormat="1" x14ac:dyDescent="0.25"/>
    <row r="858" s="20" customFormat="1" x14ac:dyDescent="0.25"/>
    <row r="859" s="20" customFormat="1" x14ac:dyDescent="0.25"/>
    <row r="860" s="20" customFormat="1" x14ac:dyDescent="0.25"/>
    <row r="861" s="20" customFormat="1" x14ac:dyDescent="0.25"/>
    <row r="862" s="20" customFormat="1" x14ac:dyDescent="0.25"/>
    <row r="863" s="20" customFormat="1" x14ac:dyDescent="0.25"/>
    <row r="864" s="20" customFormat="1" x14ac:dyDescent="0.25"/>
    <row r="865" s="20" customFormat="1" x14ac:dyDescent="0.25"/>
    <row r="866" s="20" customFormat="1" x14ac:dyDescent="0.25"/>
    <row r="867" s="20" customFormat="1" x14ac:dyDescent="0.25"/>
    <row r="868" s="20" customFormat="1" x14ac:dyDescent="0.25"/>
    <row r="869" s="20" customFormat="1" x14ac:dyDescent="0.25"/>
    <row r="870" s="20" customFormat="1" x14ac:dyDescent="0.25"/>
    <row r="871" s="20" customFormat="1" x14ac:dyDescent="0.25"/>
    <row r="872" s="20" customFormat="1" x14ac:dyDescent="0.25"/>
    <row r="873" s="20" customFormat="1" x14ac:dyDescent="0.25"/>
    <row r="874" s="20" customFormat="1" x14ac:dyDescent="0.25"/>
    <row r="875" s="20" customFormat="1" x14ac:dyDescent="0.25"/>
    <row r="876" s="20" customFormat="1" x14ac:dyDescent="0.25"/>
    <row r="877" s="20" customFormat="1" x14ac:dyDescent="0.25"/>
    <row r="878" s="20" customFormat="1" x14ac:dyDescent="0.25"/>
    <row r="879" s="20" customFormat="1" x14ac:dyDescent="0.25"/>
    <row r="880" s="20" customFormat="1" x14ac:dyDescent="0.25"/>
    <row r="881" s="20" customFormat="1" x14ac:dyDescent="0.25"/>
    <row r="882" s="20" customFormat="1" x14ac:dyDescent="0.25"/>
    <row r="883" s="20" customFormat="1" x14ac:dyDescent="0.25"/>
    <row r="884" s="20" customFormat="1" x14ac:dyDescent="0.25"/>
    <row r="885" s="20" customFormat="1" x14ac:dyDescent="0.25"/>
    <row r="886" s="20" customFormat="1" x14ac:dyDescent="0.25"/>
    <row r="887" s="20" customFormat="1" x14ac:dyDescent="0.25"/>
    <row r="888" s="20" customFormat="1" x14ac:dyDescent="0.25"/>
    <row r="889" s="20" customFormat="1" x14ac:dyDescent="0.25"/>
    <row r="890" s="20" customFormat="1" x14ac:dyDescent="0.25"/>
    <row r="891" s="20" customFormat="1" x14ac:dyDescent="0.25"/>
    <row r="892" s="20" customFormat="1" x14ac:dyDescent="0.25"/>
    <row r="893" s="20" customFormat="1" x14ac:dyDescent="0.25"/>
    <row r="894" s="20" customFormat="1" x14ac:dyDescent="0.25"/>
    <row r="895" s="20" customFormat="1" x14ac:dyDescent="0.25"/>
    <row r="896" s="20" customFormat="1" x14ac:dyDescent="0.25"/>
    <row r="897" s="20" customFormat="1" x14ac:dyDescent="0.25"/>
    <row r="898" s="20" customFormat="1" x14ac:dyDescent="0.25"/>
    <row r="899" s="20" customFormat="1" x14ac:dyDescent="0.25"/>
    <row r="900" s="20" customFormat="1" x14ac:dyDescent="0.25"/>
    <row r="901" s="20" customFormat="1" x14ac:dyDescent="0.25"/>
    <row r="902" s="20" customFormat="1" x14ac:dyDescent="0.25"/>
  </sheetData>
  <customSheetViews>
    <customSheetView guid="{C8C7977F-B6BF-432B-A1A7-559450D521AF}" scale="83">
      <selection activeCell="B37" sqref="B37"/>
      <pageMargins left="0.75" right="0.75" top="1" bottom="1" header="0.5" footer="0.5"/>
      <pageSetup paperSize="9" orientation="portrait" r:id="rId1"/>
      <headerFooter alignWithMargins="0"/>
    </customSheetView>
  </customSheetViews>
  <mergeCells count="3">
    <mergeCell ref="A9:D9"/>
    <mergeCell ref="A12:D12"/>
    <mergeCell ref="A1:E1"/>
  </mergeCells>
  <conditionalFormatting sqref="A25:C25">
    <cfRule type="expression" dxfId="103" priority="6" stopIfTrue="1">
      <formula>$A$12="elektriciteit"</formula>
    </cfRule>
  </conditionalFormatting>
  <conditionalFormatting sqref="C18:C31">
    <cfRule type="expression" dxfId="102" priority="2" stopIfTrue="1">
      <formula>$E$6="ex-ante"</formula>
    </cfRule>
  </conditionalFormatting>
  <conditionalFormatting sqref="A29:C29 A22:C24">
    <cfRule type="expression" dxfId="101" priority="1" stopIfTrue="1">
      <formula>$A$12="gas"</formula>
    </cfRule>
  </conditionalFormatting>
  <pageMargins left="0.74803149606299213" right="0.74803149606299213" top="0.98425196850393704" bottom="0.98425196850393704" header="0.51181102362204722" footer="0.51181102362204722"/>
  <pageSetup paperSize="8" orientation="portrait" r:id="rId2"/>
  <headerFooter alignWithMargins="0"/>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R154"/>
  <sheetViews>
    <sheetView topLeftCell="A55" zoomScale="85" zoomScaleNormal="85" workbookViewId="0">
      <selection activeCell="D52" sqref="D52"/>
    </sheetView>
  </sheetViews>
  <sheetFormatPr defaultColWidth="8.81640625" defaultRowHeight="12.5" x14ac:dyDescent="0.25"/>
  <cols>
    <col min="1" max="1" width="3.453125" style="48" customWidth="1"/>
    <col min="2" max="2" width="60.453125" style="122" customWidth="1"/>
    <col min="3" max="3" width="16.453125" style="50" customWidth="1"/>
    <col min="4" max="4" width="26.1796875" style="48" customWidth="1"/>
    <col min="5" max="5" width="12.81640625" style="50" customWidth="1"/>
    <col min="6" max="6" width="2.54296875" style="48" customWidth="1"/>
    <col min="7" max="7" width="26.1796875" style="50" customWidth="1"/>
    <col min="8" max="16384" width="8.81640625" style="48"/>
  </cols>
  <sheetData>
    <row r="1" spans="1:18" ht="18.5" thickBot="1" x14ac:dyDescent="0.3">
      <c r="A1" s="1001" t="s">
        <v>123</v>
      </c>
      <c r="B1" s="1002"/>
      <c r="C1" s="1002"/>
      <c r="D1" s="1002"/>
      <c r="E1" s="1002"/>
      <c r="F1" s="1002"/>
      <c r="G1" s="1003"/>
      <c r="N1" s="483" t="str">
        <f>+TITELBLAD!B18</f>
        <v>Rapportering over boekjaar:</v>
      </c>
      <c r="O1" s="483"/>
      <c r="P1" s="483"/>
      <c r="Q1" s="483">
        <f>+TITELBLAD!E18</f>
        <v>2019</v>
      </c>
      <c r="R1" s="483" t="str">
        <f>+TITELBLAD!F18</f>
        <v>ex-ante</v>
      </c>
    </row>
    <row r="2" spans="1:18" x14ac:dyDescent="0.25">
      <c r="N2" s="483"/>
      <c r="O2" s="483"/>
      <c r="P2" s="483"/>
      <c r="Q2" s="483"/>
      <c r="R2" s="483"/>
    </row>
    <row r="3" spans="1:18" ht="13" x14ac:dyDescent="0.25">
      <c r="B3" s="49" t="s">
        <v>62</v>
      </c>
      <c r="E3" s="48"/>
      <c r="G3" s="48"/>
      <c r="H3" s="50"/>
      <c r="N3" s="483"/>
      <c r="O3" s="483"/>
      <c r="P3" s="483"/>
      <c r="Q3" s="483"/>
      <c r="R3" s="483"/>
    </row>
    <row r="4" spans="1:18" ht="13" x14ac:dyDescent="0.25">
      <c r="B4" s="51" t="s">
        <v>183</v>
      </c>
      <c r="E4" s="48"/>
      <c r="G4" s="48"/>
      <c r="H4" s="50"/>
    </row>
    <row r="5" spans="1:18" ht="13" x14ac:dyDescent="0.25">
      <c r="B5" s="120"/>
      <c r="E5" s="48"/>
      <c r="G5" s="48"/>
      <c r="H5" s="50"/>
    </row>
    <row r="6" spans="1:18" ht="13" x14ac:dyDescent="0.25">
      <c r="B6" s="121" t="s">
        <v>214</v>
      </c>
      <c r="E6" s="48"/>
      <c r="G6" s="48"/>
      <c r="H6" s="50"/>
    </row>
    <row r="7" spans="1:18" ht="13" x14ac:dyDescent="0.25">
      <c r="B7" s="51" t="s">
        <v>285</v>
      </c>
      <c r="E7" s="48"/>
      <c r="G7" s="48"/>
      <c r="H7" s="50"/>
    </row>
    <row r="8" spans="1:18" ht="13" x14ac:dyDescent="0.25">
      <c r="B8" s="120"/>
      <c r="E8" s="48"/>
      <c r="G8" s="48"/>
      <c r="H8" s="50"/>
    </row>
    <row r="9" spans="1:18" x14ac:dyDescent="0.25">
      <c r="E9" s="48"/>
      <c r="G9" s="48"/>
      <c r="H9" s="50"/>
    </row>
    <row r="10" spans="1:18" ht="13" x14ac:dyDescent="0.25">
      <c r="D10" s="123" t="s">
        <v>0</v>
      </c>
    </row>
    <row r="11" spans="1:18" x14ac:dyDescent="0.25">
      <c r="D11" s="124" t="s">
        <v>2</v>
      </c>
    </row>
    <row r="12" spans="1:18" x14ac:dyDescent="0.25">
      <c r="D12" s="125">
        <f>'T2'!D6</f>
        <v>2019</v>
      </c>
    </row>
    <row r="13" spans="1:18" x14ac:dyDescent="0.25">
      <c r="D13" s="124" t="str">
        <f>+TITELBLAD!$C$7</f>
        <v>Naam distributienetbeheerder</v>
      </c>
    </row>
    <row r="14" spans="1:18" x14ac:dyDescent="0.25">
      <c r="D14" s="125" t="str">
        <f>TITELBLAD!$C$12</f>
        <v>elektriciteit</v>
      </c>
    </row>
    <row r="15" spans="1:18" x14ac:dyDescent="0.25">
      <c r="D15" s="126"/>
    </row>
    <row r="16" spans="1:18" x14ac:dyDescent="0.25">
      <c r="B16" s="1004" t="s">
        <v>195</v>
      </c>
      <c r="C16" s="1007" t="s">
        <v>196</v>
      </c>
      <c r="D16" s="1010"/>
      <c r="E16" s="1011" t="s">
        <v>197</v>
      </c>
      <c r="G16" s="1011" t="s">
        <v>286</v>
      </c>
    </row>
    <row r="17" spans="1:7" x14ac:dyDescent="0.25">
      <c r="B17" s="1005"/>
      <c r="C17" s="1008"/>
      <c r="D17" s="1010"/>
      <c r="E17" s="1012"/>
      <c r="G17" s="1012"/>
    </row>
    <row r="18" spans="1:7" x14ac:dyDescent="0.25">
      <c r="B18" s="1006"/>
      <c r="C18" s="1009"/>
      <c r="D18" s="1010"/>
      <c r="E18" s="1013"/>
      <c r="G18" s="1013"/>
    </row>
    <row r="20" spans="1:7" ht="55.5" customHeight="1" x14ac:dyDescent="0.25">
      <c r="A20" s="48">
        <v>1</v>
      </c>
      <c r="B20" s="127" t="s">
        <v>243</v>
      </c>
      <c r="C20" s="7" t="s">
        <v>194</v>
      </c>
      <c r="D20" s="134"/>
      <c r="E20" s="128"/>
      <c r="G20" s="128"/>
    </row>
    <row r="21" spans="1:7" ht="20.25" customHeight="1" x14ac:dyDescent="0.25">
      <c r="B21" s="702" t="s">
        <v>215</v>
      </c>
      <c r="C21" s="830"/>
      <c r="D21" s="780">
        <f>-T4B!G175</f>
        <v>0</v>
      </c>
      <c r="E21" s="792" t="s">
        <v>5</v>
      </c>
      <c r="G21" s="644"/>
    </row>
    <row r="22" spans="1:7" ht="21.75" customHeight="1" x14ac:dyDescent="0.25">
      <c r="B22" s="702" t="s">
        <v>216</v>
      </c>
      <c r="C22" s="642"/>
      <c r="D22" s="780">
        <f>-T4B!G176</f>
        <v>0</v>
      </c>
      <c r="E22" s="792" t="s">
        <v>5</v>
      </c>
      <c r="G22" s="644"/>
    </row>
    <row r="23" spans="1:7" ht="21.75" customHeight="1" x14ac:dyDescent="0.25">
      <c r="B23" s="702" t="s">
        <v>217</v>
      </c>
      <c r="C23" s="642"/>
      <c r="D23" s="780">
        <f>-T4B!G177</f>
        <v>0</v>
      </c>
      <c r="E23" s="792" t="s">
        <v>5</v>
      </c>
      <c r="G23" s="644"/>
    </row>
    <row r="24" spans="1:7" ht="21.75" customHeight="1" x14ac:dyDescent="0.25">
      <c r="B24" s="702" t="s">
        <v>218</v>
      </c>
      <c r="C24" s="642"/>
      <c r="D24" s="780">
        <f>-T4B!G178</f>
        <v>0</v>
      </c>
      <c r="E24" s="792" t="s">
        <v>5</v>
      </c>
      <c r="G24" s="644"/>
    </row>
    <row r="25" spans="1:7" ht="33" customHeight="1" x14ac:dyDescent="0.25">
      <c r="B25" s="702" t="s">
        <v>219</v>
      </c>
      <c r="C25" s="642"/>
      <c r="D25" s="780">
        <f>-T4B!G179</f>
        <v>0</v>
      </c>
      <c r="E25" s="792" t="s">
        <v>5</v>
      </c>
      <c r="G25" s="644"/>
    </row>
    <row r="26" spans="1:7" ht="23.25" customHeight="1" x14ac:dyDescent="0.25">
      <c r="B26" s="702" t="s">
        <v>220</v>
      </c>
      <c r="C26" s="642"/>
      <c r="D26" s="780">
        <f>-T4B!G180</f>
        <v>0</v>
      </c>
      <c r="E26" s="792" t="s">
        <v>5</v>
      </c>
      <c r="G26" s="644"/>
    </row>
    <row r="27" spans="1:7" ht="32.25" customHeight="1" x14ac:dyDescent="0.25">
      <c r="B27" s="702" t="s">
        <v>221</v>
      </c>
      <c r="C27" s="642"/>
      <c r="D27" s="780">
        <f>-T4B!G181</f>
        <v>0</v>
      </c>
      <c r="E27" s="792" t="s">
        <v>5</v>
      </c>
      <c r="G27" s="644"/>
    </row>
    <row r="28" spans="1:7" ht="30.75" customHeight="1" x14ac:dyDescent="0.25">
      <c r="B28" s="702" t="s">
        <v>222</v>
      </c>
      <c r="C28" s="642"/>
      <c r="D28" s="780">
        <f>-T4B!G182</f>
        <v>0</v>
      </c>
      <c r="E28" s="792" t="s">
        <v>5</v>
      </c>
      <c r="G28" s="644"/>
    </row>
    <row r="29" spans="1:7" s="130" customFormat="1" ht="16.5" customHeight="1" x14ac:dyDescent="0.25">
      <c r="B29" s="815"/>
      <c r="C29" s="814"/>
      <c r="D29" s="816"/>
      <c r="E29" s="817"/>
      <c r="G29" s="151"/>
    </row>
    <row r="30" spans="1:7" ht="49.5" customHeight="1" x14ac:dyDescent="0.25">
      <c r="A30" s="48">
        <f>+A20+1</f>
        <v>2</v>
      </c>
      <c r="B30" s="127" t="s">
        <v>244</v>
      </c>
      <c r="C30" s="7" t="s">
        <v>314</v>
      </c>
      <c r="D30" s="837">
        <f>-VLOOKUP(D12,T4C!A91:B94,2,FALSE)</f>
        <v>0</v>
      </c>
      <c r="E30" s="789" t="s">
        <v>5</v>
      </c>
      <c r="F30" s="685"/>
      <c r="G30" s="789"/>
    </row>
    <row r="31" spans="1:7" s="130" customFormat="1" ht="13" x14ac:dyDescent="0.25">
      <c r="B31" s="150"/>
      <c r="C31" s="829"/>
      <c r="D31" s="131"/>
      <c r="E31" s="132"/>
    </row>
    <row r="32" spans="1:7" ht="72.75" customHeight="1" x14ac:dyDescent="0.25">
      <c r="A32" s="48">
        <f>A30+1</f>
        <v>3</v>
      </c>
      <c r="B32" s="127" t="s">
        <v>254</v>
      </c>
      <c r="C32" s="643" t="s">
        <v>234</v>
      </c>
      <c r="D32" s="667"/>
      <c r="E32" s="128"/>
      <c r="G32" s="128"/>
    </row>
    <row r="33" spans="1:9" ht="24" customHeight="1" x14ac:dyDescent="0.25">
      <c r="B33" s="702" t="s">
        <v>215</v>
      </c>
      <c r="C33" s="642"/>
      <c r="D33" s="780">
        <f>-T5B!G159</f>
        <v>0</v>
      </c>
      <c r="E33" s="792" t="s">
        <v>5</v>
      </c>
      <c r="G33" s="644"/>
    </row>
    <row r="34" spans="1:9" ht="21.75" customHeight="1" x14ac:dyDescent="0.25">
      <c r="B34" s="702" t="s">
        <v>216</v>
      </c>
      <c r="C34" s="642"/>
      <c r="D34" s="780">
        <f>-T5B!G160</f>
        <v>0</v>
      </c>
      <c r="E34" s="792" t="s">
        <v>5</v>
      </c>
      <c r="G34" s="644"/>
    </row>
    <row r="35" spans="1:9" ht="21.75" customHeight="1" x14ac:dyDescent="0.25">
      <c r="B35" s="702" t="s">
        <v>218</v>
      </c>
      <c r="C35" s="642"/>
      <c r="D35" s="780">
        <f>-T5B!G161</f>
        <v>0</v>
      </c>
      <c r="E35" s="792" t="s">
        <v>5</v>
      </c>
      <c r="G35" s="644"/>
    </row>
    <row r="36" spans="1:9" ht="30" customHeight="1" x14ac:dyDescent="0.25">
      <c r="B36" s="702" t="s">
        <v>219</v>
      </c>
      <c r="C36" s="642"/>
      <c r="D36" s="780">
        <f>-T5B!G162</f>
        <v>0</v>
      </c>
      <c r="E36" s="792" t="s">
        <v>5</v>
      </c>
      <c r="G36" s="644"/>
    </row>
    <row r="37" spans="1:9" ht="23.25" customHeight="1" x14ac:dyDescent="0.25">
      <c r="B37" s="702" t="s">
        <v>220</v>
      </c>
      <c r="C37" s="642"/>
      <c r="D37" s="780">
        <f>-T5B!G163</f>
        <v>0</v>
      </c>
      <c r="E37" s="792" t="s">
        <v>5</v>
      </c>
      <c r="G37" s="644"/>
    </row>
    <row r="38" spans="1:9" ht="30" customHeight="1" x14ac:dyDescent="0.25">
      <c r="B38" s="702" t="s">
        <v>221</v>
      </c>
      <c r="C38" s="642"/>
      <c r="D38" s="780">
        <f>-T5B!G164</f>
        <v>0</v>
      </c>
      <c r="E38" s="792" t="s">
        <v>5</v>
      </c>
      <c r="G38" s="644"/>
    </row>
    <row r="39" spans="1:9" ht="31.5" customHeight="1" x14ac:dyDescent="0.25">
      <c r="B39" s="702" t="s">
        <v>222</v>
      </c>
      <c r="C39" s="642"/>
      <c r="D39" s="780">
        <f>-T5B!G165</f>
        <v>0</v>
      </c>
      <c r="E39" s="792" t="s">
        <v>5</v>
      </c>
      <c r="G39" s="644"/>
    </row>
    <row r="40" spans="1:9" s="130" customFormat="1" ht="13" x14ac:dyDescent="0.25">
      <c r="B40" s="150"/>
      <c r="C40" s="131"/>
      <c r="D40" s="131"/>
      <c r="E40" s="132"/>
      <c r="F40" s="48"/>
      <c r="G40" s="132"/>
      <c r="H40" s="48"/>
      <c r="I40" s="48"/>
    </row>
    <row r="41" spans="1:9" ht="59.25" customHeight="1" x14ac:dyDescent="0.25">
      <c r="A41" s="48">
        <f>A32+1</f>
        <v>4</v>
      </c>
      <c r="B41" s="127" t="s">
        <v>255</v>
      </c>
      <c r="C41" s="643" t="s">
        <v>269</v>
      </c>
      <c r="D41" s="667"/>
      <c r="E41" s="128"/>
      <c r="G41" s="128"/>
    </row>
    <row r="42" spans="1:9" s="20" customFormat="1" ht="22.5" customHeight="1" x14ac:dyDescent="0.25">
      <c r="A42" s="48"/>
      <c r="B42" s="787" t="s">
        <v>215</v>
      </c>
      <c r="C42" s="790"/>
      <c r="D42" s="912">
        <f>IF($D$12=2017,"0,00",-T6B!G138)</f>
        <v>0</v>
      </c>
      <c r="E42" s="789" t="s">
        <v>5</v>
      </c>
      <c r="F42" s="48"/>
      <c r="G42" s="128"/>
    </row>
    <row r="43" spans="1:9" s="20" customFormat="1" ht="23.25" customHeight="1" x14ac:dyDescent="0.25">
      <c r="A43" s="48"/>
      <c r="B43" s="787" t="s">
        <v>216</v>
      </c>
      <c r="C43" s="790"/>
      <c r="D43" s="912">
        <f>IF($D$12=2017,"0,00",-T6B!G139)</f>
        <v>0</v>
      </c>
      <c r="E43" s="789" t="s">
        <v>5</v>
      </c>
      <c r="F43" s="48"/>
      <c r="G43" s="128"/>
    </row>
    <row r="44" spans="1:9" s="20" customFormat="1" ht="19.5" customHeight="1" x14ac:dyDescent="0.25">
      <c r="A44" s="48"/>
      <c r="B44" s="787" t="s">
        <v>217</v>
      </c>
      <c r="C44" s="790"/>
      <c r="D44" s="912">
        <f>IF($D$12=2017,"0,00",-T6B!G140)</f>
        <v>0</v>
      </c>
      <c r="E44" s="789" t="s">
        <v>5</v>
      </c>
      <c r="F44" s="48"/>
      <c r="G44" s="128"/>
    </row>
    <row r="45" spans="1:9" s="20" customFormat="1" ht="19.5" customHeight="1" x14ac:dyDescent="0.25">
      <c r="A45" s="48"/>
      <c r="B45" s="787" t="s">
        <v>218</v>
      </c>
      <c r="C45" s="790"/>
      <c r="D45" s="912">
        <f>IF($D$12=2017,"0,00",-T6B!G141)</f>
        <v>0</v>
      </c>
      <c r="E45" s="789" t="s">
        <v>5</v>
      </c>
      <c r="F45" s="48"/>
      <c r="G45" s="128"/>
    </row>
    <row r="46" spans="1:9" s="20" customFormat="1" ht="31.5" customHeight="1" x14ac:dyDescent="0.25">
      <c r="A46" s="48"/>
      <c r="B46" s="787" t="s">
        <v>219</v>
      </c>
      <c r="C46" s="790"/>
      <c r="D46" s="912">
        <f>IF($D$12=2017,"0,00",-T6B!G142)</f>
        <v>0</v>
      </c>
      <c r="E46" s="789" t="s">
        <v>5</v>
      </c>
      <c r="F46" s="48"/>
      <c r="G46" s="128"/>
    </row>
    <row r="47" spans="1:9" s="20" customFormat="1" ht="20.25" customHeight="1" x14ac:dyDescent="0.25">
      <c r="A47" s="48"/>
      <c r="B47" s="787" t="s">
        <v>220</v>
      </c>
      <c r="C47" s="790"/>
      <c r="D47" s="912">
        <f>IF($D$12=2017,"0,00",-T6B!G143)</f>
        <v>0</v>
      </c>
      <c r="E47" s="789" t="s">
        <v>5</v>
      </c>
      <c r="F47" s="48"/>
      <c r="G47" s="128"/>
    </row>
    <row r="48" spans="1:9" s="20" customFormat="1" ht="32.25" customHeight="1" x14ac:dyDescent="0.25">
      <c r="A48" s="48"/>
      <c r="B48" s="787" t="s">
        <v>221</v>
      </c>
      <c r="C48" s="790"/>
      <c r="D48" s="912">
        <f>IF($D$12=2017,"0,00",-T6B!G144)</f>
        <v>0</v>
      </c>
      <c r="E48" s="789" t="s">
        <v>5</v>
      </c>
      <c r="F48" s="48"/>
      <c r="G48" s="128"/>
    </row>
    <row r="49" spans="1:9" s="20" customFormat="1" ht="32.25" customHeight="1" x14ac:dyDescent="0.25">
      <c r="A49" s="48"/>
      <c r="B49" s="787" t="s">
        <v>222</v>
      </c>
      <c r="C49" s="790"/>
      <c r="D49" s="912">
        <f>IF($D$12=2017,"0,00",-T6B!G145)</f>
        <v>0</v>
      </c>
      <c r="E49" s="789" t="s">
        <v>5</v>
      </c>
      <c r="F49" s="48"/>
      <c r="G49" s="128"/>
    </row>
    <row r="50" spans="1:9" s="130" customFormat="1" ht="13" x14ac:dyDescent="0.25">
      <c r="B50" s="150"/>
      <c r="C50" s="713"/>
      <c r="D50" s="713"/>
      <c r="E50" s="132"/>
      <c r="F50" s="48"/>
      <c r="G50" s="132"/>
      <c r="H50" s="48"/>
      <c r="I50" s="48"/>
    </row>
    <row r="51" spans="1:9" ht="59.25" customHeight="1" x14ac:dyDescent="0.25">
      <c r="A51" s="48">
        <f>+A41+1</f>
        <v>5</v>
      </c>
      <c r="B51" s="127" t="s">
        <v>273</v>
      </c>
      <c r="C51" s="643" t="s">
        <v>128</v>
      </c>
      <c r="D51" s="683"/>
      <c r="E51" s="128"/>
      <c r="G51" s="128"/>
    </row>
    <row r="52" spans="1:9" s="20" customFormat="1" ht="22.5" customHeight="1" x14ac:dyDescent="0.25">
      <c r="A52" s="48"/>
      <c r="B52" s="787" t="s">
        <v>215</v>
      </c>
      <c r="C52" s="788"/>
      <c r="D52" s="838">
        <f>IF(D12=2017,"0,00",IF(D12=2018,"0,00",(-VLOOKUP(D12,'T7'!A66:B67,2,FALSE))))</f>
        <v>0</v>
      </c>
      <c r="E52" s="789" t="s">
        <v>5</v>
      </c>
      <c r="F52" s="735"/>
      <c r="G52" s="789"/>
    </row>
    <row r="53" spans="1:9" s="130" customFormat="1" ht="13" x14ac:dyDescent="0.25">
      <c r="B53" s="150"/>
      <c r="C53" s="131"/>
      <c r="D53" s="131"/>
      <c r="E53" s="132"/>
      <c r="F53" s="48"/>
      <c r="G53" s="132"/>
      <c r="H53" s="48"/>
      <c r="I53" s="48"/>
    </row>
    <row r="54" spans="1:9" ht="59.25" customHeight="1" x14ac:dyDescent="0.25">
      <c r="A54" s="48">
        <f>+A51+1</f>
        <v>6</v>
      </c>
      <c r="B54" s="127" t="s">
        <v>288</v>
      </c>
      <c r="C54" s="643" t="s">
        <v>129</v>
      </c>
      <c r="D54" s="134"/>
      <c r="E54" s="128"/>
      <c r="G54" s="128"/>
    </row>
    <row r="55" spans="1:9" s="20" customFormat="1" ht="24" customHeight="1" x14ac:dyDescent="0.25">
      <c r="A55" s="48"/>
      <c r="B55" s="702" t="s">
        <v>215</v>
      </c>
      <c r="C55" s="135"/>
      <c r="D55" s="791">
        <f>-'T8'!G230</f>
        <v>0</v>
      </c>
      <c r="E55" s="789" t="s">
        <v>5</v>
      </c>
      <c r="F55" s="48"/>
      <c r="G55" s="128"/>
    </row>
    <row r="56" spans="1:9" s="20" customFormat="1" ht="18.75" customHeight="1" x14ac:dyDescent="0.25">
      <c r="A56" s="48"/>
      <c r="B56" s="702" t="s">
        <v>216</v>
      </c>
      <c r="C56" s="135"/>
      <c r="D56" s="791">
        <f>-'T8'!G231</f>
        <v>0</v>
      </c>
      <c r="E56" s="789" t="s">
        <v>5</v>
      </c>
      <c r="F56" s="48"/>
      <c r="G56" s="128"/>
    </row>
    <row r="57" spans="1:9" s="20" customFormat="1" ht="21" customHeight="1" x14ac:dyDescent="0.25">
      <c r="A57" s="48"/>
      <c r="B57" s="702" t="s">
        <v>217</v>
      </c>
      <c r="C57" s="135"/>
      <c r="D57" s="791">
        <f>-'T8'!G232</f>
        <v>0</v>
      </c>
      <c r="E57" s="789" t="s">
        <v>5</v>
      </c>
      <c r="F57" s="48"/>
      <c r="G57" s="128"/>
    </row>
    <row r="58" spans="1:9" s="20" customFormat="1" ht="23.25" customHeight="1" x14ac:dyDescent="0.25">
      <c r="A58" s="48"/>
      <c r="B58" s="702" t="s">
        <v>218</v>
      </c>
      <c r="C58" s="135"/>
      <c r="D58" s="791">
        <f>-'T8'!G233</f>
        <v>0</v>
      </c>
      <c r="E58" s="789" t="s">
        <v>5</v>
      </c>
      <c r="F58" s="48"/>
      <c r="G58" s="128"/>
    </row>
    <row r="59" spans="1:9" s="20" customFormat="1" ht="32.25" customHeight="1" x14ac:dyDescent="0.25">
      <c r="A59" s="48"/>
      <c r="B59" s="702" t="s">
        <v>320</v>
      </c>
      <c r="C59" s="135"/>
      <c r="D59" s="791">
        <f>-'T8'!G234</f>
        <v>0</v>
      </c>
      <c r="E59" s="789" t="s">
        <v>5</v>
      </c>
      <c r="F59" s="48"/>
      <c r="G59" s="128"/>
    </row>
    <row r="60" spans="1:9" s="20" customFormat="1" ht="34.5" customHeight="1" x14ac:dyDescent="0.25">
      <c r="A60" s="48"/>
      <c r="B60" s="702" t="s">
        <v>219</v>
      </c>
      <c r="C60" s="135"/>
      <c r="D60" s="791">
        <f>-'T8'!G235</f>
        <v>0</v>
      </c>
      <c r="E60" s="789" t="s">
        <v>5</v>
      </c>
      <c r="F60" s="48"/>
      <c r="G60" s="128"/>
    </row>
    <row r="61" spans="1:9" s="20" customFormat="1" ht="24" customHeight="1" x14ac:dyDescent="0.25">
      <c r="A61" s="48"/>
      <c r="B61" s="702" t="s">
        <v>220</v>
      </c>
      <c r="C61" s="135"/>
      <c r="D61" s="791">
        <f>-'T8'!G236</f>
        <v>0</v>
      </c>
      <c r="E61" s="789" t="s">
        <v>5</v>
      </c>
      <c r="F61" s="48"/>
      <c r="G61" s="128"/>
    </row>
    <row r="62" spans="1:9" s="20" customFormat="1" ht="33" customHeight="1" x14ac:dyDescent="0.25">
      <c r="A62" s="48"/>
      <c r="B62" s="702" t="s">
        <v>221</v>
      </c>
      <c r="C62" s="135"/>
      <c r="D62" s="791">
        <f>-'T8'!G237</f>
        <v>0</v>
      </c>
      <c r="E62" s="789" t="s">
        <v>5</v>
      </c>
      <c r="F62" s="48"/>
      <c r="G62" s="128"/>
    </row>
    <row r="63" spans="1:9" s="20" customFormat="1" ht="29.25" customHeight="1" x14ac:dyDescent="0.25">
      <c r="A63" s="48"/>
      <c r="B63" s="702" t="s">
        <v>222</v>
      </c>
      <c r="C63" s="135"/>
      <c r="D63" s="791">
        <f>-'T8'!G238</f>
        <v>0</v>
      </c>
      <c r="E63" s="789" t="s">
        <v>5</v>
      </c>
      <c r="F63" s="48"/>
      <c r="G63" s="128"/>
    </row>
    <row r="64" spans="1:9" s="20" customFormat="1" ht="20.25" customHeight="1" x14ac:dyDescent="0.25">
      <c r="A64" s="48"/>
      <c r="B64" s="702" t="s">
        <v>289</v>
      </c>
      <c r="C64" s="135"/>
      <c r="D64" s="791">
        <f>-'T8'!G239</f>
        <v>0</v>
      </c>
      <c r="E64" s="789" t="s">
        <v>5</v>
      </c>
      <c r="F64" s="48"/>
      <c r="G64" s="128"/>
    </row>
    <row r="65" spans="1:7" ht="13" x14ac:dyDescent="0.25">
      <c r="B65" s="136"/>
      <c r="C65" s="137"/>
      <c r="D65" s="138"/>
      <c r="E65" s="129"/>
      <c r="G65" s="129"/>
    </row>
    <row r="66" spans="1:7" ht="29.25" customHeight="1" x14ac:dyDescent="0.25">
      <c r="A66" s="48">
        <f>A54+1</f>
        <v>7</v>
      </c>
      <c r="B66" s="127" t="s">
        <v>206</v>
      </c>
      <c r="C66" s="139"/>
      <c r="D66" s="606">
        <f>SUM(D67:D69)</f>
        <v>0</v>
      </c>
      <c r="E66" s="128" t="s">
        <v>5</v>
      </c>
      <c r="G66" s="128"/>
    </row>
    <row r="67" spans="1:7" ht="29.25" customHeight="1" x14ac:dyDescent="0.25">
      <c r="B67" s="432" t="s">
        <v>202</v>
      </c>
      <c r="C67" s="5"/>
      <c r="D67" s="744">
        <v>0</v>
      </c>
      <c r="E67" s="128"/>
      <c r="G67" s="128" t="s">
        <v>60</v>
      </c>
    </row>
    <row r="68" spans="1:7" ht="29.25" customHeight="1" x14ac:dyDescent="0.25">
      <c r="B68" s="432" t="s">
        <v>203</v>
      </c>
      <c r="C68" s="5"/>
      <c r="D68" s="744">
        <v>0</v>
      </c>
      <c r="E68" s="128"/>
      <c r="G68" s="128" t="s">
        <v>60</v>
      </c>
    </row>
    <row r="69" spans="1:7" ht="29.25" customHeight="1" x14ac:dyDescent="0.25">
      <c r="B69" s="432" t="s">
        <v>204</v>
      </c>
      <c r="C69" s="5"/>
      <c r="D69" s="744">
        <v>0</v>
      </c>
      <c r="E69" s="128"/>
      <c r="G69" s="128" t="s">
        <v>60</v>
      </c>
    </row>
    <row r="70" spans="1:7" ht="36.75" customHeight="1" x14ac:dyDescent="0.25">
      <c r="B70" s="127" t="s">
        <v>205</v>
      </c>
      <c r="C70" s="611"/>
      <c r="D70" s="606">
        <f>SUM(D71:D73)</f>
        <v>0</v>
      </c>
      <c r="E70" s="128" t="s">
        <v>9</v>
      </c>
      <c r="G70" s="128"/>
    </row>
    <row r="71" spans="1:7" ht="29.25" customHeight="1" x14ac:dyDescent="0.25">
      <c r="B71" s="433" t="s">
        <v>290</v>
      </c>
      <c r="C71" s="5"/>
      <c r="D71" s="744">
        <v>0</v>
      </c>
      <c r="E71" s="128"/>
      <c r="G71" s="128" t="s">
        <v>60</v>
      </c>
    </row>
    <row r="72" spans="1:7" ht="29.25" customHeight="1" x14ac:dyDescent="0.25">
      <c r="B72" s="432" t="s">
        <v>207</v>
      </c>
      <c r="C72" s="5"/>
      <c r="D72" s="744">
        <v>0</v>
      </c>
      <c r="E72" s="128"/>
      <c r="G72" s="128" t="s">
        <v>60</v>
      </c>
    </row>
    <row r="73" spans="1:7" ht="45" customHeight="1" x14ac:dyDescent="0.25">
      <c r="B73" s="432" t="s">
        <v>208</v>
      </c>
      <c r="C73" s="5"/>
      <c r="D73" s="744">
        <v>0</v>
      </c>
      <c r="E73" s="128"/>
      <c r="G73" s="128" t="s">
        <v>60</v>
      </c>
    </row>
    <row r="74" spans="1:7" s="130" customFormat="1" ht="13" x14ac:dyDescent="0.25">
      <c r="B74" s="140"/>
      <c r="C74" s="141"/>
      <c r="D74" s="142"/>
      <c r="E74" s="129"/>
      <c r="G74" s="129"/>
    </row>
    <row r="75" spans="1:7" ht="33.75" customHeight="1" x14ac:dyDescent="0.25">
      <c r="A75" s="48">
        <f>A66+1</f>
        <v>8</v>
      </c>
      <c r="B75" s="133" t="s">
        <v>63</v>
      </c>
      <c r="C75" s="139"/>
      <c r="D75" s="143"/>
      <c r="E75" s="144"/>
      <c r="G75" s="128"/>
    </row>
    <row r="76" spans="1:7" ht="13" x14ac:dyDescent="0.25">
      <c r="B76" s="432" t="s">
        <v>6</v>
      </c>
      <c r="C76" s="5"/>
      <c r="D76" s="744">
        <v>0</v>
      </c>
      <c r="E76" s="128" t="s">
        <v>5</v>
      </c>
      <c r="G76" s="128" t="s">
        <v>60</v>
      </c>
    </row>
    <row r="77" spans="1:7" ht="13" x14ac:dyDescent="0.25">
      <c r="B77" s="432" t="s">
        <v>7</v>
      </c>
      <c r="C77" s="5"/>
      <c r="D77" s="744">
        <v>0</v>
      </c>
      <c r="E77" s="128" t="s">
        <v>5</v>
      </c>
      <c r="G77" s="128" t="s">
        <v>60</v>
      </c>
    </row>
    <row r="78" spans="1:7" ht="13" x14ac:dyDescent="0.25">
      <c r="B78" s="145"/>
      <c r="C78" s="146"/>
      <c r="D78" s="147"/>
      <c r="E78" s="148"/>
      <c r="G78" s="129"/>
    </row>
    <row r="79" spans="1:7" s="20" customFormat="1" ht="16.5" customHeight="1" x14ac:dyDescent="0.25">
      <c r="A79" s="48">
        <f>A75+1</f>
        <v>9</v>
      </c>
      <c r="B79" s="133" t="s">
        <v>209</v>
      </c>
      <c r="C79" s="139"/>
      <c r="D79" s="143"/>
      <c r="E79" s="144"/>
      <c r="F79" s="48"/>
      <c r="G79" s="129"/>
    </row>
    <row r="80" spans="1:7" s="20" customFormat="1" ht="13" x14ac:dyDescent="0.25">
      <c r="A80" s="48"/>
      <c r="B80" s="432" t="s">
        <v>8</v>
      </c>
      <c r="C80" s="5"/>
      <c r="D80" s="744">
        <v>0</v>
      </c>
      <c r="E80" s="128" t="s">
        <v>9</v>
      </c>
      <c r="F80" s="48"/>
      <c r="G80" s="128" t="s">
        <v>60</v>
      </c>
    </row>
    <row r="81" spans="1:8" s="20" customFormat="1" ht="13" x14ac:dyDescent="0.25">
      <c r="A81" s="48"/>
      <c r="B81" s="432" t="s">
        <v>10</v>
      </c>
      <c r="C81" s="5"/>
      <c r="D81" s="744">
        <v>0</v>
      </c>
      <c r="E81" s="128" t="s">
        <v>9</v>
      </c>
      <c r="F81" s="48"/>
      <c r="G81" s="128" t="s">
        <v>60</v>
      </c>
    </row>
    <row r="82" spans="1:8" s="20" customFormat="1" ht="13" x14ac:dyDescent="0.25">
      <c r="A82" s="48"/>
      <c r="B82" s="145"/>
      <c r="C82" s="146"/>
      <c r="D82" s="147"/>
      <c r="E82" s="132"/>
      <c r="F82" s="48"/>
      <c r="G82" s="129"/>
    </row>
    <row r="83" spans="1:8" ht="33.75" customHeight="1" x14ac:dyDescent="0.25">
      <c r="A83" s="48">
        <f>A79+1</f>
        <v>10</v>
      </c>
      <c r="B83" s="149" t="s">
        <v>11</v>
      </c>
      <c r="C83" s="5"/>
      <c r="D83" s="1">
        <v>0</v>
      </c>
      <c r="E83" s="128" t="s">
        <v>5</v>
      </c>
      <c r="G83" s="128" t="s">
        <v>60</v>
      </c>
    </row>
    <row r="84" spans="1:8" ht="13" x14ac:dyDescent="0.25">
      <c r="B84" s="150"/>
      <c r="C84" s="151"/>
      <c r="D84" s="147"/>
      <c r="E84" s="132"/>
      <c r="G84" s="129"/>
    </row>
    <row r="85" spans="1:8" ht="32.25" customHeight="1" x14ac:dyDescent="0.25">
      <c r="A85" s="48">
        <f>A83+1</f>
        <v>11</v>
      </c>
      <c r="B85" s="149" t="s">
        <v>12</v>
      </c>
      <c r="C85" s="5"/>
      <c r="D85" s="1">
        <v>0</v>
      </c>
      <c r="E85" s="128" t="s">
        <v>5</v>
      </c>
      <c r="G85" s="128" t="s">
        <v>60</v>
      </c>
      <c r="H85" s="109"/>
    </row>
    <row r="86" spans="1:8" ht="13" x14ac:dyDescent="0.25">
      <c r="A86" s="130"/>
      <c r="B86" s="152"/>
      <c r="C86" s="153"/>
      <c r="D86" s="138"/>
      <c r="E86" s="129"/>
      <c r="G86" s="129"/>
    </row>
    <row r="87" spans="1:8" ht="73.5" customHeight="1" x14ac:dyDescent="0.25">
      <c r="A87" s="48">
        <f>A85+1</f>
        <v>12</v>
      </c>
      <c r="B87" s="133" t="s">
        <v>210</v>
      </c>
      <c r="C87" s="5"/>
      <c r="D87" s="1">
        <v>0</v>
      </c>
      <c r="E87" s="128" t="s">
        <v>5</v>
      </c>
      <c r="G87" s="128" t="s">
        <v>60</v>
      </c>
      <c r="H87" s="109"/>
    </row>
    <row r="88" spans="1:8" ht="13" x14ac:dyDescent="0.25">
      <c r="B88" s="152"/>
      <c r="C88" s="154"/>
      <c r="D88" s="138"/>
      <c r="E88" s="129"/>
      <c r="G88" s="129"/>
    </row>
    <row r="89" spans="1:8" s="20" customFormat="1" ht="77.25" customHeight="1" x14ac:dyDescent="0.25">
      <c r="A89" s="48">
        <f>A87+1</f>
        <v>13</v>
      </c>
      <c r="B89" s="155" t="s">
        <v>211</v>
      </c>
      <c r="C89" s="5"/>
      <c r="D89" s="1">
        <v>0</v>
      </c>
      <c r="E89" s="128" t="s">
        <v>9</v>
      </c>
      <c r="G89" s="128" t="s">
        <v>60</v>
      </c>
    </row>
    <row r="90" spans="1:8" ht="13" x14ac:dyDescent="0.25">
      <c r="A90" s="130"/>
      <c r="B90" s="152"/>
      <c r="C90" s="153"/>
      <c r="D90" s="138"/>
      <c r="E90" s="129"/>
      <c r="G90" s="129"/>
    </row>
    <row r="91" spans="1:8" ht="28.5" customHeight="1" x14ac:dyDescent="0.25">
      <c r="A91" s="48">
        <f>A89+1</f>
        <v>14</v>
      </c>
      <c r="B91" s="155" t="s">
        <v>322</v>
      </c>
      <c r="C91" s="5"/>
      <c r="D91" s="1">
        <v>0</v>
      </c>
      <c r="E91" s="128" t="s">
        <v>5</v>
      </c>
      <c r="G91" s="128" t="s">
        <v>60</v>
      </c>
    </row>
    <row r="92" spans="1:8" s="20" customFormat="1" ht="13" x14ac:dyDescent="0.25">
      <c r="A92" s="48"/>
      <c r="B92" s="152"/>
      <c r="C92" s="156"/>
      <c r="D92" s="138"/>
      <c r="E92" s="129"/>
      <c r="G92" s="129"/>
    </row>
    <row r="93" spans="1:8" s="20" customFormat="1" ht="40.5" customHeight="1" x14ac:dyDescent="0.25">
      <c r="A93" s="48">
        <f>A91+1</f>
        <v>15</v>
      </c>
      <c r="B93" s="133" t="s">
        <v>315</v>
      </c>
      <c r="C93" s="5"/>
      <c r="D93" s="793">
        <v>0</v>
      </c>
      <c r="E93" s="789" t="s">
        <v>5</v>
      </c>
      <c r="F93" s="48"/>
      <c r="G93" s="789" t="s">
        <v>60</v>
      </c>
    </row>
    <row r="94" spans="1:8" s="20" customFormat="1" ht="48" customHeight="1" x14ac:dyDescent="0.25">
      <c r="A94" s="48">
        <f>+A93+1</f>
        <v>16</v>
      </c>
      <c r="B94" s="133" t="s">
        <v>316</v>
      </c>
      <c r="C94" s="5"/>
      <c r="D94" s="793">
        <v>0</v>
      </c>
      <c r="E94" s="789" t="s">
        <v>5</v>
      </c>
      <c r="F94" s="48"/>
      <c r="G94" s="789" t="s">
        <v>60</v>
      </c>
    </row>
    <row r="95" spans="1:8" s="20" customFormat="1" ht="42" customHeight="1" x14ac:dyDescent="0.25">
      <c r="A95" s="48">
        <f>+A94+1</f>
        <v>17</v>
      </c>
      <c r="B95" s="127" t="s">
        <v>317</v>
      </c>
      <c r="C95" s="5"/>
      <c r="D95" s="793">
        <v>0</v>
      </c>
      <c r="E95" s="789" t="s">
        <v>9</v>
      </c>
      <c r="F95" s="685"/>
      <c r="G95" s="789" t="s">
        <v>60</v>
      </c>
    </row>
    <row r="96" spans="1:8" ht="13" x14ac:dyDescent="0.25">
      <c r="B96" s="152"/>
      <c r="C96" s="154"/>
      <c r="D96" s="138"/>
      <c r="E96" s="129"/>
      <c r="G96" s="129"/>
    </row>
    <row r="97" spans="1:7" s="20" customFormat="1" ht="21" customHeight="1" x14ac:dyDescent="0.25">
      <c r="A97" s="48">
        <f>+A95+1</f>
        <v>18</v>
      </c>
      <c r="B97" s="750" t="s">
        <v>13</v>
      </c>
      <c r="C97" s="158"/>
      <c r="D97" s="134">
        <f>D98*D101</f>
        <v>0</v>
      </c>
      <c r="E97" s="128" t="s">
        <v>5</v>
      </c>
      <c r="G97" s="161"/>
    </row>
    <row r="98" spans="1:7" s="20" customFormat="1" ht="48" customHeight="1" x14ac:dyDescent="0.25">
      <c r="B98" s="751" t="str">
        <f>"Gemiddelde voorraad niet-geïmmobiliseerde groenestroom- en warmtekrachtcertificaten (boekhoudkundige waarde) voor boekjaar "&amp;D12</f>
        <v>Gemiddelde voorraad niet-geïmmobiliseerde groenestroom- en warmtekrachtcertificaten (boekhoudkundige waarde) voor boekjaar 2019</v>
      </c>
      <c r="C98" s="159"/>
      <c r="D98" s="160">
        <f>AVERAGE(D99:D100)</f>
        <v>0</v>
      </c>
      <c r="G98" s="161"/>
    </row>
    <row r="99" spans="1:7" s="20" customFormat="1" ht="36.75" customHeight="1" x14ac:dyDescent="0.25">
      <c r="B99" s="440" t="str">
        <f>"Beginvoorraad niet-geïmmobiliseerde groenestroom- en warmtekrachtcertificaten (01/01/"&amp;D12&amp;")"</f>
        <v>Beginvoorraad niet-geïmmobiliseerde groenestroom- en warmtekrachtcertificaten (01/01/2019)</v>
      </c>
      <c r="C99" s="5"/>
      <c r="D99" s="2">
        <v>0</v>
      </c>
      <c r="G99" s="161" t="s">
        <v>60</v>
      </c>
    </row>
    <row r="100" spans="1:7" s="20" customFormat="1" ht="33.75" customHeight="1" x14ac:dyDescent="0.25">
      <c r="B100" s="440" t="str">
        <f>"Eindvoorraad niet-geïmmobiliseerde groenestroom- en warmtekrachtcertificaten (31/12/"&amp;D12&amp;")"</f>
        <v>Eindvoorraad niet-geïmmobiliseerde groenestroom- en warmtekrachtcertificaten (31/12/2019)</v>
      </c>
      <c r="C100" s="5"/>
      <c r="D100" s="2">
        <v>0</v>
      </c>
      <c r="G100" s="161" t="s">
        <v>60</v>
      </c>
    </row>
    <row r="101" spans="1:7" s="20" customFormat="1" ht="29.25" customHeight="1" x14ac:dyDescent="0.25">
      <c r="B101" s="433" t="str">
        <f>"Kapitaalkostvergoeding voor boekjaar "&amp;D12&amp;" (in te vullen door de VREG)"</f>
        <v>Kapitaalkostvergoeding voor boekjaar 2019 (in te vullen door de VREG)</v>
      </c>
      <c r="C101" s="162"/>
      <c r="D101" s="724">
        <v>0</v>
      </c>
      <c r="G101" s="161"/>
    </row>
    <row r="102" spans="1:7" ht="13" x14ac:dyDescent="0.25">
      <c r="B102" s="152"/>
      <c r="C102" s="154"/>
      <c r="D102" s="164"/>
      <c r="E102" s="129"/>
      <c r="G102" s="48"/>
    </row>
    <row r="103" spans="1:7" s="20" customFormat="1" ht="59.25" customHeight="1" x14ac:dyDescent="0.25">
      <c r="A103" s="48">
        <f>A97+1</f>
        <v>19</v>
      </c>
      <c r="B103" s="127" t="s">
        <v>309</v>
      </c>
      <c r="C103" s="7" t="s">
        <v>282</v>
      </c>
      <c r="D103" s="683">
        <f>IF(R1="ex-ante",0,'T9'!D25)</f>
        <v>0</v>
      </c>
      <c r="E103" s="128" t="s">
        <v>5</v>
      </c>
      <c r="G103" s="161"/>
    </row>
    <row r="104" spans="1:7" ht="13" x14ac:dyDescent="0.25">
      <c r="B104" s="152"/>
      <c r="C104" s="154"/>
      <c r="D104" s="138"/>
      <c r="E104" s="129"/>
      <c r="G104" s="48"/>
    </row>
    <row r="105" spans="1:7" s="20" customFormat="1" ht="28.5" customHeight="1" x14ac:dyDescent="0.25">
      <c r="A105" s="48">
        <f>A103+1</f>
        <v>20</v>
      </c>
      <c r="B105" s="127" t="s">
        <v>278</v>
      </c>
      <c r="C105" s="158"/>
      <c r="D105" s="134">
        <f>D106*D109</f>
        <v>0</v>
      </c>
      <c r="E105" s="128" t="s">
        <v>5</v>
      </c>
      <c r="G105" s="161"/>
    </row>
    <row r="106" spans="1:7" s="20" customFormat="1" ht="36" customHeight="1" x14ac:dyDescent="0.25">
      <c r="B106" s="433" t="str">
        <f>"Gemiddelde waarde regulatoir actief/passief voor boekjaar "&amp;D12&amp;" (positieve waarde voor regulatoir actief, en omgekeerd)"</f>
        <v>Gemiddelde waarde regulatoir actief/passief voor boekjaar 2019 (positieve waarde voor regulatoir actief, en omgekeerd)</v>
      </c>
      <c r="C106" s="159"/>
      <c r="D106" s="160">
        <f>AVERAGE(D107:D108)</f>
        <v>0</v>
      </c>
      <c r="G106" s="161"/>
    </row>
    <row r="107" spans="1:7" s="20" customFormat="1" ht="48" customHeight="1" x14ac:dyDescent="0.25">
      <c r="B107" s="440" t="str">
        <f>"Waarde regulatoir actief/passief bij het begin van het boekjaar (01/01/"&amp;D12&amp;") (positieve waarde voor regulatoir actief, en omgekeerd)"</f>
        <v>Waarde regulatoir actief/passief bij het begin van het boekjaar (01/01/2019) (positieve waarde voor regulatoir actief, en omgekeerd)</v>
      </c>
      <c r="C107" s="7" t="s">
        <v>129</v>
      </c>
      <c r="D107" s="2">
        <v>0</v>
      </c>
      <c r="G107" s="161" t="s">
        <v>60</v>
      </c>
    </row>
    <row r="108" spans="1:7" s="20" customFormat="1" ht="45.75" customHeight="1" x14ac:dyDescent="0.25">
      <c r="B108" s="440" t="str">
        <f>"Waarde regulatoir actief/passief op het einde van het boekjaar (31/12/"&amp;D12&amp;") (positieve waarde voor regulatoir actief, en omgekeerd)"</f>
        <v>Waarde regulatoir actief/passief op het einde van het boekjaar (31/12/2019) (positieve waarde voor regulatoir actief, en omgekeerd)</v>
      </c>
      <c r="C108" s="7" t="s">
        <v>129</v>
      </c>
      <c r="D108" s="2">
        <v>0</v>
      </c>
      <c r="G108" s="161" t="s">
        <v>60</v>
      </c>
    </row>
    <row r="109" spans="1:7" s="20" customFormat="1" ht="27.75" customHeight="1" x14ac:dyDescent="0.25">
      <c r="B109" s="433" t="str">
        <f>"Kapitaalkostvergoeding voor boekjaar "&amp;D12&amp;" (in te vullen door de VREG)"</f>
        <v>Kapitaalkostvergoeding voor boekjaar 2019 (in te vullen door de VREG)</v>
      </c>
      <c r="C109" s="126"/>
      <c r="D109" s="724">
        <v>0</v>
      </c>
      <c r="G109" s="161"/>
    </row>
    <row r="110" spans="1:7" s="20" customFormat="1" ht="13" x14ac:dyDescent="0.25">
      <c r="A110" s="48"/>
      <c r="B110" s="152"/>
      <c r="C110" s="156"/>
      <c r="D110" s="164"/>
      <c r="E110" s="129"/>
    </row>
    <row r="111" spans="1:7" s="20" customFormat="1" ht="32.25" customHeight="1" x14ac:dyDescent="0.25">
      <c r="A111" s="48">
        <f>+A105+1</f>
        <v>21</v>
      </c>
      <c r="B111" s="127" t="s">
        <v>310</v>
      </c>
      <c r="C111" s="827"/>
      <c r="D111" s="667">
        <f>+D112*D113</f>
        <v>0</v>
      </c>
      <c r="E111" s="128" t="s">
        <v>5</v>
      </c>
      <c r="G111" s="161"/>
    </row>
    <row r="112" spans="1:7" s="20" customFormat="1" ht="48.75" customHeight="1" x14ac:dyDescent="0.25">
      <c r="B112" s="433" t="str">
        <f>"Gecumuleerd regulatoir saldo exogene kosten m.b.t. distributie bij het begin van het boekjaar (01/01/"&amp;Q1&amp;") (positieve waarde voor tekort, en omgekeerd)"</f>
        <v>Gecumuleerd regulatoir saldo exogene kosten m.b.t. distributie bij het begin van het boekjaar (01/01/2019) (positieve waarde voor tekort, en omgekeerd)</v>
      </c>
      <c r="C112" s="7" t="s">
        <v>193</v>
      </c>
      <c r="D112" s="2">
        <v>0</v>
      </c>
      <c r="G112" s="161" t="s">
        <v>60</v>
      </c>
    </row>
    <row r="113" spans="1:7" s="20" customFormat="1" ht="33" customHeight="1" x14ac:dyDescent="0.25">
      <c r="B113" s="433" t="str">
        <f>"Kapitaalkostvergoeding voor boekjaar "&amp;Q1&amp;" (in te vullen door de VREG)"</f>
        <v>Kapitaalkostvergoeding voor boekjaar 2019 (in te vullen door de VREG)</v>
      </c>
      <c r="C113" s="126"/>
      <c r="D113" s="724">
        <v>0</v>
      </c>
      <c r="G113" s="161"/>
    </row>
    <row r="114" spans="1:7" s="20" customFormat="1" ht="32.25" customHeight="1" x14ac:dyDescent="0.25">
      <c r="A114" s="48"/>
      <c r="B114" s="127" t="s">
        <v>311</v>
      </c>
      <c r="C114" s="826"/>
      <c r="D114" s="683">
        <f>+D115*D116</f>
        <v>0</v>
      </c>
      <c r="E114" s="128" t="s">
        <v>5</v>
      </c>
      <c r="G114" s="161"/>
    </row>
    <row r="115" spans="1:7" s="20" customFormat="1" ht="42" customHeight="1" x14ac:dyDescent="0.25">
      <c r="B115" s="433" t="str">
        <f>"Gecumuleerd regulatoir saldo exogene kosten m.b.t. transmissie bij het begin van het boekjaar (01/01/"&amp;Q1&amp;") (positieve waarde voor tekort, en omgekeerd)"</f>
        <v>Gecumuleerd regulatoir saldo exogene kosten m.b.t. transmissie bij het begin van het boekjaar (01/01/2019) (positieve waarde voor tekort, en omgekeerd)</v>
      </c>
      <c r="C115" s="7" t="s">
        <v>314</v>
      </c>
      <c r="D115" s="2">
        <v>0</v>
      </c>
      <c r="E115" s="598"/>
      <c r="G115" s="161" t="s">
        <v>60</v>
      </c>
    </row>
    <row r="116" spans="1:7" s="20" customFormat="1" ht="33" customHeight="1" x14ac:dyDescent="0.25">
      <c r="B116" s="433" t="str">
        <f>"Kapitaalkostvergoeding voor boekjaar "&amp;Q1&amp;" (in te vullen door de VREG)"</f>
        <v>Kapitaalkostvergoeding voor boekjaar 2019 (in te vullen door de VREG)</v>
      </c>
      <c r="C116" s="828"/>
      <c r="D116" s="724">
        <v>0</v>
      </c>
      <c r="E116" s="598"/>
      <c r="G116" s="161"/>
    </row>
    <row r="117" spans="1:7" s="20" customFormat="1" ht="13" x14ac:dyDescent="0.25">
      <c r="A117" s="48"/>
      <c r="B117" s="152"/>
      <c r="C117" s="156"/>
      <c r="D117" s="164"/>
      <c r="E117" s="129"/>
    </row>
    <row r="118" spans="1:7" s="20" customFormat="1" ht="48" customHeight="1" x14ac:dyDescent="0.25">
      <c r="A118" s="48">
        <f>A111+1</f>
        <v>22</v>
      </c>
      <c r="B118" s="127" t="s">
        <v>251</v>
      </c>
      <c r="C118" s="158"/>
      <c r="D118" s="667">
        <f>D119*D122</f>
        <v>0</v>
      </c>
      <c r="E118" s="128" t="s">
        <v>5</v>
      </c>
      <c r="G118" s="161"/>
    </row>
    <row r="119" spans="1:7" s="20" customFormat="1" ht="51" customHeight="1" x14ac:dyDescent="0.25">
      <c r="B119" s="433" t="str">
        <f>"Gemiddeld regulatoir saldo volumeverschillen m.b.t. endogene kosten (uitgezonderd volumeverschillen m.b.t. EAN's) voor boekjaar "&amp;D12&amp;" (positieve waarde voor tekort, en omgekeerd)"</f>
        <v>Gemiddeld regulatoir saldo volumeverschillen m.b.t. endogene kosten (uitgezonderd volumeverschillen m.b.t. EAN's) voor boekjaar 2019 (positieve waarde voor tekort, en omgekeerd)</v>
      </c>
      <c r="C119" s="159"/>
      <c r="D119" s="160">
        <f>AVERAGE(D120:D121)</f>
        <v>0</v>
      </c>
      <c r="G119" s="161"/>
    </row>
    <row r="120" spans="1:7" s="20" customFormat="1" ht="57" customHeight="1" x14ac:dyDescent="0.25">
      <c r="B120" s="440" t="str">
        <f>"Regulatoir saldo volumeverschillen m.b.t. endogene kosten (uitgez. volumeverschillen m.b.t. EAN's) bij het begin van het boekjaar (01/01/"&amp;D12&amp;") (positieve waarde voor tekort, en omgekeerd)"</f>
        <v>Regulatoir saldo volumeverschillen m.b.t. endogene kosten (uitgez. volumeverschillen m.b.t. EAN's) bij het begin van het boekjaar (01/01/2019) (positieve waarde voor tekort, en omgekeerd)</v>
      </c>
      <c r="C120" s="7" t="s">
        <v>178</v>
      </c>
      <c r="D120" s="2">
        <v>0</v>
      </c>
      <c r="G120" s="161" t="s">
        <v>60</v>
      </c>
    </row>
    <row r="121" spans="1:7" s="20" customFormat="1" ht="58.5" customHeight="1" x14ac:dyDescent="0.25">
      <c r="B121" s="440" t="str">
        <f>"Regulatoir saldo volumeverschillen m.b.t. endogene kosten (uitgez. volumeverschillen m.b.t. EAN's) op het einde van het boekjaar (31/12/"&amp;D12&amp;") (positieve waarde voor tekort, en omgekeerd)"</f>
        <v>Regulatoir saldo volumeverschillen m.b.t. endogene kosten (uitgez. volumeverschillen m.b.t. EAN's) op het einde van het boekjaar (31/12/2019) (positieve waarde voor tekort, en omgekeerd)</v>
      </c>
      <c r="C121" s="7" t="s">
        <v>178</v>
      </c>
      <c r="D121" s="2">
        <v>0</v>
      </c>
      <c r="G121" s="161" t="s">
        <v>60</v>
      </c>
    </row>
    <row r="122" spans="1:7" s="20" customFormat="1" ht="32.25" customHeight="1" x14ac:dyDescent="0.25">
      <c r="B122" s="433" t="str">
        <f>"Kapitaalkostvergoeding voor boekjaar "&amp;D12&amp;" (in te vullen door de VREG)"</f>
        <v>Kapitaalkostvergoeding voor boekjaar 2019 (in te vullen door de VREG)</v>
      </c>
      <c r="C122" s="126"/>
      <c r="D122" s="724">
        <v>0</v>
      </c>
      <c r="G122" s="161"/>
    </row>
    <row r="123" spans="1:7" s="20" customFormat="1" ht="13" x14ac:dyDescent="0.25">
      <c r="A123" s="48"/>
      <c r="B123" s="152"/>
      <c r="C123" s="156"/>
      <c r="D123" s="164"/>
      <c r="E123" s="129"/>
    </row>
    <row r="124" spans="1:7" s="20" customFormat="1" ht="42" customHeight="1" x14ac:dyDescent="0.25">
      <c r="A124" s="48">
        <f>+A118+1</f>
        <v>23</v>
      </c>
      <c r="B124" s="127" t="s">
        <v>256</v>
      </c>
      <c r="C124" s="158"/>
      <c r="D124" s="667">
        <f>D125*D128</f>
        <v>0</v>
      </c>
      <c r="E124" s="128" t="s">
        <v>5</v>
      </c>
      <c r="G124" s="161"/>
    </row>
    <row r="125" spans="1:7" s="20" customFormat="1" ht="51" customHeight="1" x14ac:dyDescent="0.25">
      <c r="B125" s="433" t="str">
        <f>"Gemiddeld regulatoir saldo herindexering van het budget voor endogene kosten voor boekjaar "&amp;D12&amp;" (positieve waarde voor tekort, en omgekeerd)"</f>
        <v>Gemiddeld regulatoir saldo herindexering van het budget voor endogene kosten voor boekjaar 2019 (positieve waarde voor tekort, en omgekeerd)</v>
      </c>
      <c r="C125" s="159"/>
      <c r="D125" s="160">
        <f>AVERAGE(D126:D127)</f>
        <v>0</v>
      </c>
      <c r="G125" s="161"/>
    </row>
    <row r="126" spans="1:7" s="20" customFormat="1" ht="46.5" customHeight="1" x14ac:dyDescent="0.25">
      <c r="B126" s="440" t="str">
        <f>"Regulatoir saldo herindexering van het budget voor endogene kosten bij het begin van het boekjaar (01/01/"&amp;D12&amp;") (positieve waarde voor tekort, en omgekeerd)"</f>
        <v>Regulatoir saldo herindexering van het budget voor endogene kosten bij het begin van het boekjaar (01/01/2019) (positieve waarde voor tekort, en omgekeerd)</v>
      </c>
      <c r="C126" s="7" t="s">
        <v>270</v>
      </c>
      <c r="D126" s="2">
        <v>0</v>
      </c>
      <c r="G126" s="161" t="s">
        <v>60</v>
      </c>
    </row>
    <row r="127" spans="1:7" s="20" customFormat="1" ht="45" customHeight="1" x14ac:dyDescent="0.25">
      <c r="B127" s="440" t="str">
        <f>"Regulatoir saldo herindexering van het budget voor endogene kosten op het einde van het boekjaar (31/12/"&amp;D12&amp;") (positieve waarde voor tekort, en omgekeerd)"</f>
        <v>Regulatoir saldo herindexering van het budget voor endogene kosten op het einde van het boekjaar (31/12/2019) (positieve waarde voor tekort, en omgekeerd)</v>
      </c>
      <c r="C127" s="7" t="s">
        <v>270</v>
      </c>
      <c r="D127" s="2">
        <v>0</v>
      </c>
      <c r="G127" s="161" t="s">
        <v>60</v>
      </c>
    </row>
    <row r="128" spans="1:7" s="20" customFormat="1" ht="32.25" customHeight="1" x14ac:dyDescent="0.25">
      <c r="B128" s="433" t="str">
        <f>"Kapitaalkostvergoeding voor boekjaar "&amp;D12&amp;" (in te vullen door de VREG)"</f>
        <v>Kapitaalkostvergoeding voor boekjaar 2019 (in te vullen door de VREG)</v>
      </c>
      <c r="C128" s="126"/>
      <c r="D128" s="724">
        <v>0</v>
      </c>
      <c r="G128" s="161"/>
    </row>
    <row r="129" spans="1:7" s="20" customFormat="1" ht="13" x14ac:dyDescent="0.25">
      <c r="A129" s="48"/>
      <c r="B129" s="152"/>
      <c r="C129" s="156"/>
      <c r="D129" s="720"/>
      <c r="E129" s="129"/>
    </row>
    <row r="130" spans="1:7" s="20" customFormat="1" ht="36" customHeight="1" x14ac:dyDescent="0.25">
      <c r="A130" s="48">
        <f>+A124+1</f>
        <v>24</v>
      </c>
      <c r="B130" s="127" t="s">
        <v>274</v>
      </c>
      <c r="C130" s="158"/>
      <c r="D130" s="683">
        <f>D131*D134</f>
        <v>0</v>
      </c>
      <c r="E130" s="128" t="s">
        <v>5</v>
      </c>
      <c r="G130" s="161"/>
    </row>
    <row r="131" spans="1:7" s="20" customFormat="1" ht="44.25" customHeight="1" x14ac:dyDescent="0.25">
      <c r="B131" s="433" t="str">
        <f>"Gemiddeld regulatoir saldo inzake vennootschapsbelasting voor boekjaar "&amp;D12&amp;" (positieve waarde voor tekort, en omgekeerd)"</f>
        <v>Gemiddeld regulatoir saldo inzake vennootschapsbelasting voor boekjaar 2019 (positieve waarde voor tekort, en omgekeerd)</v>
      </c>
      <c r="C131" s="159"/>
      <c r="D131" s="160">
        <f>AVERAGE(D132:D133)</f>
        <v>0</v>
      </c>
      <c r="G131" s="161"/>
    </row>
    <row r="132" spans="1:7" s="20" customFormat="1" ht="46.5" customHeight="1" x14ac:dyDescent="0.25">
      <c r="B132" s="440" t="str">
        <f>"Regulatoir saldo inzake vennootschapsbelasting bij het begin van het boekjaar (01/01/"&amp;D12&amp;") (positieve waarde voor tekort, en omgekeerd)"</f>
        <v>Regulatoir saldo inzake vennootschapsbelasting bij het begin van het boekjaar (01/01/2019) (positieve waarde voor tekort, en omgekeerd)</v>
      </c>
      <c r="C132" s="7" t="s">
        <v>128</v>
      </c>
      <c r="D132" s="2">
        <v>0</v>
      </c>
      <c r="G132" s="161" t="s">
        <v>60</v>
      </c>
    </row>
    <row r="133" spans="1:7" s="20" customFormat="1" ht="45" customHeight="1" x14ac:dyDescent="0.25">
      <c r="B133" s="440" t="str">
        <f>"Regulatoir saldo m.b.t. vennootschapsbelasting op het einde van het boekjaar (31/12/"&amp;D12&amp;") (positieve waarde voor tekort, en omgekeerd)"</f>
        <v>Regulatoir saldo m.b.t. vennootschapsbelasting op het einde van het boekjaar (31/12/2019) (positieve waarde voor tekort, en omgekeerd)</v>
      </c>
      <c r="C133" s="7" t="s">
        <v>128</v>
      </c>
      <c r="D133" s="2">
        <v>0</v>
      </c>
      <c r="G133" s="161" t="s">
        <v>60</v>
      </c>
    </row>
    <row r="134" spans="1:7" s="20" customFormat="1" ht="32.25" customHeight="1" x14ac:dyDescent="0.25">
      <c r="B134" s="433" t="str">
        <f>"Kapitaalkostvergoeding voor boekjaar "&amp;D12&amp;" (in te vullen door de VREG)"</f>
        <v>Kapitaalkostvergoeding voor boekjaar 2019 (in te vullen door de VREG)</v>
      </c>
      <c r="C134" s="126"/>
      <c r="D134" s="724">
        <v>0</v>
      </c>
      <c r="G134" s="161"/>
    </row>
    <row r="135" spans="1:7" ht="13" x14ac:dyDescent="0.25">
      <c r="B135" s="152"/>
      <c r="C135" s="154"/>
      <c r="D135" s="164"/>
      <c r="E135" s="129"/>
      <c r="G135" s="48"/>
    </row>
    <row r="136" spans="1:7" ht="19.5" customHeight="1" x14ac:dyDescent="0.25">
      <c r="A136" s="48">
        <f>+A130+1</f>
        <v>25</v>
      </c>
      <c r="B136" s="127" t="s">
        <v>51</v>
      </c>
      <c r="C136" s="7" t="s">
        <v>291</v>
      </c>
      <c r="D136" s="134">
        <f>+'T10'!E40</f>
        <v>0</v>
      </c>
      <c r="E136" s="128" t="s">
        <v>5</v>
      </c>
      <c r="G136" s="161"/>
    </row>
    <row r="137" spans="1:7" ht="13" x14ac:dyDescent="0.25">
      <c r="B137" s="152"/>
      <c r="C137" s="154"/>
      <c r="D137" s="164"/>
      <c r="E137" s="129"/>
      <c r="G137" s="129"/>
    </row>
    <row r="138" spans="1:7" ht="13" x14ac:dyDescent="0.25">
      <c r="B138" s="152"/>
      <c r="C138" s="154"/>
      <c r="D138" s="111" t="s">
        <v>0</v>
      </c>
      <c r="E138" s="129"/>
      <c r="G138" s="129"/>
    </row>
    <row r="139" spans="1:7" x14ac:dyDescent="0.25">
      <c r="B139" s="165"/>
      <c r="C139" s="166"/>
      <c r="D139" s="167">
        <f>D12</f>
        <v>2019</v>
      </c>
      <c r="E139" s="163"/>
      <c r="F139" s="50"/>
      <c r="G139" s="163"/>
    </row>
    <row r="140" spans="1:7" ht="13" x14ac:dyDescent="0.25">
      <c r="B140" s="168"/>
      <c r="C140" s="169"/>
      <c r="D140" s="170" t="str">
        <f>D13</f>
        <v>Naam distributienetbeheerder</v>
      </c>
      <c r="E140" s="163"/>
      <c r="F140" s="129"/>
      <c r="G140" s="163"/>
    </row>
    <row r="141" spans="1:7" x14ac:dyDescent="0.25">
      <c r="B141" s="171"/>
      <c r="C141" s="125"/>
      <c r="D141" s="172" t="str">
        <f>D14</f>
        <v>elektriciteit</v>
      </c>
      <c r="E141" s="163"/>
      <c r="F141" s="50"/>
      <c r="G141" s="163"/>
    </row>
    <row r="142" spans="1:7" ht="32.25" customHeight="1" x14ac:dyDescent="0.25">
      <c r="B142" s="115" t="s">
        <v>135</v>
      </c>
      <c r="C142" s="166"/>
      <c r="D142" s="772">
        <f>D21+D33+D42+D52+D55+D97+D103+D105+D111+D118+D124+D130+D64</f>
        <v>0</v>
      </c>
      <c r="E142" s="163"/>
      <c r="F142" s="50"/>
      <c r="G142" s="163"/>
    </row>
    <row r="143" spans="1:7" ht="21" customHeight="1" x14ac:dyDescent="0.25">
      <c r="B143" s="115" t="s">
        <v>136</v>
      </c>
      <c r="C143" s="166"/>
      <c r="D143" s="772">
        <f>D22+D34+D43+D56</f>
        <v>0</v>
      </c>
      <c r="E143" s="163"/>
      <c r="F143" s="50"/>
      <c r="G143" s="163"/>
    </row>
    <row r="144" spans="1:7" ht="31.5" customHeight="1" x14ac:dyDescent="0.25">
      <c r="B144" s="115" t="s">
        <v>137</v>
      </c>
      <c r="C144" s="166"/>
      <c r="D144" s="772">
        <f>D23+D44+D57</f>
        <v>0</v>
      </c>
      <c r="E144" s="163"/>
      <c r="F144" s="50"/>
      <c r="G144" s="163"/>
    </row>
    <row r="145" spans="2:7" ht="33" customHeight="1" x14ac:dyDescent="0.25">
      <c r="B145" s="117" t="s">
        <v>139</v>
      </c>
      <c r="C145" s="139"/>
      <c r="D145" s="772">
        <f>D24+D35+D45+D58+D66-D70+D76+D77-D80-D81+D83+D85+D87-D89+D91</f>
        <v>0</v>
      </c>
      <c r="E145" s="164"/>
      <c r="G145" s="164"/>
    </row>
    <row r="146" spans="2:7" ht="32.25" customHeight="1" x14ac:dyDescent="0.25">
      <c r="B146" s="794" t="s">
        <v>147</v>
      </c>
      <c r="C146" s="795"/>
      <c r="D146" s="772">
        <f>+D30+D59+D93+D94-D95+D114</f>
        <v>0</v>
      </c>
      <c r="E146" s="164"/>
      <c r="G146" s="164"/>
    </row>
    <row r="147" spans="2:7" ht="32.25" customHeight="1" x14ac:dyDescent="0.25">
      <c r="B147" s="117" t="s">
        <v>140</v>
      </c>
      <c r="C147" s="139"/>
      <c r="D147" s="772">
        <f>D25+D36+D46+D60</f>
        <v>0</v>
      </c>
      <c r="E147" s="164"/>
      <c r="G147" s="164"/>
    </row>
    <row r="148" spans="2:7" ht="32.25" customHeight="1" x14ac:dyDescent="0.25">
      <c r="B148" s="117" t="s">
        <v>141</v>
      </c>
      <c r="C148" s="139"/>
      <c r="D148" s="772">
        <f>+D26+D37+D47+D61</f>
        <v>0</v>
      </c>
      <c r="E148" s="164"/>
      <c r="G148" s="164"/>
    </row>
    <row r="149" spans="2:7" ht="32.25" customHeight="1" x14ac:dyDescent="0.25">
      <c r="B149" s="117" t="s">
        <v>142</v>
      </c>
      <c r="C149" s="139"/>
      <c r="D149" s="772">
        <f>+D27+D38+D48+D62</f>
        <v>0</v>
      </c>
      <c r="E149" s="164"/>
      <c r="G149" s="164"/>
    </row>
    <row r="150" spans="2:7" ht="31.5" customHeight="1" x14ac:dyDescent="0.25">
      <c r="B150" s="117" t="s">
        <v>143</v>
      </c>
      <c r="C150" s="139"/>
      <c r="D150" s="772">
        <f>+D28+D39+D49+D63+D136</f>
        <v>0</v>
      </c>
      <c r="E150" s="164"/>
      <c r="F150" s="50"/>
      <c r="G150" s="164"/>
    </row>
    <row r="151" spans="2:7" ht="13.5" customHeight="1" x14ac:dyDescent="0.25">
      <c r="B151" s="117"/>
      <c r="C151" s="139"/>
      <c r="D151" s="173"/>
      <c r="E151" s="164"/>
      <c r="F151" s="50"/>
      <c r="G151" s="164"/>
    </row>
    <row r="152" spans="2:7" ht="32.25" customHeight="1" x14ac:dyDescent="0.25">
      <c r="B152" s="773" t="s">
        <v>292</v>
      </c>
      <c r="C152" s="139"/>
      <c r="D152" s="774">
        <f>SUM(D147:D150,D142:D145)</f>
        <v>0</v>
      </c>
      <c r="E152" s="175"/>
      <c r="F152" s="50"/>
      <c r="G152" s="175"/>
    </row>
    <row r="153" spans="2:7" ht="32.25" customHeight="1" x14ac:dyDescent="0.25">
      <c r="B153" s="773" t="s">
        <v>293</v>
      </c>
      <c r="C153" s="139"/>
      <c r="D153" s="774">
        <f>SUM(D146)</f>
        <v>0</v>
      </c>
      <c r="E153" s="175"/>
      <c r="F153" s="50"/>
      <c r="G153" s="175"/>
    </row>
    <row r="154" spans="2:7" ht="32.25" customHeight="1" x14ac:dyDescent="0.25">
      <c r="B154" s="773" t="s">
        <v>326</v>
      </c>
      <c r="C154" s="139"/>
      <c r="D154" s="774">
        <f>+D152+D153</f>
        <v>0</v>
      </c>
      <c r="E154" s="175"/>
      <c r="F154" s="50"/>
      <c r="G154" s="175"/>
    </row>
  </sheetData>
  <customSheetViews>
    <customSheetView guid="{C8C7977F-B6BF-432B-A1A7-559450D521AF}" scale="85" topLeftCell="A67">
      <selection activeCell="B79" sqref="B79"/>
      <pageMargins left="0.75" right="0.75" top="1" bottom="1" header="0.5" footer="0.5"/>
      <pageSetup paperSize="9" orientation="portrait" r:id="rId1"/>
      <headerFooter alignWithMargins="0"/>
    </customSheetView>
  </customSheetViews>
  <mergeCells count="6">
    <mergeCell ref="A1:G1"/>
    <mergeCell ref="B16:B18"/>
    <mergeCell ref="C16:C18"/>
    <mergeCell ref="D16:D18"/>
    <mergeCell ref="E16:E18"/>
    <mergeCell ref="G16:G18"/>
  </mergeCells>
  <conditionalFormatting sqref="D42:D49 D52">
    <cfRule type="expression" dxfId="100" priority="30" stopIfTrue="1">
      <formula>$D$12=2017</formula>
    </cfRule>
  </conditionalFormatting>
  <conditionalFormatting sqref="B75:D77 B79:D81 B97:D101 B114:D116 B153:D153 B25:E26 B36:E37 B46:E47 B60:E61 B66:E73 E76:E77 E80:E81 B83:E83 B85:E85 B87:E87 B89:E89 B91:E91 E97 B103:E103 E114 G25:G26 G30 G36:G37 G46:G47 G60:G61 G66:G73 G75:G77 G80:G81 G83 G85 G87 G89 G91 G97:G101 G103 G114:G116 B93:B95 B30:E30 B146:D148">
    <cfRule type="expression" dxfId="99" priority="28" stopIfTrue="1">
      <formula>$D$14="gas"</formula>
    </cfRule>
  </conditionalFormatting>
  <conditionalFormatting sqref="B27:E27 G27 B38:E38 G38 B48:E48 G48 B62:E62 G62 B149:D149">
    <cfRule type="expression" dxfId="98" priority="27" stopIfTrue="1">
      <formula>$D$14="elektriciteit"</formula>
    </cfRule>
  </conditionalFormatting>
  <conditionalFormatting sqref="D124:D128 D130:D134">
    <cfRule type="expression" dxfId="97" priority="16" stopIfTrue="1">
      <formula>$Q$1&amp;$R$1="2017ex-ante"</formula>
    </cfRule>
  </conditionalFormatting>
  <conditionalFormatting sqref="C93">
    <cfRule type="expression" dxfId="96" priority="15" stopIfTrue="1">
      <formula>$D$14="gas"</formula>
    </cfRule>
  </conditionalFormatting>
  <conditionalFormatting sqref="C94">
    <cfRule type="expression" dxfId="95" priority="14" stopIfTrue="1">
      <formula>$D$14="gas"</formula>
    </cfRule>
  </conditionalFormatting>
  <conditionalFormatting sqref="C95">
    <cfRule type="expression" dxfId="94" priority="12" stopIfTrue="1">
      <formula>$D$14="gas"</formula>
    </cfRule>
  </conditionalFormatting>
  <conditionalFormatting sqref="D93">
    <cfRule type="expression" dxfId="93" priority="10" stopIfTrue="1">
      <formula>$D$14="gas"</formula>
    </cfRule>
  </conditionalFormatting>
  <conditionalFormatting sqref="G93">
    <cfRule type="expression" dxfId="92" priority="9" stopIfTrue="1">
      <formula>$D$14="gas"</formula>
    </cfRule>
  </conditionalFormatting>
  <conditionalFormatting sqref="E93">
    <cfRule type="expression" dxfId="91" priority="8" stopIfTrue="1">
      <formula>$D$14="gas"</formula>
    </cfRule>
  </conditionalFormatting>
  <conditionalFormatting sqref="D94">
    <cfRule type="expression" dxfId="90" priority="7" stopIfTrue="1">
      <formula>$D$14="gas"</formula>
    </cfRule>
  </conditionalFormatting>
  <conditionalFormatting sqref="G94">
    <cfRule type="expression" dxfId="89" priority="6" stopIfTrue="1">
      <formula>$D$14="gas"</formula>
    </cfRule>
  </conditionalFormatting>
  <conditionalFormatting sqref="E94">
    <cfRule type="expression" dxfId="88" priority="5" stopIfTrue="1">
      <formula>$D$14="gas"</formula>
    </cfRule>
  </conditionalFormatting>
  <conditionalFormatting sqref="D95">
    <cfRule type="expression" dxfId="87" priority="4" stopIfTrue="1">
      <formula>$D$14="gas"</formula>
    </cfRule>
  </conditionalFormatting>
  <conditionalFormatting sqref="G95">
    <cfRule type="expression" dxfId="86" priority="3" stopIfTrue="1">
      <formula>$D$14="gas"</formula>
    </cfRule>
  </conditionalFormatting>
  <conditionalFormatting sqref="E95">
    <cfRule type="expression" dxfId="85" priority="2" stopIfTrue="1">
      <formula>$D$14="gas"</formula>
    </cfRule>
  </conditionalFormatting>
  <conditionalFormatting sqref="B59:E59 G59">
    <cfRule type="expression" dxfId="84" priority="1" stopIfTrue="1">
      <formula>$D$14="gas"</formula>
    </cfRule>
  </conditionalFormatting>
  <conditionalFormatting sqref="D52">
    <cfRule type="expression" dxfId="83" priority="29" stopIfTrue="1">
      <formula>$D$12=2018</formula>
    </cfRule>
  </conditionalFormatting>
  <hyperlinks>
    <hyperlink ref="C20" location="T4B!A1" display="TABEL 4B"/>
    <hyperlink ref="C30" location="T4C!A1" display="TABEL 4C"/>
    <hyperlink ref="C32" location="T5B!A1" display="TABEL 5B"/>
    <hyperlink ref="C41" location="T6B!A1" display="TABEL 6B"/>
    <hyperlink ref="C51" location="'T7'!A1" display="TABEL 7"/>
    <hyperlink ref="C54" location="'T8'!A1" display="TABEL 8"/>
    <hyperlink ref="C103" location="'T9'!A1" display="TABEL 9"/>
    <hyperlink ref="C107" location="'T8'!A1" display="TABEL 8"/>
    <hyperlink ref="C108" location="'T8'!A1" display="TABEL 8"/>
    <hyperlink ref="C112" location="T4A!A1" display="TABEL 4A"/>
    <hyperlink ref="C115" location="T4C!A1" display="TABEL 4C"/>
    <hyperlink ref="C120" location="T5A!A1" display="TABEL 5A"/>
    <hyperlink ref="C121" location="T5A!A1" display="TABEL 5A"/>
    <hyperlink ref="C126" location="T6A!A1" display="TABEL 6A"/>
    <hyperlink ref="C127" location="T6A!A1" display="TABEL 6A"/>
    <hyperlink ref="C132" location="'T7'!A1" display="TABEL 7"/>
    <hyperlink ref="C133" location="'T7'!A1" display="TABEL 7"/>
    <hyperlink ref="C136" location="'T10'!A1" display="TABEL 10"/>
  </hyperlinks>
  <pageMargins left="0.74803149606299213" right="0.74803149606299213" top="0.98425196850393704" bottom="0.98425196850393704" header="0.51181102362204722" footer="0.51181102362204722"/>
  <pageSetup paperSize="8" scale="47" fitToWidth="3" fitToHeight="3" orientation="portrait" r:id="rId2"/>
  <headerFooter alignWithMargins="0"/>
  <rowBreaks count="2" manualBreakCount="2">
    <brk id="65" max="13" man="1"/>
    <brk id="110" max="13" man="1"/>
  </rowBreaks>
  <ignoredErrors>
    <ignoredError sqref="D70 D66 D3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N189"/>
  <sheetViews>
    <sheetView zoomScale="85" zoomScaleNormal="85" workbookViewId="0">
      <selection activeCell="D30" sqref="D30"/>
    </sheetView>
  </sheetViews>
  <sheetFormatPr defaultColWidth="8.81640625" defaultRowHeight="12.5" x14ac:dyDescent="0.25"/>
  <cols>
    <col min="1" max="1" width="3.453125" style="48" customWidth="1"/>
    <col min="2" max="2" width="61.7265625" style="704" customWidth="1"/>
    <col min="3" max="3" width="16.453125" style="50" customWidth="1"/>
    <col min="4" max="4" width="26.7265625" style="176" customWidth="1"/>
    <col min="5" max="5" width="26.1796875" style="176" customWidth="1"/>
    <col min="6" max="6" width="12" style="710" customWidth="1"/>
    <col min="7" max="7" width="2.7265625" style="176" customWidth="1"/>
    <col min="8" max="10" width="8.81640625" style="48"/>
    <col min="11" max="11" width="14.1796875" style="48" customWidth="1"/>
    <col min="12" max="16384" width="8.81640625" style="48"/>
  </cols>
  <sheetData>
    <row r="1" spans="1:14" ht="18.5" thickBot="1" x14ac:dyDescent="0.3">
      <c r="A1" s="1001" t="s">
        <v>335</v>
      </c>
      <c r="B1" s="1002"/>
      <c r="C1" s="1002"/>
      <c r="D1" s="1002"/>
      <c r="E1" s="1002"/>
      <c r="F1" s="1002"/>
      <c r="G1" s="1003"/>
    </row>
    <row r="2" spans="1:14" x14ac:dyDescent="0.25">
      <c r="J2" s="483" t="str">
        <f>+TITELBLAD!B18</f>
        <v>Rapportering over boekjaar:</v>
      </c>
      <c r="K2" s="483"/>
      <c r="L2" s="483"/>
      <c r="M2" s="483">
        <f>+TITELBLAD!E18</f>
        <v>2019</v>
      </c>
      <c r="N2" s="483" t="str">
        <f>+TITELBLAD!F18</f>
        <v>ex-ante</v>
      </c>
    </row>
    <row r="3" spans="1:14" ht="13" x14ac:dyDescent="0.25">
      <c r="B3" s="49" t="s">
        <v>62</v>
      </c>
      <c r="F3" s="176"/>
      <c r="H3" s="50"/>
      <c r="J3" s="483"/>
      <c r="K3" s="483"/>
      <c r="L3" s="483"/>
      <c r="M3" s="483"/>
      <c r="N3" s="483"/>
    </row>
    <row r="4" spans="1:14" ht="13" x14ac:dyDescent="0.25">
      <c r="B4" s="51" t="s">
        <v>183</v>
      </c>
      <c r="F4" s="176"/>
      <c r="H4" s="50"/>
      <c r="J4" s="483"/>
      <c r="K4" s="483"/>
      <c r="L4" s="483"/>
      <c r="M4" s="483"/>
      <c r="N4" s="483"/>
    </row>
    <row r="5" spans="1:14" ht="13" x14ac:dyDescent="0.25">
      <c r="B5" s="120"/>
      <c r="F5" s="176"/>
      <c r="H5" s="50"/>
    </row>
    <row r="6" spans="1:14" ht="13" x14ac:dyDescent="0.25">
      <c r="B6" s="49"/>
      <c r="F6" s="176"/>
      <c r="H6" s="50"/>
    </row>
    <row r="7" spans="1:14" s="51" customFormat="1" ht="14.25" customHeight="1" x14ac:dyDescent="0.25">
      <c r="A7" s="177"/>
      <c r="B7" s="1016"/>
      <c r="C7" s="1016"/>
      <c r="D7" s="1016"/>
      <c r="E7" s="1016"/>
      <c r="H7" s="178"/>
    </row>
    <row r="8" spans="1:14" x14ac:dyDescent="0.25">
      <c r="A8" s="179"/>
      <c r="B8" s="1016"/>
      <c r="C8" s="1016"/>
      <c r="D8" s="1016"/>
      <c r="E8" s="1016"/>
      <c r="F8" s="176"/>
      <c r="H8" s="50"/>
    </row>
    <row r="9" spans="1:14" x14ac:dyDescent="0.25">
      <c r="F9" s="176"/>
      <c r="H9" s="50"/>
    </row>
    <row r="10" spans="1:14" ht="13" x14ac:dyDescent="0.25">
      <c r="D10" s="123" t="s">
        <v>0</v>
      </c>
      <c r="E10" s="123" t="s">
        <v>1</v>
      </c>
    </row>
    <row r="11" spans="1:14" ht="12.75" customHeight="1" x14ac:dyDescent="0.25">
      <c r="D11" s="711" t="s">
        <v>2</v>
      </c>
      <c r="E11" s="711" t="s">
        <v>2</v>
      </c>
    </row>
    <row r="12" spans="1:14" x14ac:dyDescent="0.25">
      <c r="D12" s="711">
        <f>'T2'!D6</f>
        <v>2019</v>
      </c>
      <c r="E12" s="711">
        <f>$D$12</f>
        <v>2019</v>
      </c>
    </row>
    <row r="13" spans="1:14" x14ac:dyDescent="0.25">
      <c r="D13" s="711" t="str">
        <f>+TITELBLAD!$C$7</f>
        <v>Naam distributienetbeheerder</v>
      </c>
      <c r="E13" s="711" t="str">
        <f>+TITELBLAD!$C$7</f>
        <v>Naam distributienetbeheerder</v>
      </c>
    </row>
    <row r="14" spans="1:14" x14ac:dyDescent="0.25">
      <c r="D14" s="711" t="str">
        <f>TITELBLAD!$C$12</f>
        <v>elektriciteit</v>
      </c>
      <c r="E14" s="711" t="str">
        <f>TITELBLAD!$C$12</f>
        <v>elektriciteit</v>
      </c>
    </row>
    <row r="15" spans="1:14" x14ac:dyDescent="0.25">
      <c r="D15" s="712"/>
      <c r="E15" s="712"/>
    </row>
    <row r="16" spans="1:14" x14ac:dyDescent="0.25">
      <c r="B16" s="1004" t="s">
        <v>195</v>
      </c>
      <c r="C16" s="1017" t="s">
        <v>3</v>
      </c>
      <c r="D16" s="1018"/>
      <c r="E16" s="1019"/>
      <c r="F16" s="1022" t="s">
        <v>4</v>
      </c>
    </row>
    <row r="17" spans="1:7" x14ac:dyDescent="0.25">
      <c r="B17" s="1005"/>
      <c r="C17" s="1017"/>
      <c r="D17" s="1018"/>
      <c r="E17" s="1020"/>
      <c r="F17" s="1022"/>
    </row>
    <row r="18" spans="1:7" ht="42" customHeight="1" x14ac:dyDescent="0.25">
      <c r="B18" s="1006"/>
      <c r="C18" s="1017"/>
      <c r="D18" s="1018"/>
      <c r="E18" s="1021"/>
      <c r="F18" s="1022"/>
    </row>
    <row r="20" spans="1:7" ht="37.5" x14ac:dyDescent="0.25">
      <c r="A20" s="48">
        <v>1</v>
      </c>
      <c r="B20" s="127" t="str">
        <f>+T3A!B20</f>
        <v>Afbouw regulatoir saldo inzake exogene kosten m.b.t. distributie, zoals vastgelegd in de tariefmethodologie (positieve waarde voor recuperatie tekort, en omgekeerd)</v>
      </c>
      <c r="C20" s="7" t="str">
        <f>+T3A!C20</f>
        <v>TABEL 4B</v>
      </c>
      <c r="D20" s="683"/>
      <c r="E20" s="683"/>
      <c r="F20" s="128"/>
    </row>
    <row r="21" spans="1:7" ht="18.75" customHeight="1" x14ac:dyDescent="0.25">
      <c r="B21" s="702" t="str">
        <f>+T3A!B21</f>
        <v>M.b.t. het basistarief voor het gebruik van het net</v>
      </c>
      <c r="C21" s="836"/>
      <c r="D21" s="780">
        <f>+T3A!D21</f>
        <v>0</v>
      </c>
      <c r="E21" s="780">
        <f>+D21</f>
        <v>0</v>
      </c>
      <c r="F21" s="789" t="s">
        <v>5</v>
      </c>
    </row>
    <row r="22" spans="1:7" ht="18.75" customHeight="1" x14ac:dyDescent="0.25">
      <c r="B22" s="702" t="str">
        <f>+T3A!B22</f>
        <v>M.b.t. het tarief voor het systeembeheer</v>
      </c>
      <c r="C22" s="703"/>
      <c r="D22" s="780">
        <f>+T3A!D22</f>
        <v>0</v>
      </c>
      <c r="E22" s="780">
        <f t="shared" ref="E22:E28" si="0">+D22</f>
        <v>0</v>
      </c>
      <c r="F22" s="789" t="s">
        <v>5</v>
      </c>
    </row>
    <row r="23" spans="1:7" ht="18" customHeight="1" x14ac:dyDescent="0.25">
      <c r="B23" s="702" t="str">
        <f>+T3A!B23</f>
        <v>M.b.t. het tarief voor de meet-en telactiviteit</v>
      </c>
      <c r="C23" s="703"/>
      <c r="D23" s="780">
        <f>+T3A!D23</f>
        <v>0</v>
      </c>
      <c r="E23" s="780">
        <f t="shared" si="0"/>
        <v>0</v>
      </c>
      <c r="F23" s="789" t="s">
        <v>5</v>
      </c>
    </row>
    <row r="24" spans="1:7" ht="16.5" customHeight="1" x14ac:dyDescent="0.25">
      <c r="B24" s="702" t="str">
        <f>+T3A!B24</f>
        <v>M.b.t. het tarief voor openbare dienstverplichtingen</v>
      </c>
      <c r="C24" s="703"/>
      <c r="D24" s="780">
        <f>+T3A!D24</f>
        <v>0</v>
      </c>
      <c r="E24" s="780">
        <f t="shared" si="0"/>
        <v>0</v>
      </c>
      <c r="F24" s="789" t="s">
        <v>5</v>
      </c>
    </row>
    <row r="25" spans="1:7" ht="27.75" customHeight="1" x14ac:dyDescent="0.25">
      <c r="B25" s="702" t="str">
        <f>+T3A!B25</f>
        <v>M.b.t. het tarief voor de regeling van de spanning en het reactief vermogen</v>
      </c>
      <c r="C25" s="703"/>
      <c r="D25" s="780">
        <f>+T3A!D25</f>
        <v>0</v>
      </c>
      <c r="E25" s="780">
        <f t="shared" si="0"/>
        <v>0</v>
      </c>
      <c r="F25" s="789" t="s">
        <v>5</v>
      </c>
    </row>
    <row r="26" spans="1:7" ht="17.25" customHeight="1" x14ac:dyDescent="0.25">
      <c r="B26" s="702" t="str">
        <f>+T3A!B26</f>
        <v>M.b.t. het tarief voor de compensatie van de netverliezen</v>
      </c>
      <c r="C26" s="703"/>
      <c r="D26" s="780">
        <f>+T3A!D26</f>
        <v>0</v>
      </c>
      <c r="E26" s="780">
        <f t="shared" si="0"/>
        <v>0</v>
      </c>
      <c r="F26" s="789" t="s">
        <v>5</v>
      </c>
    </row>
    <row r="27" spans="1:7" ht="19.5" customHeight="1" x14ac:dyDescent="0.25">
      <c r="B27" s="702" t="str">
        <f>+T3A!B27</f>
        <v>M.b.t. het tarief voor de supplementaire en complementaire diensten</v>
      </c>
      <c r="C27" s="703"/>
      <c r="D27" s="780">
        <f>+T3A!D27</f>
        <v>0</v>
      </c>
      <c r="E27" s="780">
        <f t="shared" si="0"/>
        <v>0</v>
      </c>
      <c r="F27" s="789" t="s">
        <v>5</v>
      </c>
    </row>
    <row r="28" spans="1:7" ht="32.25" customHeight="1" x14ac:dyDescent="0.25">
      <c r="B28" s="702" t="str">
        <f>+T3A!B28</f>
        <v>M.b.t. het tarief voor belastingen, heffingen, toeslagen, bijdragen en retributies</v>
      </c>
      <c r="C28" s="703"/>
      <c r="D28" s="780">
        <f>+T3A!D28</f>
        <v>0</v>
      </c>
      <c r="E28" s="780">
        <f t="shared" si="0"/>
        <v>0</v>
      </c>
      <c r="F28" s="789" t="s">
        <v>5</v>
      </c>
    </row>
    <row r="29" spans="1:7" s="130" customFormat="1" ht="14.25" customHeight="1" x14ac:dyDescent="0.25">
      <c r="B29" s="815"/>
      <c r="C29" s="833"/>
      <c r="D29" s="816"/>
      <c r="E29" s="48"/>
      <c r="F29" s="818"/>
      <c r="G29" s="714"/>
    </row>
    <row r="30" spans="1:7" ht="37.5" x14ac:dyDescent="0.25">
      <c r="A30" s="48">
        <f>+A20+1</f>
        <v>2</v>
      </c>
      <c r="B30" s="127" t="str">
        <f>+T3A!B30</f>
        <v>Afbouw regulatoir saldo inzake exogene kosten m.b.t. transmissie, zoals vastgelegd in de tariefmethodologie (positieve waarde voor recuperatie tekort, en omgekeerd)</v>
      </c>
      <c r="C30" s="7" t="str">
        <f>+T3A!C30</f>
        <v>TABEL 4C</v>
      </c>
      <c r="D30" s="796">
        <f>+T3A!D30</f>
        <v>0</v>
      </c>
      <c r="E30" s="796">
        <f>+D30</f>
        <v>0</v>
      </c>
      <c r="F30" s="789" t="s">
        <v>5</v>
      </c>
    </row>
    <row r="31" spans="1:7" s="130" customFormat="1" ht="13" x14ac:dyDescent="0.25">
      <c r="B31" s="705"/>
      <c r="C31" s="720"/>
      <c r="D31" s="713"/>
      <c r="E31" s="713"/>
      <c r="F31" s="132"/>
      <c r="G31" s="714"/>
    </row>
    <row r="32" spans="1:7" ht="50" x14ac:dyDescent="0.25">
      <c r="A32" s="48">
        <f>+A30+1</f>
        <v>3</v>
      </c>
      <c r="B32" s="127" t="str">
        <f>+T3A!B32</f>
        <v>Afbouw regulatoir saldo inzake volumeverschillen voor endogene kosten (uitgezonderd volumeverschillen m.b.t. EAN's), zoals vastgelegd in de tariefmethodologie (positieve waarde voor recuperatie tekort, en omgekeerd)</v>
      </c>
      <c r="C32" s="7" t="str">
        <f>+T3A!C32</f>
        <v>TABEL 5B</v>
      </c>
      <c r="D32" s="683"/>
      <c r="E32" s="683"/>
      <c r="F32" s="128"/>
    </row>
    <row r="33" spans="1:9" ht="18.75" customHeight="1" x14ac:dyDescent="0.25">
      <c r="B33" s="702" t="str">
        <f>+T3A!B33</f>
        <v>M.b.t. het basistarief voor het gebruik van het net</v>
      </c>
      <c r="C33" s="836"/>
      <c r="D33" s="780">
        <f>+T3A!D33</f>
        <v>0</v>
      </c>
      <c r="E33" s="780">
        <f>+D33</f>
        <v>0</v>
      </c>
      <c r="F33" s="789" t="s">
        <v>5</v>
      </c>
    </row>
    <row r="34" spans="1:9" ht="18.75" customHeight="1" x14ac:dyDescent="0.25">
      <c r="B34" s="702" t="str">
        <f>+T3A!B34</f>
        <v>M.b.t. het tarief voor het systeembeheer</v>
      </c>
      <c r="C34" s="703"/>
      <c r="D34" s="780">
        <f>+T3A!D34</f>
        <v>0</v>
      </c>
      <c r="E34" s="780">
        <f t="shared" ref="E34:E39" si="1">+D34</f>
        <v>0</v>
      </c>
      <c r="F34" s="789" t="s">
        <v>5</v>
      </c>
    </row>
    <row r="35" spans="1:9" ht="16.5" customHeight="1" x14ac:dyDescent="0.25">
      <c r="B35" s="702" t="str">
        <f>+T3A!B35</f>
        <v>M.b.t. het tarief voor openbare dienstverplichtingen</v>
      </c>
      <c r="C35" s="703"/>
      <c r="D35" s="780">
        <f>+T3A!D35</f>
        <v>0</v>
      </c>
      <c r="E35" s="780">
        <f t="shared" si="1"/>
        <v>0</v>
      </c>
      <c r="F35" s="789" t="s">
        <v>5</v>
      </c>
    </row>
    <row r="36" spans="1:9" ht="27.75" customHeight="1" x14ac:dyDescent="0.25">
      <c r="B36" s="702" t="str">
        <f>+T3A!B36</f>
        <v>M.b.t. het tarief voor de regeling van de spanning en het reactief vermogen</v>
      </c>
      <c r="C36" s="703"/>
      <c r="D36" s="780">
        <f>+T3A!D36</f>
        <v>0</v>
      </c>
      <c r="E36" s="780">
        <f t="shared" si="1"/>
        <v>0</v>
      </c>
      <c r="F36" s="789" t="s">
        <v>5</v>
      </c>
    </row>
    <row r="37" spans="1:9" ht="17.25" customHeight="1" x14ac:dyDescent="0.25">
      <c r="B37" s="702" t="str">
        <f>+T3A!B37</f>
        <v>M.b.t. het tarief voor de compensatie van de netverliezen</v>
      </c>
      <c r="C37" s="703"/>
      <c r="D37" s="780">
        <f>+T3A!D37</f>
        <v>0</v>
      </c>
      <c r="E37" s="780">
        <f t="shared" si="1"/>
        <v>0</v>
      </c>
      <c r="F37" s="789" t="s">
        <v>5</v>
      </c>
    </row>
    <row r="38" spans="1:9" ht="19.5" customHeight="1" x14ac:dyDescent="0.25">
      <c r="B38" s="702" t="str">
        <f>+T3A!B38</f>
        <v>M.b.t. het tarief voor de supplementaire en complementaire diensten</v>
      </c>
      <c r="C38" s="703"/>
      <c r="D38" s="780">
        <f>+T3A!D38</f>
        <v>0</v>
      </c>
      <c r="E38" s="780">
        <f t="shared" si="1"/>
        <v>0</v>
      </c>
      <c r="F38" s="789" t="s">
        <v>5</v>
      </c>
    </row>
    <row r="39" spans="1:9" ht="30" customHeight="1" x14ac:dyDescent="0.25">
      <c r="B39" s="702" t="str">
        <f>+T3A!B39</f>
        <v>M.b.t. het tarief voor belastingen, heffingen, toeslagen, bijdragen en retributies</v>
      </c>
      <c r="C39" s="703"/>
      <c r="D39" s="780">
        <f>+T3A!D39</f>
        <v>0</v>
      </c>
      <c r="E39" s="780">
        <f t="shared" si="1"/>
        <v>0</v>
      </c>
      <c r="F39" s="789" t="s">
        <v>5</v>
      </c>
    </row>
    <row r="40" spans="1:9" s="130" customFormat="1" ht="13" x14ac:dyDescent="0.25">
      <c r="B40" s="150"/>
      <c r="C40" s="180"/>
      <c r="D40" s="131"/>
      <c r="E40" s="132"/>
      <c r="F40" s="48"/>
      <c r="G40" s="176"/>
      <c r="H40" s="48"/>
      <c r="I40" s="48"/>
    </row>
    <row r="41" spans="1:9" ht="48" customHeight="1" x14ac:dyDescent="0.25">
      <c r="A41" s="48">
        <f>A32+1</f>
        <v>4</v>
      </c>
      <c r="B41" s="127" t="str">
        <f>+T3A!B41</f>
        <v>Afbouw regulatoir saldo inzake herindexering van het budget voor endogene kosten, zoals vastgelegd in de tariefmethodologie (positieve waarde voor recuperatie tekort, en omgekeerd)</v>
      </c>
      <c r="C41" s="7" t="str">
        <f>+T3A!C41</f>
        <v>TABEL 6B</v>
      </c>
      <c r="D41" s="667"/>
      <c r="E41" s="128"/>
      <c r="F41" s="48"/>
    </row>
    <row r="42" spans="1:9" s="20" customFormat="1" ht="22.5" customHeight="1" x14ac:dyDescent="0.25">
      <c r="A42" s="48"/>
      <c r="B42" s="702" t="str">
        <f>+T3A!B42</f>
        <v>M.b.t. het basistarief voor het gebruik van het net</v>
      </c>
      <c r="C42" s="835"/>
      <c r="D42" s="780">
        <f>+T3A!D42</f>
        <v>0</v>
      </c>
      <c r="E42" s="780">
        <f>+D42</f>
        <v>0</v>
      </c>
      <c r="F42" s="789" t="s">
        <v>5</v>
      </c>
      <c r="G42" s="176"/>
    </row>
    <row r="43" spans="1:9" s="20" customFormat="1" ht="23.25" customHeight="1" x14ac:dyDescent="0.25">
      <c r="A43" s="48"/>
      <c r="B43" s="702" t="str">
        <f>+T3A!B43</f>
        <v>M.b.t. het tarief voor het systeembeheer</v>
      </c>
      <c r="C43" s="743"/>
      <c r="D43" s="780">
        <f>+T3A!D43</f>
        <v>0</v>
      </c>
      <c r="E43" s="780">
        <f t="shared" ref="E43:E49" si="2">+D43</f>
        <v>0</v>
      </c>
      <c r="F43" s="789" t="s">
        <v>5</v>
      </c>
      <c r="G43" s="176"/>
    </row>
    <row r="44" spans="1:9" s="20" customFormat="1" ht="19.5" customHeight="1" x14ac:dyDescent="0.25">
      <c r="A44" s="48"/>
      <c r="B44" s="702" t="str">
        <f>+T3A!B44</f>
        <v>M.b.t. het tarief voor de meet-en telactiviteit</v>
      </c>
      <c r="C44" s="743"/>
      <c r="D44" s="780">
        <f>+T3A!D44</f>
        <v>0</v>
      </c>
      <c r="E44" s="780">
        <f t="shared" si="2"/>
        <v>0</v>
      </c>
      <c r="F44" s="789" t="s">
        <v>5</v>
      </c>
      <c r="G44" s="176"/>
    </row>
    <row r="45" spans="1:9" s="20" customFormat="1" ht="19.5" customHeight="1" x14ac:dyDescent="0.25">
      <c r="A45" s="48"/>
      <c r="B45" s="702" t="str">
        <f>+T3A!B45</f>
        <v>M.b.t. het tarief voor openbare dienstverplichtingen</v>
      </c>
      <c r="C45" s="743"/>
      <c r="D45" s="780">
        <f>+T3A!D45</f>
        <v>0</v>
      </c>
      <c r="E45" s="780">
        <f t="shared" si="2"/>
        <v>0</v>
      </c>
      <c r="F45" s="789" t="s">
        <v>5</v>
      </c>
      <c r="G45" s="176"/>
    </row>
    <row r="46" spans="1:9" s="20" customFormat="1" ht="31.5" customHeight="1" x14ac:dyDescent="0.25">
      <c r="A46" s="48"/>
      <c r="B46" s="702" t="str">
        <f>+T3A!B46</f>
        <v>M.b.t. het tarief voor de regeling van de spanning en het reactief vermogen</v>
      </c>
      <c r="C46" s="743"/>
      <c r="D46" s="780">
        <f>+T3A!D46</f>
        <v>0</v>
      </c>
      <c r="E46" s="780">
        <f t="shared" si="2"/>
        <v>0</v>
      </c>
      <c r="F46" s="789" t="s">
        <v>5</v>
      </c>
      <c r="G46" s="176"/>
    </row>
    <row r="47" spans="1:9" s="20" customFormat="1" ht="21" customHeight="1" x14ac:dyDescent="0.25">
      <c r="A47" s="48"/>
      <c r="B47" s="702" t="str">
        <f>+T3A!B47</f>
        <v>M.b.t. het tarief voor de compensatie van de netverliezen</v>
      </c>
      <c r="C47" s="743"/>
      <c r="D47" s="780">
        <f>+T3A!D47</f>
        <v>0</v>
      </c>
      <c r="E47" s="780">
        <f t="shared" si="2"/>
        <v>0</v>
      </c>
      <c r="F47" s="789" t="s">
        <v>5</v>
      </c>
      <c r="G47" s="176"/>
    </row>
    <row r="48" spans="1:9" s="20" customFormat="1" ht="25.5" customHeight="1" x14ac:dyDescent="0.25">
      <c r="A48" s="48"/>
      <c r="B48" s="702" t="str">
        <f>+T3A!B48</f>
        <v>M.b.t. het tarief voor de supplementaire en complementaire diensten</v>
      </c>
      <c r="C48" s="743"/>
      <c r="D48" s="780">
        <f>+T3A!D48</f>
        <v>0</v>
      </c>
      <c r="E48" s="780">
        <f t="shared" si="2"/>
        <v>0</v>
      </c>
      <c r="F48" s="789" t="s">
        <v>5</v>
      </c>
      <c r="G48" s="176"/>
    </row>
    <row r="49" spans="1:9" s="20" customFormat="1" ht="30" customHeight="1" x14ac:dyDescent="0.25">
      <c r="A49" s="48"/>
      <c r="B49" s="702" t="str">
        <f>+T3A!B49</f>
        <v>M.b.t. het tarief voor belastingen, heffingen, toeslagen, bijdragen en retributies</v>
      </c>
      <c r="C49" s="743"/>
      <c r="D49" s="780">
        <f>+T3A!D49</f>
        <v>0</v>
      </c>
      <c r="E49" s="780">
        <f t="shared" si="2"/>
        <v>0</v>
      </c>
      <c r="F49" s="789" t="s">
        <v>5</v>
      </c>
      <c r="G49" s="176"/>
    </row>
    <row r="50" spans="1:9" s="130" customFormat="1" ht="13" x14ac:dyDescent="0.25">
      <c r="B50" s="150"/>
      <c r="C50" s="180"/>
      <c r="D50" s="713"/>
      <c r="E50" s="132"/>
      <c r="F50" s="48"/>
      <c r="G50" s="176"/>
      <c r="H50" s="48"/>
      <c r="I50" s="48"/>
    </row>
    <row r="51" spans="1:9" ht="48" customHeight="1" x14ac:dyDescent="0.25">
      <c r="A51" s="48">
        <f>+A41+1</f>
        <v>5</v>
      </c>
      <c r="B51" s="127" t="str">
        <f>+T3A!B51</f>
        <v>Afbouw regulatoir saldo inzake vennootschapsbelasting, zoals vastgelegd in de tariefmethodologie (positieve waarde voor recuperatie tekort, en omgekeerd)</v>
      </c>
      <c r="C51" s="7" t="str">
        <f>+T3A!C51</f>
        <v>TABEL 7</v>
      </c>
      <c r="D51" s="683"/>
      <c r="E51" s="128"/>
      <c r="F51" s="48"/>
    </row>
    <row r="52" spans="1:9" s="20" customFormat="1" ht="22.5" customHeight="1" x14ac:dyDescent="0.25">
      <c r="A52" s="48"/>
      <c r="B52" s="702" t="str">
        <f>+T3A!B52</f>
        <v>M.b.t. het basistarief voor het gebruik van het net</v>
      </c>
      <c r="C52" s="835"/>
      <c r="D52" s="780">
        <f>+T3A!D52</f>
        <v>0</v>
      </c>
      <c r="E52" s="780">
        <f>+D52</f>
        <v>0</v>
      </c>
      <c r="F52" s="128" t="s">
        <v>5</v>
      </c>
      <c r="G52" s="176"/>
    </row>
    <row r="53" spans="1:9" s="130" customFormat="1" ht="13" x14ac:dyDescent="0.25">
      <c r="B53" s="707"/>
      <c r="C53" s="180"/>
      <c r="D53" s="713"/>
      <c r="E53" s="713"/>
      <c r="F53" s="148"/>
      <c r="G53" s="176"/>
    </row>
    <row r="54" spans="1:9" ht="48" customHeight="1" x14ac:dyDescent="0.25">
      <c r="A54" s="48">
        <f>+A51+1</f>
        <v>6</v>
      </c>
      <c r="B54" s="127" t="str">
        <f>+T3A!B54</f>
        <v>Afbouw van regulatoir actief/passief geboekt onder voorgaande tariefmethodologieën, zoals vastgelegd in de VREG tariefmethodologie (positieve waarde voor recuperatie tekort, en omgekeerd)</v>
      </c>
      <c r="C54" s="7" t="str">
        <f>+T3A!C54</f>
        <v>TABEL 8</v>
      </c>
      <c r="D54" s="683"/>
      <c r="E54" s="683"/>
      <c r="F54" s="144"/>
    </row>
    <row r="55" spans="1:9" s="20" customFormat="1" ht="21.75" customHeight="1" x14ac:dyDescent="0.25">
      <c r="A55" s="48"/>
      <c r="B55" s="702" t="str">
        <f>+T3A!B55</f>
        <v>M.b.t. het basistarief voor het gebruik van het net</v>
      </c>
      <c r="C55" s="834"/>
      <c r="D55" s="780">
        <f>+T3A!D55</f>
        <v>0</v>
      </c>
      <c r="E55" s="780">
        <f>+D55</f>
        <v>0</v>
      </c>
      <c r="F55" s="789" t="s">
        <v>5</v>
      </c>
      <c r="G55" s="610"/>
    </row>
    <row r="56" spans="1:9" s="20" customFormat="1" ht="18.75" customHeight="1" x14ac:dyDescent="0.25">
      <c r="A56" s="48"/>
      <c r="B56" s="702" t="str">
        <f>+T3A!B56</f>
        <v>M.b.t. het tarief voor het systeembeheer</v>
      </c>
      <c r="C56" s="748"/>
      <c r="D56" s="780">
        <f>+T3A!D56</f>
        <v>0</v>
      </c>
      <c r="E56" s="780">
        <f t="shared" ref="E56:E64" si="3">+D56</f>
        <v>0</v>
      </c>
      <c r="F56" s="789" t="s">
        <v>5</v>
      </c>
      <c r="G56" s="610"/>
    </row>
    <row r="57" spans="1:9" s="20" customFormat="1" ht="19.5" customHeight="1" x14ac:dyDescent="0.25">
      <c r="A57" s="48"/>
      <c r="B57" s="702" t="str">
        <f>+T3A!B57</f>
        <v>M.b.t. het tarief voor de meet-en telactiviteit</v>
      </c>
      <c r="C57" s="748"/>
      <c r="D57" s="780">
        <f>+T3A!D57</f>
        <v>0</v>
      </c>
      <c r="E57" s="780">
        <f t="shared" si="3"/>
        <v>0</v>
      </c>
      <c r="F57" s="789" t="s">
        <v>5</v>
      </c>
      <c r="G57" s="610"/>
    </row>
    <row r="58" spans="1:9" s="20" customFormat="1" ht="15.75" customHeight="1" x14ac:dyDescent="0.25">
      <c r="A58" s="48"/>
      <c r="B58" s="702" t="str">
        <f>+T3A!B58</f>
        <v>M.b.t. het tarief voor openbare dienstverplichtingen</v>
      </c>
      <c r="C58" s="748"/>
      <c r="D58" s="780">
        <f>+T3A!D58</f>
        <v>0</v>
      </c>
      <c r="E58" s="780">
        <f t="shared" si="3"/>
        <v>0</v>
      </c>
      <c r="F58" s="789" t="s">
        <v>5</v>
      </c>
      <c r="G58" s="610"/>
    </row>
    <row r="59" spans="1:9" s="20" customFormat="1" ht="31.5" customHeight="1" x14ac:dyDescent="0.25">
      <c r="A59" s="48"/>
      <c r="B59" s="702" t="str">
        <f>+T3A!B59</f>
        <v>M.b.t. het tarief in verband met het gebruik van het transmissienet (excl federale bijdrage elektriciteit)</v>
      </c>
      <c r="C59" s="748"/>
      <c r="D59" s="780">
        <f>+T3A!D59</f>
        <v>0</v>
      </c>
      <c r="E59" s="780">
        <f t="shared" si="3"/>
        <v>0</v>
      </c>
      <c r="F59" s="789" t="s">
        <v>5</v>
      </c>
      <c r="G59" s="610"/>
    </row>
    <row r="60" spans="1:9" s="20" customFormat="1" ht="30.75" customHeight="1" x14ac:dyDescent="0.25">
      <c r="A60" s="48"/>
      <c r="B60" s="702" t="str">
        <f>+T3A!B60</f>
        <v>M.b.t. het tarief voor de regeling van de spanning en het reactief vermogen</v>
      </c>
      <c r="C60" s="748"/>
      <c r="D60" s="780">
        <f>+T3A!D60</f>
        <v>0</v>
      </c>
      <c r="E60" s="780">
        <f t="shared" si="3"/>
        <v>0</v>
      </c>
      <c r="F60" s="789" t="s">
        <v>5</v>
      </c>
      <c r="G60" s="610"/>
    </row>
    <row r="61" spans="1:9" s="20" customFormat="1" ht="22.5" customHeight="1" x14ac:dyDescent="0.25">
      <c r="A61" s="48"/>
      <c r="B61" s="702" t="str">
        <f>+T3A!B61</f>
        <v>M.b.t. het tarief voor de compensatie van de netverliezen</v>
      </c>
      <c r="C61" s="748"/>
      <c r="D61" s="780">
        <f>+T3A!D61</f>
        <v>0</v>
      </c>
      <c r="E61" s="780">
        <f t="shared" si="3"/>
        <v>0</v>
      </c>
      <c r="F61" s="789" t="s">
        <v>5</v>
      </c>
      <c r="G61" s="610"/>
    </row>
    <row r="62" spans="1:9" s="20" customFormat="1" ht="24.75" customHeight="1" x14ac:dyDescent="0.25">
      <c r="A62" s="48"/>
      <c r="B62" s="702" t="str">
        <f>+T3A!B62</f>
        <v>M.b.t. het tarief voor de supplementaire en complementaire diensten</v>
      </c>
      <c r="C62" s="748"/>
      <c r="D62" s="780">
        <f>+T3A!D62</f>
        <v>0</v>
      </c>
      <c r="E62" s="780">
        <f t="shared" si="3"/>
        <v>0</v>
      </c>
      <c r="F62" s="789" t="s">
        <v>5</v>
      </c>
      <c r="G62" s="610"/>
    </row>
    <row r="63" spans="1:9" s="20" customFormat="1" ht="33" customHeight="1" x14ac:dyDescent="0.25">
      <c r="A63" s="48"/>
      <c r="B63" s="702" t="str">
        <f>+T3A!B63</f>
        <v>M.b.t. het tarief voor belastingen, heffingen, toeslagen, bijdragen en retributies</v>
      </c>
      <c r="C63" s="748"/>
      <c r="D63" s="780">
        <f>+T3A!D63</f>
        <v>0</v>
      </c>
      <c r="E63" s="780">
        <f t="shared" si="3"/>
        <v>0</v>
      </c>
      <c r="F63" s="789" t="s">
        <v>5</v>
      </c>
      <c r="G63" s="610"/>
    </row>
    <row r="64" spans="1:9" s="20" customFormat="1" ht="16.5" customHeight="1" x14ac:dyDescent="0.25">
      <c r="A64" s="48"/>
      <c r="B64" s="702" t="str">
        <f>+T3A!B64</f>
        <v>M.b.t. de niet-periodieke tarieven</v>
      </c>
      <c r="C64" s="748"/>
      <c r="D64" s="780">
        <f>+T3A!D64</f>
        <v>0</v>
      </c>
      <c r="E64" s="780">
        <f t="shared" si="3"/>
        <v>0</v>
      </c>
      <c r="F64" s="789" t="s">
        <v>5</v>
      </c>
      <c r="G64" s="610"/>
    </row>
    <row r="65" spans="1:7" ht="13" x14ac:dyDescent="0.25">
      <c r="B65" s="136"/>
      <c r="C65" s="182"/>
      <c r="D65" s="715"/>
      <c r="E65" s="715"/>
      <c r="F65" s="129"/>
    </row>
    <row r="66" spans="1:7" ht="33" customHeight="1" x14ac:dyDescent="0.25">
      <c r="A66" s="48">
        <f>A54+1</f>
        <v>7</v>
      </c>
      <c r="B66" s="133" t="str">
        <f>+T3A!B66</f>
        <v>Kosten van de openbaredienstverplichtingen m.b.t. het stimuleren van rationeel energiegebruik (REG):</v>
      </c>
      <c r="C66" s="139"/>
      <c r="D66" s="683">
        <f>+T3A!D66</f>
        <v>0</v>
      </c>
      <c r="E66" s="683">
        <f>SUM(E67:E69)</f>
        <v>0</v>
      </c>
      <c r="F66" s="128" t="s">
        <v>5</v>
      </c>
    </row>
    <row r="67" spans="1:7" ht="28.5" customHeight="1" x14ac:dyDescent="0.25">
      <c r="B67" s="432" t="str">
        <f>+T3A!B67</f>
        <v>Kosten m.b.t. REG-premies (volgens het Energiebesluit artikels 6.4.1/1 t.e.m. 6.4.1/5)</v>
      </c>
      <c r="C67" s="139">
        <f>+T3A!C67</f>
        <v>0</v>
      </c>
      <c r="D67" s="181">
        <f>+T3A!D67</f>
        <v>0</v>
      </c>
      <c r="E67" s="744">
        <v>0</v>
      </c>
      <c r="F67" s="128"/>
    </row>
    <row r="68" spans="1:7" ht="31.5" customHeight="1" x14ac:dyDescent="0.25">
      <c r="B68" s="432" t="str">
        <f>+T3A!B68</f>
        <v>Kosten m.b.t. de actieverplichting energiescans (volgens het Energiebesluit artikel 6.4.1/8)</v>
      </c>
      <c r="C68" s="139">
        <f>+T3A!C68</f>
        <v>0</v>
      </c>
      <c r="D68" s="181">
        <f>+T3A!D68</f>
        <v>0</v>
      </c>
      <c r="E68" s="744">
        <v>0</v>
      </c>
      <c r="F68" s="128"/>
    </row>
    <row r="69" spans="1:7" ht="31.5" customHeight="1" x14ac:dyDescent="0.25">
      <c r="B69" s="432" t="str">
        <f>+T3A!B69</f>
        <v>Kosten m.b.t. de actieverplichting sociale dakisolatieprojecten (volgens het Energiebesluit artikel 6.4.1/9)</v>
      </c>
      <c r="C69" s="139">
        <f>+T3A!C69</f>
        <v>0</v>
      </c>
      <c r="D69" s="181">
        <f>+T3A!D69</f>
        <v>0</v>
      </c>
      <c r="E69" s="744">
        <v>0</v>
      </c>
      <c r="F69" s="128"/>
    </row>
    <row r="70" spans="1:7" ht="30" customHeight="1" x14ac:dyDescent="0.25">
      <c r="B70" s="133" t="str">
        <f>+T3A!B70</f>
        <v>Recuperatie van kosten van de openbaredienstverplichtingen m.b.t. het stimuleren van rationeel energiegebruik (REG):</v>
      </c>
      <c r="C70" s="139"/>
      <c r="D70" s="683">
        <f>+T3A!D70</f>
        <v>0</v>
      </c>
      <c r="E70" s="683">
        <f>SUM(E71:E73)</f>
        <v>0</v>
      </c>
      <c r="F70" s="745" t="s">
        <v>9</v>
      </c>
    </row>
    <row r="71" spans="1:7" ht="31.5" customHeight="1" x14ac:dyDescent="0.25">
      <c r="B71" s="432" t="str">
        <f>+T3A!B71</f>
        <v>Recuperatie van kosten m.b.t. REG-premies (volgens het Energiebesluit artikel 6.4.1/12 §2)</v>
      </c>
      <c r="C71" s="139">
        <f>+T3A!C71</f>
        <v>0</v>
      </c>
      <c r="D71" s="181">
        <f>+T3A!D71</f>
        <v>0</v>
      </c>
      <c r="E71" s="744">
        <v>0</v>
      </c>
      <c r="F71" s="128"/>
    </row>
    <row r="72" spans="1:7" ht="34.5" customHeight="1" x14ac:dyDescent="0.25">
      <c r="B72" s="432" t="str">
        <f>+T3A!B72</f>
        <v>Recuperatie van kosten m.b.t. de actieverplichting energiescans (volgens het Energiebesluit artikel 6.4.1/12 §3)</v>
      </c>
      <c r="C72" s="139">
        <f>+T3A!C72</f>
        <v>0</v>
      </c>
      <c r="D72" s="181">
        <f>+T3A!D72</f>
        <v>0</v>
      </c>
      <c r="E72" s="744">
        <v>0</v>
      </c>
      <c r="F72" s="128"/>
    </row>
    <row r="73" spans="1:7" ht="36.75" customHeight="1" x14ac:dyDescent="0.25">
      <c r="B73" s="432" t="str">
        <f>+T3A!B73</f>
        <v>Recuperatie van kosten m.b.t. de actieverplichting sociale dakisolatieprojecten (volgens het Energiebesluit artikel 6.4.1/12 §4)</v>
      </c>
      <c r="C73" s="139">
        <f>+T3A!C73</f>
        <v>0</v>
      </c>
      <c r="D73" s="181">
        <f>+T3A!D73</f>
        <v>0</v>
      </c>
      <c r="E73" s="744">
        <v>0</v>
      </c>
      <c r="F73" s="128"/>
    </row>
    <row r="74" spans="1:7" s="130" customFormat="1" ht="13" x14ac:dyDescent="0.25">
      <c r="B74" s="706"/>
      <c r="C74" s="141"/>
      <c r="D74" s="717"/>
      <c r="E74" s="717"/>
      <c r="F74" s="129"/>
      <c r="G74" s="714"/>
    </row>
    <row r="75" spans="1:7" ht="25" x14ac:dyDescent="0.25">
      <c r="A75" s="48">
        <f>A66+1</f>
        <v>8</v>
      </c>
      <c r="B75" s="133" t="str">
        <f>+T3A!B75</f>
        <v>Verplicht aangekochte groenestroom- en warmtekrachtcertificaten (GSC en WKC) aan minimumwaarde volgens Energiedecreet</v>
      </c>
      <c r="C75" s="139"/>
      <c r="D75" s="683"/>
      <c r="E75" s="718"/>
      <c r="F75" s="144"/>
    </row>
    <row r="76" spans="1:7" ht="20.25" customHeight="1" x14ac:dyDescent="0.25">
      <c r="B76" s="432" t="str">
        <f>+T3A!B76</f>
        <v>Aangekochte GSC</v>
      </c>
      <c r="C76" s="139">
        <f>T3A!C76</f>
        <v>0</v>
      </c>
      <c r="D76" s="181">
        <f>T3A!D76</f>
        <v>0</v>
      </c>
      <c r="E76" s="779">
        <v>0</v>
      </c>
      <c r="F76" s="128" t="s">
        <v>5</v>
      </c>
    </row>
    <row r="77" spans="1:7" ht="21.75" customHeight="1" x14ac:dyDescent="0.25">
      <c r="B77" s="432" t="str">
        <f>+T3A!B77</f>
        <v>Aangekochte WKC</v>
      </c>
      <c r="C77" s="139">
        <f>T3A!C77</f>
        <v>0</v>
      </c>
      <c r="D77" s="181">
        <f>T3A!D77</f>
        <v>0</v>
      </c>
      <c r="E77" s="779">
        <v>0</v>
      </c>
      <c r="F77" s="128" t="s">
        <v>5</v>
      </c>
    </row>
    <row r="78" spans="1:7" ht="13" x14ac:dyDescent="0.25">
      <c r="B78" s="145"/>
      <c r="C78" s="146"/>
      <c r="D78" s="719"/>
      <c r="E78" s="719"/>
      <c r="F78" s="148"/>
    </row>
    <row r="79" spans="1:7" s="20" customFormat="1" ht="13" x14ac:dyDescent="0.25">
      <c r="A79" s="48">
        <f>A75+1</f>
        <v>9</v>
      </c>
      <c r="B79" s="133" t="str">
        <f>+T3A!B79</f>
        <v xml:space="preserve">Verkochte GSC en WKC </v>
      </c>
      <c r="C79" s="139"/>
      <c r="D79" s="683"/>
      <c r="E79" s="718"/>
      <c r="F79" s="144"/>
      <c r="G79" s="176"/>
    </row>
    <row r="80" spans="1:7" s="20" customFormat="1" ht="20.25" customHeight="1" x14ac:dyDescent="0.25">
      <c r="A80" s="48"/>
      <c r="B80" s="432" t="str">
        <f>+T3A!B80</f>
        <v>Verkochte GSC</v>
      </c>
      <c r="C80" s="139">
        <f>T3A!C80</f>
        <v>0</v>
      </c>
      <c r="D80" s="181">
        <f>T3A!D80</f>
        <v>0</v>
      </c>
      <c r="E80" s="779">
        <v>0</v>
      </c>
      <c r="F80" s="128" t="s">
        <v>9</v>
      </c>
      <c r="G80" s="176"/>
    </row>
    <row r="81" spans="1:8" s="20" customFormat="1" ht="20.25" customHeight="1" x14ac:dyDescent="0.25">
      <c r="A81" s="48"/>
      <c r="B81" s="432" t="str">
        <f>+T3A!B81</f>
        <v>Verkochte WKC</v>
      </c>
      <c r="C81" s="139">
        <f>T3A!C81</f>
        <v>0</v>
      </c>
      <c r="D81" s="181">
        <f>T3A!D81</f>
        <v>0</v>
      </c>
      <c r="E81" s="779">
        <v>0</v>
      </c>
      <c r="F81" s="128" t="s">
        <v>9</v>
      </c>
      <c r="G81" s="176"/>
    </row>
    <row r="82" spans="1:8" s="20" customFormat="1" ht="13" x14ac:dyDescent="0.25">
      <c r="A82" s="48"/>
      <c r="B82" s="145"/>
      <c r="C82" s="146"/>
      <c r="D82" s="719"/>
      <c r="E82" s="719"/>
      <c r="F82" s="132"/>
      <c r="G82" s="176"/>
    </row>
    <row r="83" spans="1:8" ht="33" customHeight="1" x14ac:dyDescent="0.25">
      <c r="A83" s="48">
        <f>A79+1</f>
        <v>10</v>
      </c>
      <c r="B83" s="133" t="str">
        <f>+T3A!B83</f>
        <v>Voorraadwijziging groenestroomcertificaten (toename voorraad: negatieve waarde, afname voorraad: positieve waarde)</v>
      </c>
      <c r="C83" s="157">
        <f>T3A!C83</f>
        <v>0</v>
      </c>
      <c r="D83" s="683">
        <f>T3A!D83</f>
        <v>0</v>
      </c>
      <c r="E83" s="716">
        <v>0</v>
      </c>
      <c r="F83" s="128" t="s">
        <v>5</v>
      </c>
    </row>
    <row r="84" spans="1:8" ht="13" x14ac:dyDescent="0.25">
      <c r="B84" s="707"/>
      <c r="C84" s="151"/>
      <c r="D84" s="719"/>
      <c r="E84" s="719"/>
      <c r="F84" s="132"/>
    </row>
    <row r="85" spans="1:8" ht="31.5" customHeight="1" x14ac:dyDescent="0.25">
      <c r="A85" s="48">
        <f>A83+1</f>
        <v>11</v>
      </c>
      <c r="B85" s="133" t="str">
        <f>+T3A!B85</f>
        <v>Voorraadwijziging warmtekrachtcertificaten (toename voorraad: negatieve waarde, afname voorraad: positieve waarde)</v>
      </c>
      <c r="C85" s="157">
        <f>T3A!C85</f>
        <v>0</v>
      </c>
      <c r="D85" s="683">
        <f>T3A!D85</f>
        <v>0</v>
      </c>
      <c r="E85" s="716">
        <v>0</v>
      </c>
      <c r="F85" s="128" t="s">
        <v>5</v>
      </c>
      <c r="H85" s="109"/>
    </row>
    <row r="86" spans="1:8" ht="13" x14ac:dyDescent="0.25">
      <c r="A86" s="130"/>
      <c r="B86" s="136"/>
      <c r="C86" s="129"/>
      <c r="D86" s="715"/>
      <c r="E86" s="715"/>
      <c r="F86" s="129"/>
    </row>
    <row r="87" spans="1:8" ht="60.75" customHeight="1" x14ac:dyDescent="0.25">
      <c r="A87" s="48">
        <f>A85+1</f>
        <v>12</v>
      </c>
      <c r="B87" s="133" t="str">
        <f>+T3A!B87</f>
        <v>Netto-uitgaven/ -inkomsten (positieve waarde voor een netto-uitgave, en omgekeerd) i.h.k.v. de verrekening van de kost van groenestroom- en warmtekrachtcertificaten onder distributienetbeheerders volgens Energiedecreet (solidarisering opkoopverplichting)</v>
      </c>
      <c r="C87" s="157">
        <f>T3A!C87</f>
        <v>0</v>
      </c>
      <c r="D87" s="683">
        <f>T3A!D87</f>
        <v>0</v>
      </c>
      <c r="E87" s="716">
        <v>0</v>
      </c>
      <c r="F87" s="128" t="s">
        <v>5</v>
      </c>
      <c r="H87" s="109"/>
    </row>
    <row r="88" spans="1:8" ht="13" x14ac:dyDescent="0.25">
      <c r="B88" s="136"/>
      <c r="C88" s="154"/>
      <c r="D88" s="715"/>
      <c r="E88" s="715"/>
      <c r="F88" s="129"/>
    </row>
    <row r="89" spans="1:8" s="20" customFormat="1" ht="70.5" customHeight="1" x14ac:dyDescent="0.25">
      <c r="A89" s="48">
        <f>A87+1</f>
        <v>13</v>
      </c>
      <c r="B89" s="155" t="str">
        <f>+T3A!B89</f>
        <v>Inkomsten verkregen van Vlaamse Overheid (VEA) m.b.t. op de markt verkochte geïmmobiliseerde certificaten (cfr Energiebesluit artikel 6.4.14/2 §3) (niet inkomsten verkregen van Vlaamse Overheid (VEA) m.b.t. werkelijke externe financieringskosten zoals beschreven in Energiebesluit artikel 6.4.14/2 §2)</v>
      </c>
      <c r="C89" s="157">
        <f>T3A!C89</f>
        <v>0</v>
      </c>
      <c r="D89" s="683">
        <f>T3A!D89</f>
        <v>0</v>
      </c>
      <c r="E89" s="716">
        <v>0</v>
      </c>
      <c r="F89" s="128" t="s">
        <v>9</v>
      </c>
      <c r="G89" s="610"/>
    </row>
    <row r="90" spans="1:8" ht="13" x14ac:dyDescent="0.25">
      <c r="A90" s="130"/>
      <c r="B90" s="136"/>
      <c r="C90" s="153"/>
      <c r="D90" s="715"/>
      <c r="E90" s="715"/>
      <c r="F90" s="129"/>
    </row>
    <row r="91" spans="1:8" ht="28.5" customHeight="1" x14ac:dyDescent="0.25">
      <c r="A91" s="48">
        <f>A89+1</f>
        <v>14</v>
      </c>
      <c r="B91" s="155" t="str">
        <f>+T3A!B91</f>
        <v>Afrekeningskosten van de gratis kWh, zoals was vermeld in het Energiedecreet</v>
      </c>
      <c r="C91" s="455">
        <f>+T3A!C91</f>
        <v>0</v>
      </c>
      <c r="D91" s="683">
        <f>T3A!D91</f>
        <v>0</v>
      </c>
      <c r="E91" s="716">
        <v>0</v>
      </c>
      <c r="F91" s="128" t="s">
        <v>5</v>
      </c>
    </row>
    <row r="92" spans="1:8" s="20" customFormat="1" ht="13" x14ac:dyDescent="0.25">
      <c r="A92" s="48"/>
      <c r="B92" s="136"/>
      <c r="C92" s="156"/>
      <c r="D92" s="715"/>
      <c r="E92" s="715"/>
      <c r="F92" s="129"/>
      <c r="G92" s="610"/>
    </row>
    <row r="93" spans="1:8" s="20" customFormat="1" ht="41.25" customHeight="1" x14ac:dyDescent="0.25">
      <c r="A93" s="48">
        <f>A91+1</f>
        <v>15</v>
      </c>
      <c r="B93" s="127" t="str">
        <f>+T3A!B93</f>
        <v>Kost m.b.t. de door Elia aan de distributienetbeheerder aangerekende vergoeding voor het gebruik van het transmissienet (elektriciteit) - exclusief federale bijdrage elektriciteit</v>
      </c>
      <c r="C93" s="157">
        <f>+T3A!C93</f>
        <v>0</v>
      </c>
      <c r="D93" s="683">
        <f>+T3A!D93</f>
        <v>0</v>
      </c>
      <c r="E93" s="716">
        <v>0</v>
      </c>
      <c r="F93" s="128" t="s">
        <v>5</v>
      </c>
      <c r="G93" s="610"/>
    </row>
    <row r="94" spans="1:8" s="20" customFormat="1" ht="40.5" customHeight="1" x14ac:dyDescent="0.25">
      <c r="A94" s="48">
        <f>+A93+1</f>
        <v>16</v>
      </c>
      <c r="B94" s="127" t="str">
        <f>+T3A!B94</f>
        <v>Kost m.b.t. de door een andere distributienetbeheerder (via doorvoer) aangerekende vergoeding voor het gebruik van het transmissienet (elektriciteit) - exclusief federale bijdrage elektriciteit</v>
      </c>
      <c r="C94" s="157">
        <f>+T3A!C94</f>
        <v>0</v>
      </c>
      <c r="D94" s="683">
        <f>+T3A!D94</f>
        <v>0</v>
      </c>
      <c r="E94" s="716">
        <v>0</v>
      </c>
      <c r="F94" s="128" t="s">
        <v>5</v>
      </c>
      <c r="G94" s="610"/>
    </row>
    <row r="95" spans="1:8" s="20" customFormat="1" ht="38.25" customHeight="1" x14ac:dyDescent="0.25">
      <c r="A95" s="48">
        <f>+A94+1</f>
        <v>17</v>
      </c>
      <c r="B95" s="127" t="str">
        <f>+T3A!B95</f>
        <v>Opbrengst uit de aan een andere distributienetbeheer (via doorvoer) aangerekende vergoeding voor het gebruik van het transmissienet (elektriciteit) - exclusief federale bijdrage elektriciteit</v>
      </c>
      <c r="C95" s="157">
        <f>+T3A!C95</f>
        <v>0</v>
      </c>
      <c r="D95" s="683">
        <f>+T3A!D95</f>
        <v>0</v>
      </c>
      <c r="E95" s="868">
        <v>0</v>
      </c>
      <c r="F95" s="128" t="s">
        <v>9</v>
      </c>
      <c r="G95" s="610"/>
    </row>
    <row r="96" spans="1:8" ht="13" x14ac:dyDescent="0.25">
      <c r="B96" s="136"/>
      <c r="C96" s="154"/>
      <c r="D96" s="715"/>
      <c r="E96" s="715"/>
      <c r="F96" s="129"/>
    </row>
    <row r="97" spans="1:7" s="20" customFormat="1" ht="24.75" customHeight="1" x14ac:dyDescent="0.25">
      <c r="A97" s="48">
        <f>+A95+1</f>
        <v>18</v>
      </c>
      <c r="B97" s="127" t="str">
        <f>+T3A!B97</f>
        <v>Kapitaalkostvergoeding niet-geïmmobiliseerde GSC en WKC</v>
      </c>
      <c r="C97" s="158"/>
      <c r="D97" s="683">
        <f>+T3A!D97</f>
        <v>0</v>
      </c>
      <c r="E97" s="683">
        <f>E98*E101</f>
        <v>0</v>
      </c>
      <c r="F97" s="128" t="s">
        <v>5</v>
      </c>
      <c r="G97" s="610"/>
    </row>
    <row r="98" spans="1:7" s="20" customFormat="1" ht="45.75" customHeight="1" x14ac:dyDescent="0.25">
      <c r="B98" s="751" t="str">
        <f>+T3A!B98</f>
        <v>Gemiddelde voorraad niet-geïmmobiliseerde groenestroom- en warmtekrachtcertificaten (boekhoudkundige waarde) voor boekjaar 2019</v>
      </c>
      <c r="C98" s="159"/>
      <c r="D98" s="160">
        <f>+T3A!D98</f>
        <v>0</v>
      </c>
      <c r="E98" s="160">
        <f>AVERAGE(E99:E100)</f>
        <v>0</v>
      </c>
      <c r="F98" s="610"/>
      <c r="G98" s="610"/>
    </row>
    <row r="99" spans="1:7" s="20" customFormat="1" ht="31.5" customHeight="1" x14ac:dyDescent="0.25">
      <c r="B99" s="440" t="str">
        <f>+T3A!B99</f>
        <v>Beginvoorraad niet-geïmmobiliseerde groenestroom- en warmtekrachtcertificaten (01/01/2019)</v>
      </c>
      <c r="C99" s="157">
        <f>+T3A!C99</f>
        <v>0</v>
      </c>
      <c r="D99" s="160">
        <f>+T3A!D99</f>
        <v>0</v>
      </c>
      <c r="E99" s="471">
        <v>0</v>
      </c>
      <c r="F99" s="610"/>
      <c r="G99" s="610"/>
    </row>
    <row r="100" spans="1:7" s="20" customFormat="1" ht="30.75" customHeight="1" x14ac:dyDescent="0.25">
      <c r="B100" s="440" t="str">
        <f>+T3A!B100</f>
        <v>Eindvoorraad niet-geïmmobiliseerde groenestroom- en warmtekrachtcertificaten (31/12/2019)</v>
      </c>
      <c r="C100" s="157">
        <f>+T3A!C100</f>
        <v>0</v>
      </c>
      <c r="D100" s="160">
        <f>+T3A!D100</f>
        <v>0</v>
      </c>
      <c r="E100" s="471">
        <v>0</v>
      </c>
      <c r="F100" s="610"/>
      <c r="G100" s="610"/>
    </row>
    <row r="101" spans="1:7" s="20" customFormat="1" ht="29.25" customHeight="1" x14ac:dyDescent="0.25">
      <c r="B101" s="433" t="str">
        <f>+T3A!B101</f>
        <v>Kapitaalkostvergoeding voor boekjaar 2019 (in te vullen door de VREG)</v>
      </c>
      <c r="C101" s="162"/>
      <c r="D101" s="474">
        <f>+T3A!D101</f>
        <v>0</v>
      </c>
      <c r="E101" s="724">
        <v>0</v>
      </c>
      <c r="F101" s="610"/>
      <c r="G101" s="610"/>
    </row>
    <row r="102" spans="1:7" ht="13" x14ac:dyDescent="0.25">
      <c r="B102" s="136"/>
      <c r="C102" s="154"/>
      <c r="D102" s="720"/>
      <c r="E102" s="720"/>
      <c r="F102" s="129"/>
    </row>
    <row r="103" spans="1:7" s="20" customFormat="1" ht="54" customHeight="1" x14ac:dyDescent="0.25">
      <c r="A103" s="48">
        <f>A97+1</f>
        <v>19</v>
      </c>
      <c r="B103" s="127" t="str">
        <f>T3A!B103</f>
        <v>Saldo kapitaalkostvergoeding geïmmobiliseerde GSC en WKC indien financieringskostvergoeding door de Vlaamse Overheid werd geplafonneerd en lager is dan de vergoeding volgens de tariefmethodologie</v>
      </c>
      <c r="C103" s="7" t="str">
        <f>T3A!C103</f>
        <v>TABEL 9</v>
      </c>
      <c r="D103" s="683">
        <f>T3A!D103</f>
        <v>0</v>
      </c>
      <c r="E103" s="683">
        <f>'T9'!D25</f>
        <v>0</v>
      </c>
      <c r="F103" s="128" t="s">
        <v>5</v>
      </c>
      <c r="G103" s="610"/>
    </row>
    <row r="104" spans="1:7" ht="13" x14ac:dyDescent="0.25">
      <c r="B104" s="136"/>
      <c r="C104" s="154"/>
      <c r="D104" s="715"/>
      <c r="E104" s="715"/>
      <c r="F104" s="129"/>
    </row>
    <row r="105" spans="1:7" s="20" customFormat="1" ht="25" x14ac:dyDescent="0.25">
      <c r="A105" s="48">
        <f>A103+1</f>
        <v>20</v>
      </c>
      <c r="B105" s="127" t="str">
        <f>+T3A!B105</f>
        <v>Kapitaalkostvergoeding voor het regulatoir actief/passief geboekt onder voorgaande tariefmethodologieën</v>
      </c>
      <c r="C105" s="158"/>
      <c r="D105" s="683">
        <f>T3A!D105</f>
        <v>0</v>
      </c>
      <c r="E105" s="683">
        <f>E106*E109</f>
        <v>0</v>
      </c>
      <c r="F105" s="128" t="s">
        <v>5</v>
      </c>
      <c r="G105" s="610"/>
    </row>
    <row r="106" spans="1:7" s="20" customFormat="1" ht="31.5" customHeight="1" x14ac:dyDescent="0.25">
      <c r="B106" s="441" t="str">
        <f>+T3A!B106</f>
        <v>Gemiddelde waarde regulatoir actief/passief voor boekjaar 2019 (positieve waarde voor regulatoir actief, en omgekeerd)</v>
      </c>
      <c r="C106" s="159"/>
      <c r="D106" s="160">
        <f>T3A!D106</f>
        <v>0</v>
      </c>
      <c r="E106" s="160">
        <f>AVERAGE(E107:E108)</f>
        <v>0</v>
      </c>
      <c r="F106" s="610"/>
      <c r="G106" s="610"/>
    </row>
    <row r="107" spans="1:7" s="20" customFormat="1" ht="44.25" customHeight="1" x14ac:dyDescent="0.25">
      <c r="B107" s="749" t="str">
        <f>+T3A!B107</f>
        <v>Waarde regulatoir actief/passief bij het begin van het boekjaar (01/01/2019) (positieve waarde voor regulatoir actief, en omgekeerd)</v>
      </c>
      <c r="C107" s="7" t="str">
        <f>+T3A!C107</f>
        <v>TABEL 8</v>
      </c>
      <c r="D107" s="160">
        <f>T3A!D107</f>
        <v>0</v>
      </c>
      <c r="E107" s="471">
        <v>0</v>
      </c>
      <c r="F107" s="610"/>
      <c r="G107" s="610"/>
    </row>
    <row r="108" spans="1:7" s="20" customFormat="1" ht="46.5" customHeight="1" x14ac:dyDescent="0.25">
      <c r="B108" s="749" t="str">
        <f>+T3A!B108</f>
        <v>Waarde regulatoir actief/passief op het einde van het boekjaar (31/12/2019) (positieve waarde voor regulatoir actief, en omgekeerd)</v>
      </c>
      <c r="C108" s="7" t="str">
        <f>+T3A!C108</f>
        <v>TABEL 8</v>
      </c>
      <c r="D108" s="160">
        <f>T3A!D108</f>
        <v>0</v>
      </c>
      <c r="E108" s="471">
        <v>0</v>
      </c>
      <c r="F108" s="610"/>
      <c r="G108" s="610"/>
    </row>
    <row r="109" spans="1:7" s="20" customFormat="1" ht="26" x14ac:dyDescent="0.25">
      <c r="B109" s="441" t="str">
        <f>+T3A!B109</f>
        <v>Kapitaalkostvergoeding voor boekjaar 2019 (in te vullen door de VREG)</v>
      </c>
      <c r="C109" s="126"/>
      <c r="D109" s="474">
        <f>T3A!D109</f>
        <v>0</v>
      </c>
      <c r="E109" s="724">
        <v>0</v>
      </c>
      <c r="F109" s="610"/>
      <c r="G109" s="610"/>
    </row>
    <row r="110" spans="1:7" s="20" customFormat="1" ht="13" x14ac:dyDescent="0.25">
      <c r="A110" s="48"/>
      <c r="B110" s="136"/>
      <c r="C110" s="156"/>
      <c r="D110" s="720"/>
      <c r="E110" s="720"/>
      <c r="F110" s="129"/>
      <c r="G110" s="610"/>
    </row>
    <row r="111" spans="1:7" s="20" customFormat="1" ht="25" x14ac:dyDescent="0.25">
      <c r="A111" s="48">
        <f>+A105+1</f>
        <v>21</v>
      </c>
      <c r="B111" s="127" t="str">
        <f>+T3A!B111</f>
        <v>Kapitaalkostvergoeding voor het regulatoir saldo inzake exogene kosten m.b.t. distributie</v>
      </c>
      <c r="C111" s="832"/>
      <c r="D111" s="683">
        <f>T3A!D111</f>
        <v>0</v>
      </c>
      <c r="E111" s="683">
        <f>+E112*E113</f>
        <v>0</v>
      </c>
      <c r="F111" s="128" t="s">
        <v>5</v>
      </c>
      <c r="G111" s="610"/>
    </row>
    <row r="112" spans="1:7" s="20" customFormat="1" ht="42" customHeight="1" x14ac:dyDescent="0.25">
      <c r="B112" s="433" t="str">
        <f>+T3A!B112</f>
        <v>Gecumuleerd regulatoir saldo exogene kosten m.b.t. distributie bij het begin van het boekjaar (01/01/2019) (positieve waarde voor tekort, en omgekeerd)</v>
      </c>
      <c r="C112" s="7" t="str">
        <f>+T3A!C112</f>
        <v>TABEL 4A</v>
      </c>
      <c r="D112" s="160">
        <f>T3A!D112</f>
        <v>0</v>
      </c>
      <c r="E112" s="471">
        <v>0</v>
      </c>
      <c r="F112" s="610"/>
      <c r="G112" s="610"/>
    </row>
    <row r="113" spans="1:7" s="20" customFormat="1" ht="26" x14ac:dyDescent="0.25">
      <c r="B113" s="433" t="str">
        <f>+T3A!B113</f>
        <v>Kapitaalkostvergoeding voor boekjaar 2019 (in te vullen door de VREG)</v>
      </c>
      <c r="C113" s="126"/>
      <c r="D113" s="474">
        <f>T3A!D113</f>
        <v>0</v>
      </c>
      <c r="E113" s="724">
        <v>0</v>
      </c>
      <c r="F113" s="610"/>
      <c r="G113" s="610"/>
    </row>
    <row r="114" spans="1:7" s="20" customFormat="1" ht="28.5" customHeight="1" x14ac:dyDescent="0.25">
      <c r="A114" s="48"/>
      <c r="B114" s="127" t="str">
        <f>+T3A!B114</f>
        <v>Kapitaalkostvergoeding voor het regulatoir saldo inzake exogene kosten m.b.t. transmissie</v>
      </c>
      <c r="C114" s="826"/>
      <c r="D114" s="683">
        <f>T3A!D114</f>
        <v>0</v>
      </c>
      <c r="E114" s="683">
        <f>+E115*E116</f>
        <v>0</v>
      </c>
      <c r="F114" s="128" t="s">
        <v>5</v>
      </c>
      <c r="G114" s="610"/>
    </row>
    <row r="115" spans="1:7" s="20" customFormat="1" ht="44.25" customHeight="1" x14ac:dyDescent="0.25">
      <c r="B115" s="433" t="str">
        <f>+T3A!B115</f>
        <v>Gecumuleerd regulatoir saldo exogene kosten m.b.t. transmissie bij het begin van het boekjaar (01/01/2019) (positieve waarde voor tekort, en omgekeerd)</v>
      </c>
      <c r="C115" s="7" t="str">
        <f>+T3A!C115</f>
        <v>TABEL 4C</v>
      </c>
      <c r="D115" s="160">
        <f>T3A!D115</f>
        <v>0</v>
      </c>
      <c r="E115" s="471">
        <v>0</v>
      </c>
      <c r="F115" s="610"/>
      <c r="G115" s="610"/>
    </row>
    <row r="116" spans="1:7" s="20" customFormat="1" ht="34.5" customHeight="1" x14ac:dyDescent="0.25">
      <c r="B116" s="433" t="str">
        <f>+T3A!B116</f>
        <v>Kapitaalkostvergoeding voor boekjaar 2019 (in te vullen door de VREG)</v>
      </c>
      <c r="C116" s="828"/>
      <c r="D116" s="474">
        <f>T3A!D116</f>
        <v>0</v>
      </c>
      <c r="E116" s="724">
        <v>0</v>
      </c>
      <c r="F116" s="610"/>
      <c r="G116" s="610"/>
    </row>
    <row r="117" spans="1:7" s="20" customFormat="1" ht="13" x14ac:dyDescent="0.25">
      <c r="A117" s="48"/>
      <c r="B117" s="136"/>
      <c r="C117" s="156"/>
      <c r="D117" s="720"/>
      <c r="E117" s="720"/>
      <c r="F117" s="129"/>
      <c r="G117" s="610"/>
    </row>
    <row r="118" spans="1:7" s="20" customFormat="1" ht="37.5" customHeight="1" x14ac:dyDescent="0.25">
      <c r="A118" s="48">
        <f>A111+1</f>
        <v>22</v>
      </c>
      <c r="B118" s="127" t="str">
        <f>+T3A!B118</f>
        <v>Kapitaalkostvergoeding voor het regulatoire saldo inzake volumeverschillen m.b.t. endogene kosten (uitgezonderd volumeverschillen m.b.t. EAN's)</v>
      </c>
      <c r="C118" s="158"/>
      <c r="D118" s="683">
        <f>T3A!D118</f>
        <v>0</v>
      </c>
      <c r="E118" s="683">
        <f>+E119*E122</f>
        <v>0</v>
      </c>
      <c r="F118" s="128" t="s">
        <v>5</v>
      </c>
      <c r="G118" s="610"/>
    </row>
    <row r="119" spans="1:7" s="20" customFormat="1" ht="46.5" customHeight="1" x14ac:dyDescent="0.25">
      <c r="B119" s="433" t="str">
        <f>+T3A!B119</f>
        <v>Gemiddeld regulatoir saldo volumeverschillen m.b.t. endogene kosten (uitgezonderd volumeverschillen m.b.t. EAN's) voor boekjaar 2019 (positieve waarde voor tekort, en omgekeerd)</v>
      </c>
      <c r="C119" s="159"/>
      <c r="D119" s="160">
        <f>T3A!D119</f>
        <v>0</v>
      </c>
      <c r="E119" s="160">
        <f>AVERAGE(E120:E121)</f>
        <v>0</v>
      </c>
      <c r="F119" s="610"/>
      <c r="G119" s="610"/>
    </row>
    <row r="120" spans="1:7" s="20" customFormat="1" ht="56.25" customHeight="1" x14ac:dyDescent="0.25">
      <c r="B120" s="441" t="str">
        <f>+T3A!B120</f>
        <v>Regulatoir saldo volumeverschillen m.b.t. endogene kosten (uitgez. volumeverschillen m.b.t. EAN's) bij het begin van het boekjaar (01/01/2019) (positieve waarde voor tekort, en omgekeerd)</v>
      </c>
      <c r="C120" s="7" t="str">
        <f>+T3A!C120</f>
        <v>TABEL 5A</v>
      </c>
      <c r="D120" s="160">
        <f>T3A!D120</f>
        <v>0</v>
      </c>
      <c r="E120" s="2">
        <v>0</v>
      </c>
      <c r="F120" s="610"/>
      <c r="G120" s="610"/>
    </row>
    <row r="121" spans="1:7" s="20" customFormat="1" ht="52.5" customHeight="1" x14ac:dyDescent="0.25">
      <c r="B121" s="441" t="str">
        <f>+T3A!B121</f>
        <v>Regulatoir saldo volumeverschillen m.b.t. endogene kosten (uitgez. volumeverschillen m.b.t. EAN's) op het einde van het boekjaar (31/12/2019) (positieve waarde voor tekort, en omgekeerd)</v>
      </c>
      <c r="C121" s="7" t="str">
        <f>+T3A!C121</f>
        <v>TABEL 5A</v>
      </c>
      <c r="D121" s="160">
        <f>T3A!D121</f>
        <v>0</v>
      </c>
      <c r="E121" s="2">
        <v>0</v>
      </c>
      <c r="F121" s="610"/>
      <c r="G121" s="610"/>
    </row>
    <row r="122" spans="1:7" s="20" customFormat="1" ht="32.25" customHeight="1" x14ac:dyDescent="0.25">
      <c r="B122" s="433" t="str">
        <f>+T3A!B122</f>
        <v>Kapitaalkostvergoeding voor boekjaar 2019 (in te vullen door de VREG)</v>
      </c>
      <c r="C122" s="126"/>
      <c r="D122" s="160">
        <f>T3A!D122</f>
        <v>0</v>
      </c>
      <c r="E122" s="724">
        <v>0</v>
      </c>
      <c r="F122" s="610"/>
      <c r="G122" s="610"/>
    </row>
    <row r="123" spans="1:7" s="20" customFormat="1" ht="13" x14ac:dyDescent="0.25">
      <c r="A123" s="48"/>
      <c r="B123" s="136"/>
      <c r="C123" s="156"/>
      <c r="D123" s="720"/>
      <c r="E123" s="720"/>
      <c r="F123" s="129"/>
      <c r="G123" s="610"/>
    </row>
    <row r="124" spans="1:7" s="20" customFormat="1" ht="37.5" customHeight="1" x14ac:dyDescent="0.25">
      <c r="A124" s="48">
        <f>+A118+1</f>
        <v>23</v>
      </c>
      <c r="B124" s="127" t="str">
        <f>+T3A!B124</f>
        <v>Kapitaalkostvergoeding voor het regulatoire saldo inzake herindexering van het budget voor endogene kosten</v>
      </c>
      <c r="C124" s="158"/>
      <c r="D124" s="683">
        <f>+T3A!D124</f>
        <v>0</v>
      </c>
      <c r="E124" s="683">
        <f>+E125*E128</f>
        <v>0</v>
      </c>
      <c r="F124" s="128" t="s">
        <v>5</v>
      </c>
      <c r="G124" s="610"/>
    </row>
    <row r="125" spans="1:7" s="20" customFormat="1" ht="42" customHeight="1" x14ac:dyDescent="0.25">
      <c r="B125" s="433" t="str">
        <f>+T3A!B125</f>
        <v>Gemiddeld regulatoir saldo herindexering van het budget voor endogene kosten voor boekjaar 2019 (positieve waarde voor tekort, en omgekeerd)</v>
      </c>
      <c r="C125" s="159"/>
      <c r="D125" s="160">
        <f>+T3A!D125</f>
        <v>0</v>
      </c>
      <c r="E125" s="160">
        <f>AVERAGE(E126:E127)</f>
        <v>0</v>
      </c>
      <c r="F125" s="610"/>
      <c r="G125" s="610"/>
    </row>
    <row r="126" spans="1:7" s="20" customFormat="1" ht="42" customHeight="1" x14ac:dyDescent="0.25">
      <c r="B126" s="441" t="str">
        <f>+T3A!B126</f>
        <v>Regulatoir saldo herindexering van het budget voor endogene kosten bij het begin van het boekjaar (01/01/2019) (positieve waarde voor tekort, en omgekeerd)</v>
      </c>
      <c r="C126" s="7" t="str">
        <f>+T3A!C126</f>
        <v>TABEL 6A</v>
      </c>
      <c r="D126" s="160">
        <f>+T3A!D126</f>
        <v>0</v>
      </c>
      <c r="E126" s="2">
        <v>0</v>
      </c>
      <c r="F126" s="610"/>
      <c r="G126" s="610"/>
    </row>
    <row r="127" spans="1:7" s="20" customFormat="1" ht="42" customHeight="1" x14ac:dyDescent="0.25">
      <c r="B127" s="441" t="str">
        <f>+T3A!B127</f>
        <v>Regulatoir saldo herindexering van het budget voor endogene kosten op het einde van het boekjaar (31/12/2019) (positieve waarde voor tekort, en omgekeerd)</v>
      </c>
      <c r="C127" s="7" t="str">
        <f>+T3A!C127</f>
        <v>TABEL 6A</v>
      </c>
      <c r="D127" s="160">
        <f>+T3A!D127</f>
        <v>0</v>
      </c>
      <c r="E127" s="2">
        <v>0</v>
      </c>
      <c r="F127" s="610"/>
      <c r="G127" s="610"/>
    </row>
    <row r="128" spans="1:7" s="20" customFormat="1" ht="32.25" customHeight="1" x14ac:dyDescent="0.25">
      <c r="B128" s="433" t="str">
        <f>+T3A!B128</f>
        <v>Kapitaalkostvergoeding voor boekjaar 2019 (in te vullen door de VREG)</v>
      </c>
      <c r="C128" s="126"/>
      <c r="D128" s="160">
        <f>+T3A!D128</f>
        <v>0</v>
      </c>
      <c r="E128" s="724">
        <v>0</v>
      </c>
      <c r="F128" s="610"/>
      <c r="G128" s="610"/>
    </row>
    <row r="129" spans="1:7" s="20" customFormat="1" ht="13" x14ac:dyDescent="0.25">
      <c r="A129" s="48"/>
      <c r="B129" s="136"/>
      <c r="C129" s="156"/>
      <c r="D129" s="720"/>
      <c r="E129" s="720"/>
      <c r="F129" s="129"/>
      <c r="G129" s="610"/>
    </row>
    <row r="130" spans="1:7" s="20" customFormat="1" ht="32.25" customHeight="1" x14ac:dyDescent="0.25">
      <c r="A130" s="48">
        <f>+A124+1</f>
        <v>24</v>
      </c>
      <c r="B130" s="127" t="str">
        <f>+T3A!B130</f>
        <v>Kapitaalkostvergoeding voor het regulatoire saldo inzake vennootschapsbelasting</v>
      </c>
      <c r="C130" s="158"/>
      <c r="D130" s="683">
        <f>+T3A!D130</f>
        <v>0</v>
      </c>
      <c r="E130" s="683">
        <f>+E131*E134</f>
        <v>0</v>
      </c>
      <c r="F130" s="128" t="s">
        <v>5</v>
      </c>
      <c r="G130" s="610"/>
    </row>
    <row r="131" spans="1:7" s="20" customFormat="1" ht="36" customHeight="1" x14ac:dyDescent="0.25">
      <c r="B131" s="433" t="str">
        <f>+T3A!B131</f>
        <v>Gemiddeld regulatoir saldo inzake vennootschapsbelasting voor boekjaar 2019 (positieve waarde voor tekort, en omgekeerd)</v>
      </c>
      <c r="C131" s="159"/>
      <c r="D131" s="160">
        <f>+T3A!D131</f>
        <v>0</v>
      </c>
      <c r="E131" s="160">
        <f>AVERAGE(E132:E133)</f>
        <v>0</v>
      </c>
      <c r="F131" s="610"/>
      <c r="G131" s="610"/>
    </row>
    <row r="132" spans="1:7" s="20" customFormat="1" ht="42" customHeight="1" x14ac:dyDescent="0.25">
      <c r="B132" s="441" t="str">
        <f>+T3A!B132</f>
        <v>Regulatoir saldo inzake vennootschapsbelasting bij het begin van het boekjaar (01/01/2019) (positieve waarde voor tekort, en omgekeerd)</v>
      </c>
      <c r="C132" s="7" t="str">
        <f>+T3A!C132</f>
        <v>TABEL 7</v>
      </c>
      <c r="D132" s="160">
        <f>+T3A!D132</f>
        <v>0</v>
      </c>
      <c r="E132" s="2">
        <v>0</v>
      </c>
      <c r="F132" s="610"/>
      <c r="G132" s="610"/>
    </row>
    <row r="133" spans="1:7" s="20" customFormat="1" ht="42" customHeight="1" x14ac:dyDescent="0.25">
      <c r="B133" s="441" t="str">
        <f>+T3A!B133</f>
        <v>Regulatoir saldo m.b.t. vennootschapsbelasting op het einde van het boekjaar (31/12/2019) (positieve waarde voor tekort, en omgekeerd)</v>
      </c>
      <c r="C133" s="7" t="str">
        <f>+T3A!C133</f>
        <v>TABEL 7</v>
      </c>
      <c r="D133" s="160">
        <f>+T3A!D133</f>
        <v>0</v>
      </c>
      <c r="E133" s="2">
        <v>0</v>
      </c>
      <c r="F133" s="610"/>
      <c r="G133" s="610"/>
    </row>
    <row r="134" spans="1:7" s="20" customFormat="1" ht="32.25" customHeight="1" x14ac:dyDescent="0.25">
      <c r="B134" s="433" t="str">
        <f>+T3A!B134</f>
        <v>Kapitaalkostvergoeding voor boekjaar 2019 (in te vullen door de VREG)</v>
      </c>
      <c r="C134" s="126"/>
      <c r="D134" s="474">
        <f>+T3A!D134</f>
        <v>0</v>
      </c>
      <c r="E134" s="724">
        <v>0</v>
      </c>
      <c r="F134" s="610"/>
      <c r="G134" s="610"/>
    </row>
    <row r="135" spans="1:7" ht="13" x14ac:dyDescent="0.25">
      <c r="B135" s="136"/>
      <c r="C135" s="154"/>
      <c r="D135" s="720"/>
      <c r="E135" s="720"/>
      <c r="F135" s="129"/>
    </row>
    <row r="136" spans="1:7" ht="18" customHeight="1" x14ac:dyDescent="0.25">
      <c r="A136" s="48">
        <f>+A130+1</f>
        <v>25</v>
      </c>
      <c r="B136" s="127" t="str">
        <f>+T3A!B136</f>
        <v>Belastingen, heffingen, toeslagen, bijdragen en retributies</v>
      </c>
      <c r="C136" s="7" t="str">
        <f>+T3A!C136</f>
        <v>TABEL 10</v>
      </c>
      <c r="D136" s="683">
        <f>T3A!D136</f>
        <v>0</v>
      </c>
      <c r="E136" s="683">
        <f>+'T10'!H40</f>
        <v>0</v>
      </c>
      <c r="F136" s="128" t="s">
        <v>5</v>
      </c>
    </row>
    <row r="137" spans="1:7" ht="13" x14ac:dyDescent="0.25">
      <c r="B137" s="136"/>
      <c r="C137" s="154"/>
      <c r="D137" s="720"/>
      <c r="E137" s="720"/>
      <c r="F137" s="129"/>
    </row>
    <row r="138" spans="1:7" ht="13" x14ac:dyDescent="0.25">
      <c r="B138" s="136"/>
      <c r="C138" s="154"/>
      <c r="D138" s="111" t="s">
        <v>0</v>
      </c>
      <c r="E138" s="111" t="s">
        <v>1</v>
      </c>
      <c r="F138" s="129"/>
    </row>
    <row r="139" spans="1:7" x14ac:dyDescent="0.25">
      <c r="B139" s="127"/>
      <c r="C139" s="166"/>
      <c r="D139" s="167">
        <f t="shared" ref="D139:E141" si="4">D12</f>
        <v>2019</v>
      </c>
      <c r="E139" s="167">
        <f t="shared" si="4"/>
        <v>2019</v>
      </c>
      <c r="F139" s="721"/>
      <c r="G139" s="710"/>
    </row>
    <row r="140" spans="1:7" ht="13" x14ac:dyDescent="0.25">
      <c r="B140" s="708"/>
      <c r="C140" s="1014"/>
      <c r="D140" s="170" t="str">
        <f t="shared" si="4"/>
        <v>Naam distributienetbeheerder</v>
      </c>
      <c r="E140" s="170" t="str">
        <f t="shared" si="4"/>
        <v>Naam distributienetbeheerder</v>
      </c>
      <c r="F140" s="721"/>
      <c r="G140" s="129"/>
    </row>
    <row r="141" spans="1:7" x14ac:dyDescent="0.25">
      <c r="B141" s="709"/>
      <c r="C141" s="1015"/>
      <c r="D141" s="172" t="str">
        <f t="shared" si="4"/>
        <v>elektriciteit</v>
      </c>
      <c r="E141" s="172" t="str">
        <f t="shared" si="4"/>
        <v>elektriciteit</v>
      </c>
      <c r="F141" s="721"/>
      <c r="G141" s="710"/>
    </row>
    <row r="142" spans="1:7" ht="25.5" customHeight="1" x14ac:dyDescent="0.25">
      <c r="B142" s="115" t="str">
        <f>T3A!B142</f>
        <v>Exogene kosten i.h.k.v. het basistarief voor het gebruik van het net</v>
      </c>
      <c r="C142" s="166"/>
      <c r="D142" s="173">
        <f>D21+D33+D42+D52+D55+D97+D103+D105+D111+D118+D124+D130+D64</f>
        <v>0</v>
      </c>
      <c r="E142" s="472">
        <f>E21+E33+E42+E52+E55+E97+E103+E105+E111+E118+E124+E130+E64</f>
        <v>0</v>
      </c>
      <c r="F142" s="721"/>
      <c r="G142" s="710"/>
    </row>
    <row r="143" spans="1:7" ht="18" customHeight="1" x14ac:dyDescent="0.25">
      <c r="B143" s="115" t="str">
        <f>T3A!B143</f>
        <v>Exogene kosten i.h.k.v. het tarief voor het systeembeheer</v>
      </c>
      <c r="C143" s="166"/>
      <c r="D143" s="173">
        <f>D22+D34+D43+D56</f>
        <v>0</v>
      </c>
      <c r="E143" s="173">
        <f>E22+E34+E43+E56</f>
        <v>0</v>
      </c>
      <c r="F143" s="721"/>
      <c r="G143" s="710"/>
    </row>
    <row r="144" spans="1:7" ht="18" customHeight="1" x14ac:dyDescent="0.25">
      <c r="B144" s="115" t="str">
        <f>T3A!B144</f>
        <v>Exogene kosten i.h.k.v. het tarief voor de meet-en telactiviteit</v>
      </c>
      <c r="C144" s="166"/>
      <c r="D144" s="173">
        <f>D23+D44+D57</f>
        <v>0</v>
      </c>
      <c r="E144" s="472">
        <f>E23+E44+E57</f>
        <v>0</v>
      </c>
      <c r="F144" s="721"/>
      <c r="G144" s="710"/>
    </row>
    <row r="145" spans="2:7" ht="29.25" customHeight="1" x14ac:dyDescent="0.25">
      <c r="B145" s="117" t="str">
        <f>T3A!B145</f>
        <v>Exogene kosten i.h.k.v. het tarief voor openbare dienstverplichtingen</v>
      </c>
      <c r="C145" s="139"/>
      <c r="D145" s="173">
        <f>D24+D35+D45+D58+D66-D70+D76+D77-D80-D81+D83+D85+D87-D89+D91</f>
        <v>0</v>
      </c>
      <c r="E145" s="472">
        <f>E24+E35+E45+E58+E66-E70+E76+E77-E80-E81+E83+E85+E87-E89+E91</f>
        <v>0</v>
      </c>
      <c r="F145" s="720"/>
    </row>
    <row r="146" spans="2:7" ht="29.25" customHeight="1" x14ac:dyDescent="0.25">
      <c r="B146" s="794" t="str">
        <f>T3A!B146</f>
        <v>Exogene kosten i.h.k.v. het tarief voor het gebruik van het transmissienet</v>
      </c>
      <c r="C146" s="795"/>
      <c r="D146" s="772">
        <f>+D30+D59+D93+D94-D95+D114</f>
        <v>0</v>
      </c>
      <c r="E146" s="772">
        <f>+E30+E59+E93+E94-E95+E114</f>
        <v>0</v>
      </c>
      <c r="F146" s="720"/>
    </row>
    <row r="147" spans="2:7" ht="29.25" customHeight="1" x14ac:dyDescent="0.25">
      <c r="B147" s="117" t="str">
        <f>T3A!B147</f>
        <v>Exogene kosten i.h.k.v. het tarief voor de regeling van de spanning en het reactief vermogen</v>
      </c>
      <c r="C147" s="139"/>
      <c r="D147" s="173">
        <f>D25+D36+D46+D60</f>
        <v>0</v>
      </c>
      <c r="E147" s="472">
        <f>E25+E36+E46+E60</f>
        <v>0</v>
      </c>
      <c r="F147" s="720"/>
    </row>
    <row r="148" spans="2:7" ht="29.25" customHeight="1" x14ac:dyDescent="0.25">
      <c r="B148" s="117" t="str">
        <f>T3A!B148</f>
        <v>Exogene kosten i.h.k.v. het tarief voor de compensatie van de netverliezen</v>
      </c>
      <c r="C148" s="139"/>
      <c r="D148" s="173">
        <f>+D26+D37+D47+D61</f>
        <v>0</v>
      </c>
      <c r="E148" s="472">
        <f>+E26+E37+E47+E61</f>
        <v>0</v>
      </c>
      <c r="F148" s="720"/>
    </row>
    <row r="149" spans="2:7" ht="29.25" customHeight="1" x14ac:dyDescent="0.25">
      <c r="B149" s="117" t="str">
        <f>T3A!B149</f>
        <v>Exogene kosten i.h.k.v. het tarief voor de supplementaire en complementaire diensten</v>
      </c>
      <c r="C149" s="139"/>
      <c r="D149" s="173">
        <f>+D27+D38+D48+D62</f>
        <v>0</v>
      </c>
      <c r="E149" s="472">
        <f>+E27+E38+E48+E62</f>
        <v>0</v>
      </c>
      <c r="F149" s="720"/>
    </row>
    <row r="150" spans="2:7" ht="31.5" customHeight="1" x14ac:dyDescent="0.25">
      <c r="B150" s="117" t="str">
        <f>T3A!B150</f>
        <v>Exogene kosten i.h.k.v. het tarief voor belastingen, heffingen, toeslagen, bijdragen en retributies</v>
      </c>
      <c r="C150" s="139"/>
      <c r="D150" s="173">
        <f>+D28+D39+D49+D63+D136</f>
        <v>0</v>
      </c>
      <c r="E150" s="472">
        <f>+E28+E39+E49+E63+E136</f>
        <v>0</v>
      </c>
      <c r="F150" s="720"/>
      <c r="G150" s="710"/>
    </row>
    <row r="151" spans="2:7" ht="11.25" customHeight="1" x14ac:dyDescent="0.25">
      <c r="B151" s="117"/>
      <c r="C151" s="139"/>
      <c r="D151" s="173"/>
      <c r="E151" s="472"/>
      <c r="F151" s="720"/>
      <c r="G151" s="710"/>
    </row>
    <row r="152" spans="2:7" ht="27" customHeight="1" x14ac:dyDescent="0.25">
      <c r="B152" s="119" t="str">
        <f>T3A!B152</f>
        <v>TOTAAL EXOGENE KOSTEN M.B.T. DISTRIBUTIE</v>
      </c>
      <c r="C152" s="139"/>
      <c r="D152" s="174">
        <f>SUM(D147:D150,D142:D145)</f>
        <v>0</v>
      </c>
      <c r="E152" s="473">
        <f>SUM(E142:E145,E147:E150)</f>
        <v>0</v>
      </c>
      <c r="F152" s="722"/>
      <c r="G152" s="710"/>
    </row>
    <row r="153" spans="2:7" ht="27" customHeight="1" x14ac:dyDescent="0.25">
      <c r="B153" s="119" t="str">
        <f>T3A!B153</f>
        <v>TOTAAL EXOGENE KOSTEN M.B.T. TRANSMISSIE</v>
      </c>
      <c r="C153" s="139"/>
      <c r="D153" s="174">
        <f>SUM(D146)</f>
        <v>0</v>
      </c>
      <c r="E153" s="473">
        <f>SUM(E146)</f>
        <v>0</v>
      </c>
      <c r="F153" s="722"/>
      <c r="G153" s="710"/>
    </row>
    <row r="154" spans="2:7" ht="27" customHeight="1" x14ac:dyDescent="0.25">
      <c r="B154" s="119" t="s">
        <v>294</v>
      </c>
      <c r="C154" s="139"/>
      <c r="D154" s="174">
        <f>SUM(D152:D153)</f>
        <v>0</v>
      </c>
      <c r="E154" s="174">
        <f>SUM(E152:E153)</f>
        <v>0</v>
      </c>
      <c r="F154" s="722"/>
      <c r="G154" s="710"/>
    </row>
    <row r="155" spans="2:7" ht="13" x14ac:dyDescent="0.25">
      <c r="B155" s="448"/>
      <c r="C155" s="178"/>
      <c r="D155" s="51"/>
      <c r="E155" s="449"/>
    </row>
    <row r="157" spans="2:7" ht="30" customHeight="1" x14ac:dyDescent="0.25">
      <c r="B157" s="484" t="s">
        <v>296</v>
      </c>
      <c r="C157" s="645"/>
      <c r="D157" s="486"/>
      <c r="E157" s="183">
        <f>SUM(E158,E167)</f>
        <v>0</v>
      </c>
    </row>
    <row r="158" spans="2:7" ht="27" customHeight="1" x14ac:dyDescent="0.25">
      <c r="B158" s="808" t="s">
        <v>187</v>
      </c>
      <c r="C158" s="811" t="s">
        <v>252</v>
      </c>
      <c r="D158" s="809"/>
      <c r="E158" s="812">
        <f>SUM(E159:E166)</f>
        <v>0</v>
      </c>
    </row>
    <row r="159" spans="2:7" ht="18.75" customHeight="1" x14ac:dyDescent="0.25">
      <c r="B159" s="433" t="s">
        <v>215</v>
      </c>
      <c r="C159" s="645"/>
      <c r="D159" s="486"/>
      <c r="E159" s="181">
        <f>IF($E$141="elektriciteit",SUM(T5C!J18),IF(T3B!$E$141="gas",T5E!I23,"FALSE"))</f>
        <v>0</v>
      </c>
    </row>
    <row r="160" spans="2:7" ht="18.75" customHeight="1" x14ac:dyDescent="0.25">
      <c r="B160" s="433" t="s">
        <v>216</v>
      </c>
      <c r="C160" s="645"/>
      <c r="D160" s="486"/>
      <c r="E160" s="181">
        <f>IF($E$141="elektriciteit",SUM(T5C!J21,T5D!I22),IF(T3B!$E$141="gas",T5E!I26,"FALSE"))</f>
        <v>0</v>
      </c>
    </row>
    <row r="161" spans="2:7" ht="18.75" customHeight="1" x14ac:dyDescent="0.25">
      <c r="B161" s="433" t="s">
        <v>217</v>
      </c>
      <c r="C161" s="645"/>
      <c r="D161" s="486"/>
      <c r="E161" s="181">
        <f>IF($E$141="elektriciteit",SUM(T5C!J24,T5D!I25),IF(T3B!$E$141="gas",T5E!I29,"FALSE"))</f>
        <v>0</v>
      </c>
    </row>
    <row r="162" spans="2:7" ht="18.75" customHeight="1" x14ac:dyDescent="0.25">
      <c r="B162" s="433" t="s">
        <v>218</v>
      </c>
      <c r="C162" s="645"/>
      <c r="D162" s="486"/>
      <c r="E162" s="181">
        <f>IF($E$141="elektriciteit",SUM(T5C!J27),IF(T3B!$E$141="gas",T5E!I32,"FALSE"))</f>
        <v>0</v>
      </c>
    </row>
    <row r="163" spans="2:7" ht="27" customHeight="1" x14ac:dyDescent="0.25">
      <c r="B163" s="433" t="s">
        <v>219</v>
      </c>
      <c r="C163" s="645"/>
      <c r="D163" s="486"/>
      <c r="E163" s="181">
        <f>IF($E$141="elektriciteit",SUM(T5C!J33,T5C!J35),IF(T3B!$E$141="gas",0,"FALSE"))</f>
        <v>0</v>
      </c>
    </row>
    <row r="164" spans="2:7" ht="18.75" customHeight="1" x14ac:dyDescent="0.25">
      <c r="B164" s="433" t="s">
        <v>220</v>
      </c>
      <c r="C164" s="645"/>
      <c r="D164" s="486"/>
      <c r="E164" s="181">
        <f>IF($E$141="elektriciteit",SUM(T5C!J31,T5D!I28),IF(T3B!$E$141="gas",0,"FALSE"))</f>
        <v>0</v>
      </c>
    </row>
    <row r="165" spans="2:7" ht="18.75" customHeight="1" x14ac:dyDescent="0.25">
      <c r="B165" s="433" t="s">
        <v>221</v>
      </c>
      <c r="C165" s="645"/>
      <c r="D165" s="486"/>
      <c r="E165" s="181">
        <f>IF($E$141="elektriciteit",0,IF(T3B!$E$141="gas",SUM(T5E!I35,T5E!I38),"FALSE"))</f>
        <v>0</v>
      </c>
    </row>
    <row r="166" spans="2:7" ht="30" customHeight="1" x14ac:dyDescent="0.25">
      <c r="B166" s="433" t="s">
        <v>222</v>
      </c>
      <c r="C166" s="831"/>
      <c r="D166" s="486"/>
      <c r="E166" s="181">
        <f>IF($E$141="elektriciteit",SUM(T5C!J38,T5D!I31),IF(T3B!$E$141="gas",T5E!I41,"FALSE"))</f>
        <v>0</v>
      </c>
    </row>
    <row r="167" spans="2:7" ht="30" customHeight="1" x14ac:dyDescent="0.25">
      <c r="B167" s="808" t="s">
        <v>188</v>
      </c>
      <c r="C167" s="7" t="s">
        <v>319</v>
      </c>
      <c r="D167" s="809"/>
      <c r="E167" s="810">
        <f>IF($E$141="elektriciteit",T5C!J44,IF(T3B!$E$141="gas",0,"FALSE"))</f>
        <v>0</v>
      </c>
    </row>
    <row r="168" spans="2:7" ht="13" x14ac:dyDescent="0.25">
      <c r="D168" s="485"/>
      <c r="E168" s="485"/>
    </row>
    <row r="169" spans="2:7" s="735" customFormat="1" ht="24.75" customHeight="1" x14ac:dyDescent="0.25">
      <c r="B169" s="456" t="str">
        <f>"Regulatoir saldo inzake exogene kosten voor boekjaar "&amp;D139</f>
        <v>Regulatoir saldo inzake exogene kosten voor boekjaar 2019</v>
      </c>
      <c r="C169" s="775"/>
      <c r="D169" s="776"/>
      <c r="E169" s="778">
        <f>SUM(E170,E179)</f>
        <v>0</v>
      </c>
      <c r="F169" s="777"/>
      <c r="G169" s="777"/>
    </row>
    <row r="170" spans="2:7" ht="24" customHeight="1" x14ac:dyDescent="0.25">
      <c r="B170" s="808" t="s">
        <v>187</v>
      </c>
      <c r="C170" s="811"/>
      <c r="D170" s="809"/>
      <c r="E170" s="813">
        <f>SUM(E171:E178)</f>
        <v>0</v>
      </c>
    </row>
    <row r="171" spans="2:7" ht="18.75" customHeight="1" x14ac:dyDescent="0.25">
      <c r="B171" s="433" t="s">
        <v>215</v>
      </c>
      <c r="C171" s="645"/>
      <c r="D171" s="486"/>
      <c r="E171" s="666">
        <f>(E142-D142)+(D142-E159)</f>
        <v>0</v>
      </c>
    </row>
    <row r="172" spans="2:7" ht="18.75" customHeight="1" x14ac:dyDescent="0.25">
      <c r="B172" s="433" t="s">
        <v>216</v>
      </c>
      <c r="C172" s="645"/>
      <c r="D172" s="486"/>
      <c r="E172" s="666">
        <f>(E143-D143)+(D143-E160)</f>
        <v>0</v>
      </c>
    </row>
    <row r="173" spans="2:7" ht="18.75" customHeight="1" x14ac:dyDescent="0.25">
      <c r="B173" s="433" t="s">
        <v>217</v>
      </c>
      <c r="C173" s="645"/>
      <c r="D173" s="486"/>
      <c r="E173" s="666">
        <f>(E144-D144)+(D144-E161)</f>
        <v>0</v>
      </c>
    </row>
    <row r="174" spans="2:7" ht="18.75" customHeight="1" x14ac:dyDescent="0.25">
      <c r="B174" s="433" t="s">
        <v>218</v>
      </c>
      <c r="C174" s="645"/>
      <c r="D174" s="486"/>
      <c r="E174" s="666">
        <f>(E145-D145)+(D145-E162)</f>
        <v>0</v>
      </c>
    </row>
    <row r="175" spans="2:7" ht="29.25" customHeight="1" x14ac:dyDescent="0.25">
      <c r="B175" s="433" t="s">
        <v>219</v>
      </c>
      <c r="C175" s="645"/>
      <c r="D175" s="486"/>
      <c r="E175" s="666">
        <f>(E147-D147)+(D147-E163)</f>
        <v>0</v>
      </c>
    </row>
    <row r="176" spans="2:7" ht="20.25" customHeight="1" x14ac:dyDescent="0.25">
      <c r="B176" s="433" t="s">
        <v>220</v>
      </c>
      <c r="C176" s="645"/>
      <c r="D176" s="486"/>
      <c r="E176" s="666">
        <f>(E148-D148)+(D148-E164)</f>
        <v>0</v>
      </c>
    </row>
    <row r="177" spans="1:7" ht="21.75" customHeight="1" x14ac:dyDescent="0.25">
      <c r="B177" s="433" t="s">
        <v>221</v>
      </c>
      <c r="C177" s="645"/>
      <c r="D177" s="486"/>
      <c r="E177" s="666">
        <f>(E149-D149)+(D149-E165)</f>
        <v>0</v>
      </c>
    </row>
    <row r="178" spans="1:7" ht="30" customHeight="1" x14ac:dyDescent="0.25">
      <c r="B178" s="433" t="s">
        <v>222</v>
      </c>
      <c r="C178" s="645"/>
      <c r="D178" s="486"/>
      <c r="E178" s="666">
        <f>(E150-D150)+(D150-E166)</f>
        <v>0</v>
      </c>
    </row>
    <row r="179" spans="1:7" ht="25.5" customHeight="1" x14ac:dyDescent="0.25">
      <c r="B179" s="808" t="s">
        <v>188</v>
      </c>
      <c r="C179" s="811"/>
      <c r="D179" s="809"/>
      <c r="E179" s="812">
        <f>+(E146-D146)+(D146-E167)</f>
        <v>0</v>
      </c>
    </row>
    <row r="180" spans="1:7" ht="13" x14ac:dyDescent="0.3">
      <c r="E180" s="184" t="s">
        <v>64</v>
      </c>
    </row>
    <row r="181" spans="1:7" ht="13" x14ac:dyDescent="0.3">
      <c r="B181" s="186"/>
      <c r="E181" s="185" t="s">
        <v>65</v>
      </c>
    </row>
    <row r="183" spans="1:7" ht="13" x14ac:dyDescent="0.25">
      <c r="B183" s="49"/>
    </row>
    <row r="189" spans="1:7" s="130" customFormat="1" x14ac:dyDescent="0.25">
      <c r="A189" s="48"/>
      <c r="B189" s="704"/>
      <c r="C189" s="50"/>
      <c r="D189" s="176"/>
      <c r="E189" s="176"/>
      <c r="F189" s="710"/>
      <c r="G189" s="714"/>
    </row>
  </sheetData>
  <customSheetViews>
    <customSheetView guid="{C8C7977F-B6BF-432B-A1A7-559450D521AF}" scale="85" topLeftCell="A43">
      <selection activeCell="B60" sqref="B60"/>
      <pageMargins left="0.75" right="0.75" top="1" bottom="1" header="0.5" footer="0.5"/>
      <pageSetup paperSize="9" orientation="portrait" r:id="rId1"/>
      <headerFooter alignWithMargins="0"/>
    </customSheetView>
  </customSheetViews>
  <mergeCells count="8">
    <mergeCell ref="C140:C141"/>
    <mergeCell ref="B7:E8"/>
    <mergeCell ref="A1:G1"/>
    <mergeCell ref="B16:B18"/>
    <mergeCell ref="C16:C18"/>
    <mergeCell ref="D16:D18"/>
    <mergeCell ref="E16:E18"/>
    <mergeCell ref="F16:F18"/>
  </mergeCells>
  <conditionalFormatting sqref="D42:E49 D52:E52">
    <cfRule type="expression" dxfId="82" priority="26" stopIfTrue="1">
      <formula>$D$12=2017</formula>
    </cfRule>
  </conditionalFormatting>
  <conditionalFormatting sqref="E20:E28 E32:E39 E41:E49 E51:E52 E54:E64 E66:E73 E75:E77 E79:E81 E83 E85 E87 E89 E91 E97:E101 E103 E105:E109 E111:E116 E118:E122 E124:E128 E130:E134 E136 E157:E167 E169:E179 E93 E142:E155 E30">
    <cfRule type="expression" dxfId="81" priority="21" stopIfTrue="1">
      <formula>$N$2="ex-ante"</formula>
    </cfRule>
  </conditionalFormatting>
  <conditionalFormatting sqref="B25:F26 B30:F30 B36:F37 B46:F47 B59:F61 B66:F73 B75:E77 F76:F77 B79:E81 F80:F81 B83:F83 B85:F85 B87:F87 B89:F89 B91:F91 B97:E101 F97 B103:F103 B114:E116 F114 B153:E153 B163:E164 B167:E167 B175:E176 B179:E179 B93:F93 B94:D95 B146:E148">
    <cfRule type="expression" dxfId="80" priority="20" stopIfTrue="1">
      <formula>$D$14="gas"</formula>
    </cfRule>
  </conditionalFormatting>
  <conditionalFormatting sqref="B27:F27 B38:F38 B48:F48 B62:F62 B149:E149 B165:E165 B177:E177">
    <cfRule type="expression" dxfId="79" priority="19" stopIfTrue="1">
      <formula>$D$14="elektriciteit"</formula>
    </cfRule>
  </conditionalFormatting>
  <conditionalFormatting sqref="E94">
    <cfRule type="expression" dxfId="78" priority="6" stopIfTrue="1">
      <formula>$N$2="ex-ante"</formula>
    </cfRule>
  </conditionalFormatting>
  <conditionalFormatting sqref="E94">
    <cfRule type="expression" dxfId="77" priority="5" stopIfTrue="1">
      <formula>$D$14="gas"</formula>
    </cfRule>
  </conditionalFormatting>
  <conditionalFormatting sqref="F94">
    <cfRule type="expression" dxfId="76" priority="4" stopIfTrue="1">
      <formula>$D$14="gas"</formula>
    </cfRule>
  </conditionalFormatting>
  <conditionalFormatting sqref="E95">
    <cfRule type="expression" dxfId="75" priority="3" stopIfTrue="1">
      <formula>$N$2="ex-ante"</formula>
    </cfRule>
  </conditionalFormatting>
  <conditionalFormatting sqref="E95">
    <cfRule type="expression" dxfId="74" priority="2" stopIfTrue="1">
      <formula>$D$14="gas"</formula>
    </cfRule>
  </conditionalFormatting>
  <conditionalFormatting sqref="F95">
    <cfRule type="expression" dxfId="73" priority="1" stopIfTrue="1">
      <formula>$D$14="gas"</formula>
    </cfRule>
  </conditionalFormatting>
  <conditionalFormatting sqref="D52:E52">
    <cfRule type="expression" dxfId="72" priority="25" stopIfTrue="1">
      <formula>$D$12=2018</formula>
    </cfRule>
  </conditionalFormatting>
  <hyperlinks>
    <hyperlink ref="C20" location="T4B!A1" display="T4B!A1"/>
    <hyperlink ref="C30" location="T4C!A1" display="T4C!A1"/>
    <hyperlink ref="C32" location="T5B!A1" display="T5B!A1"/>
    <hyperlink ref="C41" location="T6B!A1" display="T6B!A1"/>
    <hyperlink ref="C51" location="'T7'!A1" display="'T7'!A1"/>
    <hyperlink ref="C54" location="'T8'!A1" display="'T8'!A1"/>
    <hyperlink ref="C103" location="'T9'!A1" display="'T9'!A1"/>
    <hyperlink ref="C107" location="'T8'!A1" display="'T8'!A1"/>
    <hyperlink ref="C108" location="'T8'!A1" display="'T8'!A1"/>
    <hyperlink ref="C112" location="T4A!A1" display="T4A!A1"/>
    <hyperlink ref="C115" location="T4C!A1" display="T4C!A1"/>
    <hyperlink ref="C120" location="T5A!A1" display="T5A!A1"/>
    <hyperlink ref="C121" location="T5A!A1" display="T5A!A1"/>
    <hyperlink ref="C126" location="T6A!A1" display="T6A!A1"/>
    <hyperlink ref="C127" location="T6A!A1" display="T6A!A1"/>
    <hyperlink ref="C132" location="'T7'!A1" display="'T7'!A1"/>
    <hyperlink ref="C133" location="'T7'!A1" display="'T7'!A1"/>
    <hyperlink ref="C136" location="'T10'!A1" display="'T10'!A1"/>
    <hyperlink ref="C167" location="T5C!A1" display="TABEL 5C"/>
  </hyperlinks>
  <pageMargins left="0.74803149606299213" right="0.74803149606299213" top="0.98425196850393704" bottom="0.98425196850393704" header="0.51181102362204722" footer="0.51181102362204722"/>
  <pageSetup paperSize="8" scale="43" fitToWidth="2" fitToHeight="2" orientation="portrait" r:id="rId2"/>
  <headerFooter alignWithMargins="0"/>
  <rowBreaks count="3" manualBreakCount="3">
    <brk id="65" max="10" man="1"/>
    <brk id="110" max="10" man="1"/>
    <brk id="182"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AC57"/>
  <sheetViews>
    <sheetView topLeftCell="A16" zoomScale="80" zoomScaleNormal="80" zoomScaleSheetLayoutView="80" workbookViewId="0">
      <selection activeCell="C47" sqref="C47"/>
    </sheetView>
  </sheetViews>
  <sheetFormatPr defaultColWidth="11.453125" defaultRowHeight="12.5" x14ac:dyDescent="0.25"/>
  <cols>
    <col min="1" max="1" width="19.7265625" style="187" customWidth="1"/>
    <col min="2" max="2" width="14.81640625" style="187" customWidth="1"/>
    <col min="3" max="8" width="17.7265625" style="187" customWidth="1"/>
    <col min="9" max="9" width="2.26953125" style="187" customWidth="1"/>
    <col min="10" max="10" width="17.7265625" style="187" customWidth="1"/>
    <col min="11" max="11" width="2" style="187" customWidth="1"/>
    <col min="12" max="12" width="17.7265625" style="187" customWidth="1"/>
    <col min="13" max="13" width="26.7265625" style="187" bestFit="1" customWidth="1"/>
    <col min="14" max="14" width="14" style="187" customWidth="1"/>
    <col min="15" max="15" width="11.453125" style="187"/>
    <col min="16" max="16" width="12.26953125" style="187" bestFit="1" customWidth="1"/>
    <col min="17" max="16384" width="11.453125" style="187"/>
  </cols>
  <sheetData>
    <row r="1" spans="1:29" ht="21" customHeight="1" thickBot="1" x14ac:dyDescent="0.45">
      <c r="A1" s="1051" t="s">
        <v>307</v>
      </c>
      <c r="B1" s="1052"/>
      <c r="C1" s="1052"/>
      <c r="D1" s="1052"/>
      <c r="E1" s="1052"/>
      <c r="F1" s="1052"/>
      <c r="G1" s="1052"/>
      <c r="H1" s="1052"/>
      <c r="I1" s="1052"/>
      <c r="J1" s="1053"/>
      <c r="K1" s="46"/>
      <c r="L1" s="46"/>
      <c r="M1" s="46"/>
    </row>
    <row r="2" spans="1:29" x14ac:dyDescent="0.25">
      <c r="A2" s="233"/>
      <c r="B2" s="233"/>
      <c r="C2" s="233"/>
      <c r="D2" s="233"/>
      <c r="E2" s="233"/>
      <c r="F2" s="233"/>
      <c r="G2" s="233"/>
      <c r="H2" s="233"/>
      <c r="I2" s="233"/>
      <c r="J2" s="233"/>
      <c r="K2" s="188"/>
      <c r="L2" s="188"/>
      <c r="M2" s="188"/>
    </row>
    <row r="3" spans="1:29" ht="13" thickBot="1" x14ac:dyDescent="0.3">
      <c r="A3" s="233"/>
      <c r="B3" s="233"/>
      <c r="C3" s="233"/>
      <c r="D3" s="233"/>
      <c r="E3" s="233"/>
      <c r="F3" s="233"/>
      <c r="G3" s="233"/>
      <c r="H3" s="233"/>
      <c r="I3" s="233"/>
      <c r="J3" s="233"/>
      <c r="K3" s="188"/>
      <c r="L3" s="188"/>
      <c r="M3" s="188"/>
    </row>
    <row r="4" spans="1:29" s="190" customFormat="1" ht="21.75" customHeight="1" thickBot="1" x14ac:dyDescent="0.4">
      <c r="A4" s="1040" t="s">
        <v>235</v>
      </c>
      <c r="B4" s="1041"/>
      <c r="C4" s="1041"/>
      <c r="D4" s="1041"/>
      <c r="E4" s="1041"/>
      <c r="F4" s="1041"/>
      <c r="G4" s="1041"/>
      <c r="H4" s="1041"/>
      <c r="I4" s="1041"/>
      <c r="J4" s="1042"/>
      <c r="K4" s="189"/>
      <c r="L4" s="487"/>
      <c r="M4" s="488" t="str">
        <f>+TITELBLAD!B18</f>
        <v>Rapportering over boekjaar:</v>
      </c>
      <c r="N4" s="488">
        <f>+TITELBLAD!E18</f>
        <v>2019</v>
      </c>
      <c r="O4" s="488" t="str">
        <f>+TITELBLAD!F18</f>
        <v>ex-ante</v>
      </c>
      <c r="P4" s="187"/>
      <c r="Q4" s="187"/>
      <c r="R4" s="187"/>
      <c r="S4" s="187"/>
      <c r="T4" s="187"/>
      <c r="U4" s="187"/>
      <c r="V4" s="187"/>
      <c r="W4" s="187"/>
      <c r="X4" s="187"/>
      <c r="Y4" s="187"/>
      <c r="Z4" s="187"/>
      <c r="AA4" s="187"/>
      <c r="AB4" s="187"/>
      <c r="AC4" s="187"/>
    </row>
    <row r="5" spans="1:29" ht="13" thickBot="1" x14ac:dyDescent="0.3">
      <c r="L5" s="488"/>
      <c r="M5" s="488"/>
      <c r="N5" s="488"/>
      <c r="O5" s="488"/>
    </row>
    <row r="6" spans="1:29" ht="17" thickBot="1" x14ac:dyDescent="0.4">
      <c r="C6" s="1054" t="str">
        <f>+TITELBLAD!C7</f>
        <v>Naam distributienetbeheerder</v>
      </c>
      <c r="D6" s="1055"/>
      <c r="E6" s="1055"/>
      <c r="F6" s="1055"/>
      <c r="G6" s="1055"/>
      <c r="H6" s="1056"/>
      <c r="L6" s="488"/>
      <c r="M6" s="488"/>
      <c r="N6" s="488"/>
      <c r="O6" s="488"/>
    </row>
    <row r="7" spans="1:29" ht="17" thickBot="1" x14ac:dyDescent="0.4">
      <c r="C7" s="1054" t="str">
        <f>+TITELBLAD!C12</f>
        <v>elektriciteit</v>
      </c>
      <c r="D7" s="1055"/>
      <c r="E7" s="1055"/>
      <c r="F7" s="1055"/>
      <c r="G7" s="1055"/>
      <c r="H7" s="1056"/>
      <c r="L7" s="488"/>
      <c r="M7" s="488"/>
      <c r="N7" s="488"/>
      <c r="O7" s="488"/>
    </row>
    <row r="8" spans="1:29" s="190" customFormat="1" ht="17" thickBot="1" x14ac:dyDescent="0.4">
      <c r="A8" s="187"/>
      <c r="B8" s="187"/>
      <c r="C8" s="1043" t="s">
        <v>43</v>
      </c>
      <c r="D8" s="1044"/>
      <c r="E8" s="1044"/>
      <c r="F8" s="1044"/>
      <c r="G8" s="1044"/>
      <c r="H8" s="1045"/>
      <c r="I8" s="187"/>
      <c r="J8" s="187"/>
      <c r="K8" s="187"/>
      <c r="L8" s="187"/>
      <c r="M8" s="187"/>
      <c r="N8" s="187"/>
      <c r="O8" s="187"/>
      <c r="P8" s="187"/>
      <c r="Q8" s="187"/>
      <c r="R8" s="187"/>
      <c r="S8" s="187"/>
      <c r="T8" s="187"/>
      <c r="U8" s="187"/>
      <c r="V8" s="187"/>
      <c r="W8" s="187"/>
      <c r="X8" s="187"/>
      <c r="Y8" s="187"/>
      <c r="Z8" s="187"/>
      <c r="AA8" s="187"/>
      <c r="AB8" s="187"/>
      <c r="AC8" s="187"/>
    </row>
    <row r="9" spans="1:29" s="190" customFormat="1" ht="13.5" thickBot="1" x14ac:dyDescent="0.35">
      <c r="A9" s="187"/>
      <c r="B9" s="187"/>
      <c r="C9" s="672">
        <v>2015</v>
      </c>
      <c r="D9" s="673">
        <v>2016</v>
      </c>
      <c r="E9" s="673">
        <v>2017</v>
      </c>
      <c r="F9" s="673">
        <v>2018</v>
      </c>
      <c r="G9" s="673">
        <v>2019</v>
      </c>
      <c r="H9" s="670">
        <v>2020</v>
      </c>
      <c r="I9" s="187"/>
      <c r="J9" s="187"/>
      <c r="K9" s="187"/>
      <c r="L9" s="187"/>
      <c r="M9" s="187"/>
      <c r="N9" s="187"/>
      <c r="O9" s="187"/>
      <c r="P9" s="187"/>
      <c r="Q9" s="187"/>
      <c r="R9" s="187"/>
      <c r="S9" s="187"/>
      <c r="T9" s="187"/>
      <c r="U9" s="187"/>
      <c r="V9" s="187"/>
      <c r="W9" s="187"/>
      <c r="X9" s="187"/>
      <c r="Y9" s="187"/>
      <c r="Z9" s="187"/>
      <c r="AA9" s="187"/>
      <c r="AB9" s="187"/>
      <c r="AC9" s="187"/>
    </row>
    <row r="10" spans="1:29" s="190" customFormat="1" x14ac:dyDescent="0.25">
      <c r="A10" s="187"/>
      <c r="B10" s="187"/>
      <c r="C10" s="467">
        <v>0</v>
      </c>
      <c r="D10" s="671">
        <v>0</v>
      </c>
      <c r="E10" s="671">
        <v>0</v>
      </c>
      <c r="F10" s="671">
        <v>0</v>
      </c>
      <c r="G10" s="671">
        <v>0</v>
      </c>
      <c r="H10" s="671">
        <v>0</v>
      </c>
      <c r="I10" s="187"/>
      <c r="J10" s="187"/>
      <c r="K10" s="187"/>
      <c r="L10" s="187"/>
      <c r="M10" s="187"/>
      <c r="N10" s="187"/>
      <c r="O10" s="187"/>
      <c r="P10" s="187"/>
      <c r="Q10" s="187"/>
      <c r="R10" s="187"/>
      <c r="S10" s="187"/>
      <c r="T10" s="187"/>
      <c r="U10" s="187"/>
      <c r="V10" s="187"/>
      <c r="W10" s="187"/>
      <c r="X10" s="187"/>
      <c r="Y10" s="187"/>
      <c r="Z10" s="187"/>
      <c r="AA10" s="187"/>
      <c r="AB10" s="187"/>
      <c r="AC10" s="187"/>
    </row>
    <row r="11" spans="1:29" s="193" customFormat="1" ht="13" x14ac:dyDescent="0.3">
      <c r="C11" s="194" t="s">
        <v>67</v>
      </c>
      <c r="F11" s="195"/>
      <c r="G11" s="195"/>
      <c r="H11" s="195"/>
    </row>
    <row r="12" spans="1:29" s="193" customFormat="1" ht="13" x14ac:dyDescent="0.3">
      <c r="C12" s="196" t="s">
        <v>344</v>
      </c>
    </row>
    <row r="13" spans="1:29" s="193" customFormat="1" ht="13" x14ac:dyDescent="0.3">
      <c r="C13" s="196"/>
    </row>
    <row r="14" spans="1:29" ht="13.5" thickBot="1" x14ac:dyDescent="0.35">
      <c r="C14" s="197"/>
    </row>
    <row r="15" spans="1:29" ht="21.75" customHeight="1" thickBot="1" x14ac:dyDescent="0.35">
      <c r="A15" s="1046" t="s">
        <v>29</v>
      </c>
      <c r="B15" s="1047"/>
      <c r="C15" s="1047"/>
      <c r="D15" s="1047"/>
      <c r="E15" s="1047"/>
      <c r="F15" s="1047"/>
      <c r="G15" s="1047"/>
      <c r="H15" s="1047"/>
      <c r="I15" s="1047"/>
      <c r="J15" s="1048"/>
      <c r="K15" s="1049"/>
      <c r="L15" s="1050"/>
    </row>
    <row r="17" spans="1:29" ht="13" x14ac:dyDescent="0.3">
      <c r="C17" s="194" t="s">
        <v>67</v>
      </c>
    </row>
    <row r="18" spans="1:29" ht="13" x14ac:dyDescent="0.3">
      <c r="C18" s="196" t="s">
        <v>344</v>
      </c>
    </row>
    <row r="19" spans="1:29" ht="16.5" x14ac:dyDescent="0.35">
      <c r="C19" s="1023" t="s">
        <v>30</v>
      </c>
      <c r="D19" s="1024"/>
      <c r="E19" s="1024"/>
      <c r="F19" s="1024"/>
      <c r="G19" s="1024"/>
      <c r="H19" s="1025"/>
      <c r="J19" s="200" t="s">
        <v>31</v>
      </c>
    </row>
    <row r="20" spans="1:29" ht="13.5" thickBot="1" x14ac:dyDescent="0.35">
      <c r="A20" s="1035"/>
      <c r="B20" s="1035"/>
      <c r="C20" s="201">
        <f t="shared" ref="C20:H20" si="0">C9</f>
        <v>2015</v>
      </c>
      <c r="D20" s="202">
        <f t="shared" si="0"/>
        <v>2016</v>
      </c>
      <c r="E20" s="202">
        <f t="shared" si="0"/>
        <v>2017</v>
      </c>
      <c r="F20" s="202">
        <f t="shared" si="0"/>
        <v>2018</v>
      </c>
      <c r="G20" s="202">
        <f t="shared" si="0"/>
        <v>2019</v>
      </c>
      <c r="H20" s="202">
        <f t="shared" si="0"/>
        <v>2020</v>
      </c>
      <c r="J20" s="203"/>
    </row>
    <row r="21" spans="1:29" s="190" customFormat="1" ht="12.75" customHeight="1" thickBot="1" x14ac:dyDescent="0.3">
      <c r="A21" s="1032" t="s">
        <v>32</v>
      </c>
      <c r="B21" s="204">
        <f>C9</f>
        <v>2015</v>
      </c>
      <c r="C21" s="669">
        <v>0</v>
      </c>
      <c r="D21" s="205"/>
      <c r="E21" s="205"/>
      <c r="F21" s="205"/>
      <c r="G21" s="205"/>
      <c r="H21" s="206"/>
      <c r="I21" s="207"/>
      <c r="J21" s="208">
        <f t="shared" ref="J21:J26" si="1">SUM(C21:H21)</f>
        <v>0</v>
      </c>
      <c r="K21" s="187"/>
      <c r="L21" s="187"/>
      <c r="M21" s="187"/>
      <c r="N21" s="187"/>
      <c r="O21" s="187"/>
      <c r="P21" s="187"/>
      <c r="Q21" s="187"/>
      <c r="R21" s="187"/>
      <c r="S21" s="187"/>
      <c r="T21" s="187"/>
      <c r="U21" s="187"/>
      <c r="V21" s="187"/>
      <c r="W21" s="187"/>
      <c r="X21" s="187"/>
      <c r="Y21" s="187"/>
      <c r="Z21" s="187"/>
      <c r="AA21" s="187"/>
      <c r="AB21" s="187"/>
      <c r="AC21" s="187"/>
    </row>
    <row r="22" spans="1:29" s="190" customFormat="1" ht="13.5" customHeight="1" thickBot="1" x14ac:dyDescent="0.3">
      <c r="A22" s="1033"/>
      <c r="B22" s="209">
        <f>D9</f>
        <v>2016</v>
      </c>
      <c r="C22" s="470">
        <f>C10-C21</f>
        <v>0</v>
      </c>
      <c r="D22" s="669">
        <v>0</v>
      </c>
      <c r="E22" s="210"/>
      <c r="F22" s="210"/>
      <c r="G22" s="210"/>
      <c r="H22" s="211"/>
      <c r="I22" s="207"/>
      <c r="J22" s="208">
        <f t="shared" si="1"/>
        <v>0</v>
      </c>
      <c r="K22" s="187"/>
      <c r="L22" s="187"/>
      <c r="M22" s="187"/>
      <c r="N22" s="187"/>
      <c r="O22" s="187"/>
      <c r="P22" s="187"/>
      <c r="Q22" s="187"/>
      <c r="R22" s="187"/>
      <c r="S22" s="187"/>
      <c r="T22" s="187"/>
      <c r="U22" s="187"/>
      <c r="V22" s="187"/>
      <c r="W22" s="187"/>
      <c r="X22" s="187"/>
      <c r="Y22" s="187"/>
      <c r="Z22" s="187"/>
      <c r="AA22" s="187"/>
      <c r="AB22" s="187"/>
      <c r="AC22" s="187"/>
    </row>
    <row r="23" spans="1:29" s="190" customFormat="1" ht="13.5" customHeight="1" thickBot="1" x14ac:dyDescent="0.3">
      <c r="A23" s="1033"/>
      <c r="B23" s="209">
        <f>E9</f>
        <v>2017</v>
      </c>
      <c r="C23" s="210"/>
      <c r="D23" s="470">
        <f>D10-D22</f>
        <v>0</v>
      </c>
      <c r="E23" s="669">
        <v>0</v>
      </c>
      <c r="F23" s="210"/>
      <c r="G23" s="210"/>
      <c r="H23" s="211"/>
      <c r="I23" s="207"/>
      <c r="J23" s="208">
        <f t="shared" si="1"/>
        <v>0</v>
      </c>
      <c r="K23" s="187"/>
      <c r="L23" s="187"/>
      <c r="M23" s="187"/>
      <c r="N23" s="187"/>
      <c r="O23" s="187"/>
      <c r="P23" s="187"/>
      <c r="Q23" s="187"/>
      <c r="R23" s="187"/>
      <c r="S23" s="187"/>
      <c r="T23" s="187"/>
      <c r="U23" s="187"/>
      <c r="V23" s="187"/>
      <c r="W23" s="187"/>
      <c r="X23" s="187"/>
      <c r="Y23" s="187"/>
      <c r="Z23" s="187"/>
      <c r="AA23" s="187"/>
      <c r="AB23" s="187"/>
      <c r="AC23" s="187"/>
    </row>
    <row r="24" spans="1:29" s="190" customFormat="1" ht="13.5" customHeight="1" thickBot="1" x14ac:dyDescent="0.3">
      <c r="A24" s="1033"/>
      <c r="B24" s="209">
        <f>F9</f>
        <v>2018</v>
      </c>
      <c r="C24" s="210"/>
      <c r="D24" s="210"/>
      <c r="E24" s="470">
        <f>E10-E23</f>
        <v>0</v>
      </c>
      <c r="F24" s="669">
        <v>0</v>
      </c>
      <c r="G24" s="210"/>
      <c r="H24" s="211"/>
      <c r="I24" s="207"/>
      <c r="J24" s="208">
        <f t="shared" si="1"/>
        <v>0</v>
      </c>
      <c r="K24" s="187"/>
      <c r="L24" s="187"/>
      <c r="M24" s="187"/>
      <c r="N24" s="187"/>
      <c r="O24" s="187"/>
      <c r="P24" s="187"/>
      <c r="Q24" s="187"/>
      <c r="R24" s="187"/>
      <c r="S24" s="187"/>
      <c r="T24" s="187"/>
      <c r="U24" s="187"/>
      <c r="V24" s="187"/>
      <c r="W24" s="187"/>
      <c r="X24" s="187"/>
      <c r="Y24" s="187"/>
      <c r="Z24" s="187"/>
      <c r="AA24" s="187"/>
      <c r="AB24" s="187"/>
      <c r="AC24" s="187"/>
    </row>
    <row r="25" spans="1:29" s="190" customFormat="1" ht="13.5" customHeight="1" thickBot="1" x14ac:dyDescent="0.3">
      <c r="A25" s="1033"/>
      <c r="B25" s="209">
        <f>G9</f>
        <v>2019</v>
      </c>
      <c r="C25" s="210"/>
      <c r="D25" s="210"/>
      <c r="E25" s="210"/>
      <c r="F25" s="470">
        <f>F10-F24</f>
        <v>0</v>
      </c>
      <c r="G25" s="669">
        <v>0</v>
      </c>
      <c r="H25" s="211"/>
      <c r="I25" s="207"/>
      <c r="J25" s="208">
        <f t="shared" si="1"/>
        <v>0</v>
      </c>
      <c r="K25" s="187"/>
      <c r="L25" s="187"/>
      <c r="M25" s="187"/>
      <c r="N25" s="187"/>
      <c r="O25" s="187"/>
      <c r="P25" s="187"/>
      <c r="Q25" s="187"/>
      <c r="R25" s="187"/>
      <c r="S25" s="187"/>
      <c r="T25" s="187"/>
      <c r="U25" s="187"/>
      <c r="V25" s="187"/>
      <c r="W25" s="187"/>
      <c r="X25" s="187"/>
      <c r="Y25" s="187"/>
      <c r="Z25" s="187"/>
      <c r="AA25" s="187"/>
      <c r="AB25" s="187"/>
      <c r="AC25" s="187"/>
    </row>
    <row r="26" spans="1:29" s="190" customFormat="1" ht="13.5" customHeight="1" thickBot="1" x14ac:dyDescent="0.3">
      <c r="A26" s="1033"/>
      <c r="B26" s="209">
        <f>H9</f>
        <v>2020</v>
      </c>
      <c r="C26" s="210"/>
      <c r="D26" s="210"/>
      <c r="E26" s="210"/>
      <c r="F26" s="210"/>
      <c r="G26" s="470">
        <f>G10-G25</f>
        <v>0</v>
      </c>
      <c r="H26" s="669">
        <v>0</v>
      </c>
      <c r="I26" s="207"/>
      <c r="J26" s="208">
        <f t="shared" si="1"/>
        <v>0</v>
      </c>
      <c r="K26" s="187"/>
      <c r="L26" s="187"/>
      <c r="M26" s="187"/>
      <c r="N26" s="187"/>
      <c r="O26" s="187"/>
      <c r="P26" s="187"/>
      <c r="Q26" s="187"/>
      <c r="R26" s="187"/>
      <c r="S26" s="187"/>
      <c r="T26" s="187"/>
      <c r="U26" s="187"/>
      <c r="V26" s="187"/>
      <c r="W26" s="187"/>
      <c r="X26" s="187"/>
      <c r="Y26" s="187"/>
      <c r="Z26" s="187"/>
      <c r="AA26" s="187"/>
      <c r="AB26" s="187"/>
      <c r="AC26" s="187"/>
    </row>
    <row r="27" spans="1:29" s="199" customFormat="1" ht="15.5" x14ac:dyDescent="0.35">
      <c r="A27" s="1036"/>
      <c r="B27" s="212" t="s">
        <v>33</v>
      </c>
      <c r="C27" s="213">
        <f t="shared" ref="C27:H27" si="2">SUM(C21:C26)</f>
        <v>0</v>
      </c>
      <c r="D27" s="213">
        <f t="shared" si="2"/>
        <v>0</v>
      </c>
      <c r="E27" s="213">
        <f t="shared" si="2"/>
        <v>0</v>
      </c>
      <c r="F27" s="213">
        <f t="shared" si="2"/>
        <v>0</v>
      </c>
      <c r="G27" s="213">
        <f t="shared" si="2"/>
        <v>0</v>
      </c>
      <c r="H27" s="214">
        <f t="shared" si="2"/>
        <v>0</v>
      </c>
      <c r="I27" s="215"/>
      <c r="J27" s="216">
        <f>SUM(J21:J26)</f>
        <v>0</v>
      </c>
      <c r="K27" s="198"/>
      <c r="L27" s="198"/>
      <c r="M27" s="198"/>
      <c r="N27" s="198"/>
      <c r="O27" s="198"/>
      <c r="P27" s="198"/>
      <c r="Q27" s="198"/>
      <c r="R27" s="198"/>
      <c r="S27" s="198"/>
      <c r="T27" s="198"/>
      <c r="U27" s="198"/>
      <c r="V27" s="198"/>
      <c r="W27" s="198"/>
      <c r="X27" s="198"/>
      <c r="Y27" s="198"/>
      <c r="Z27" s="198"/>
      <c r="AA27" s="198"/>
      <c r="AB27" s="198"/>
      <c r="AC27" s="198"/>
    </row>
    <row r="28" spans="1:29" s="196" customFormat="1" ht="15.75" customHeight="1" x14ac:dyDescent="0.3">
      <c r="A28" s="217" t="s">
        <v>58</v>
      </c>
      <c r="C28" s="218">
        <f t="shared" ref="C28:H28" si="3">+C27+C40</f>
        <v>0</v>
      </c>
      <c r="D28" s="218">
        <f t="shared" si="3"/>
        <v>0</v>
      </c>
      <c r="E28" s="218">
        <f t="shared" si="3"/>
        <v>0</v>
      </c>
      <c r="F28" s="218">
        <f t="shared" si="3"/>
        <v>0</v>
      </c>
      <c r="G28" s="218">
        <f t="shared" si="3"/>
        <v>0</v>
      </c>
      <c r="H28" s="218">
        <f t="shared" si="3"/>
        <v>0</v>
      </c>
      <c r="I28" s="218"/>
      <c r="J28" s="218">
        <f>+J27+J40</f>
        <v>0</v>
      </c>
      <c r="K28" s="218">
        <f>+K27+K40</f>
        <v>0</v>
      </c>
    </row>
    <row r="29" spans="1:29" s="219" customFormat="1" ht="13" x14ac:dyDescent="0.3">
      <c r="A29" s="196"/>
      <c r="B29" s="196"/>
      <c r="C29" s="218"/>
      <c r="D29" s="218"/>
      <c r="E29" s="218"/>
      <c r="F29" s="218"/>
      <c r="G29" s="218"/>
      <c r="H29" s="218"/>
      <c r="I29" s="196"/>
      <c r="J29" s="196"/>
      <c r="K29" s="196"/>
      <c r="L29" s="196"/>
      <c r="M29" s="196"/>
      <c r="N29" s="196"/>
      <c r="O29" s="196"/>
      <c r="P29" s="196"/>
      <c r="Q29" s="196"/>
      <c r="R29" s="196"/>
      <c r="S29" s="196"/>
      <c r="T29" s="196"/>
      <c r="U29" s="196"/>
      <c r="V29" s="196"/>
      <c r="W29" s="196"/>
      <c r="X29" s="196"/>
      <c r="Y29" s="196"/>
      <c r="Z29" s="196"/>
      <c r="AA29" s="196"/>
      <c r="AB29" s="196"/>
      <c r="AC29" s="196"/>
    </row>
    <row r="30" spans="1:29" s="219" customFormat="1" ht="13" x14ac:dyDescent="0.3">
      <c r="A30" s="196"/>
      <c r="B30" s="196"/>
      <c r="C30" s="194" t="s">
        <v>56</v>
      </c>
      <c r="D30" s="218"/>
      <c r="E30" s="218"/>
      <c r="F30" s="218"/>
      <c r="G30" s="218"/>
      <c r="H30" s="218"/>
      <c r="I30" s="196"/>
      <c r="J30" s="196"/>
      <c r="K30" s="196"/>
      <c r="L30" s="196"/>
      <c r="M30" s="196"/>
      <c r="N30" s="196"/>
      <c r="O30" s="196"/>
      <c r="P30" s="196"/>
      <c r="Q30" s="196"/>
      <c r="R30" s="196"/>
      <c r="S30" s="196"/>
      <c r="T30" s="196"/>
      <c r="U30" s="196"/>
      <c r="V30" s="196"/>
      <c r="W30" s="196"/>
      <c r="X30" s="196"/>
      <c r="Y30" s="196"/>
      <c r="Z30" s="196"/>
      <c r="AA30" s="196"/>
      <c r="AB30" s="196"/>
      <c r="AC30" s="196"/>
    </row>
    <row r="31" spans="1:29" s="219" customFormat="1" ht="13" x14ac:dyDescent="0.3">
      <c r="A31" s="196"/>
      <c r="B31" s="196"/>
      <c r="C31" s="194" t="s">
        <v>57</v>
      </c>
      <c r="D31" s="218"/>
      <c r="E31" s="218"/>
      <c r="F31" s="218"/>
      <c r="G31" s="218"/>
      <c r="H31" s="218"/>
      <c r="I31" s="196"/>
      <c r="J31" s="196"/>
      <c r="K31" s="196"/>
      <c r="L31" s="196"/>
      <c r="M31" s="196"/>
      <c r="N31" s="196"/>
      <c r="O31" s="196"/>
      <c r="P31" s="196"/>
      <c r="Q31" s="196"/>
      <c r="R31" s="196"/>
      <c r="S31" s="196"/>
      <c r="T31" s="196"/>
      <c r="U31" s="196"/>
      <c r="V31" s="196"/>
      <c r="W31" s="196"/>
      <c r="X31" s="196"/>
      <c r="Y31" s="196"/>
      <c r="Z31" s="196"/>
      <c r="AA31" s="196"/>
      <c r="AB31" s="196"/>
      <c r="AC31" s="196"/>
    </row>
    <row r="32" spans="1:29" s="190" customFormat="1" ht="16.5" x14ac:dyDescent="0.35">
      <c r="A32" s="187"/>
      <c r="B32" s="187"/>
      <c r="C32" s="1029" t="s">
        <v>30</v>
      </c>
      <c r="D32" s="1030"/>
      <c r="E32" s="1030"/>
      <c r="F32" s="1030"/>
      <c r="G32" s="1030"/>
      <c r="H32" s="1031"/>
      <c r="I32" s="187"/>
      <c r="J32" s="200" t="s">
        <v>31</v>
      </c>
      <c r="K32" s="187"/>
      <c r="L32" s="200" t="s">
        <v>31</v>
      </c>
      <c r="M32" s="187"/>
      <c r="N32" s="187"/>
      <c r="O32" s="187"/>
      <c r="P32" s="187"/>
      <c r="Q32" s="187"/>
      <c r="R32" s="187"/>
      <c r="S32" s="187"/>
      <c r="T32" s="187"/>
      <c r="U32" s="187"/>
      <c r="V32" s="187"/>
      <c r="W32" s="187"/>
      <c r="X32" s="187"/>
      <c r="Y32" s="187"/>
      <c r="Z32" s="187"/>
      <c r="AA32" s="187"/>
      <c r="AB32" s="187"/>
      <c r="AC32" s="187"/>
    </row>
    <row r="33" spans="1:29" s="190" customFormat="1" x14ac:dyDescent="0.25">
      <c r="A33" s="187"/>
      <c r="B33" s="187"/>
      <c r="C33" s="202">
        <f t="shared" ref="C33:H33" si="4">C20</f>
        <v>2015</v>
      </c>
      <c r="D33" s="202">
        <f t="shared" si="4"/>
        <v>2016</v>
      </c>
      <c r="E33" s="202">
        <f t="shared" si="4"/>
        <v>2017</v>
      </c>
      <c r="F33" s="202">
        <f t="shared" si="4"/>
        <v>2018</v>
      </c>
      <c r="G33" s="202">
        <f t="shared" si="4"/>
        <v>2019</v>
      </c>
      <c r="H33" s="202">
        <f t="shared" si="4"/>
        <v>2020</v>
      </c>
      <c r="I33" s="187"/>
      <c r="J33" s="203" t="s">
        <v>34</v>
      </c>
      <c r="K33" s="187"/>
      <c r="L33" s="203" t="s">
        <v>35</v>
      </c>
      <c r="M33" s="187"/>
      <c r="N33" s="187"/>
      <c r="O33" s="187"/>
      <c r="P33" s="187"/>
      <c r="Q33" s="187"/>
      <c r="R33" s="187"/>
      <c r="S33" s="187"/>
      <c r="T33" s="187"/>
      <c r="U33" s="187"/>
      <c r="V33" s="187"/>
      <c r="W33" s="187"/>
      <c r="X33" s="187"/>
      <c r="Y33" s="187"/>
      <c r="Z33" s="187"/>
      <c r="AA33" s="187"/>
      <c r="AB33" s="187"/>
      <c r="AC33" s="187"/>
    </row>
    <row r="34" spans="1:29" s="190" customFormat="1" ht="13" x14ac:dyDescent="0.3">
      <c r="A34" s="1032" t="s">
        <v>224</v>
      </c>
      <c r="B34" s="668">
        <f t="shared" ref="B34:B39" si="5">B21</f>
        <v>2015</v>
      </c>
      <c r="C34" s="221"/>
      <c r="D34" s="221"/>
      <c r="E34" s="221"/>
      <c r="F34" s="221"/>
      <c r="G34" s="221"/>
      <c r="H34" s="222"/>
      <c r="I34" s="207"/>
      <c r="J34" s="208">
        <f t="shared" ref="J34:J39" si="6">SUM(C34:H34)</f>
        <v>0</v>
      </c>
      <c r="K34" s="207"/>
      <c r="L34" s="223">
        <f t="shared" ref="L34:L39" si="7">SUM(J21,J34)</f>
        <v>0</v>
      </c>
      <c r="M34" s="187"/>
      <c r="N34" s="187"/>
      <c r="O34" s="187"/>
      <c r="P34" s="187"/>
      <c r="Q34" s="187"/>
      <c r="R34" s="187"/>
      <c r="S34" s="187"/>
      <c r="T34" s="187"/>
      <c r="U34" s="187"/>
      <c r="V34" s="187"/>
      <c r="W34" s="187"/>
      <c r="X34" s="187"/>
      <c r="Y34" s="187"/>
      <c r="Z34" s="187"/>
      <c r="AA34" s="187"/>
      <c r="AB34" s="187"/>
      <c r="AC34" s="187"/>
    </row>
    <row r="35" spans="1:29" s="190" customFormat="1" ht="13" x14ac:dyDescent="0.3">
      <c r="A35" s="1033"/>
      <c r="B35" s="220">
        <f t="shared" si="5"/>
        <v>2016</v>
      </c>
      <c r="C35" s="221"/>
      <c r="D35" s="221"/>
      <c r="E35" s="221"/>
      <c r="F35" s="221"/>
      <c r="G35" s="221"/>
      <c r="H35" s="224"/>
      <c r="I35" s="207"/>
      <c r="J35" s="208">
        <f t="shared" si="6"/>
        <v>0</v>
      </c>
      <c r="K35" s="207"/>
      <c r="L35" s="223">
        <f t="shared" si="7"/>
        <v>0</v>
      </c>
      <c r="M35" s="187"/>
      <c r="N35" s="187"/>
      <c r="O35" s="187"/>
      <c r="P35" s="187"/>
      <c r="Q35" s="187"/>
      <c r="R35" s="187"/>
      <c r="S35" s="187"/>
      <c r="T35" s="187"/>
      <c r="U35" s="187"/>
      <c r="V35" s="187"/>
      <c r="W35" s="187"/>
      <c r="X35" s="187"/>
      <c r="Y35" s="187"/>
      <c r="Z35" s="187"/>
      <c r="AA35" s="187"/>
      <c r="AB35" s="187"/>
      <c r="AC35" s="187"/>
    </row>
    <row r="36" spans="1:29" s="190" customFormat="1" ht="13" x14ac:dyDescent="0.3">
      <c r="A36" s="1033" t="s">
        <v>36</v>
      </c>
      <c r="B36" s="220">
        <f t="shared" si="5"/>
        <v>2017</v>
      </c>
      <c r="C36" s="469">
        <v>0</v>
      </c>
      <c r="D36" s="221"/>
      <c r="E36" s="221"/>
      <c r="F36" s="221"/>
      <c r="G36" s="221"/>
      <c r="H36" s="224"/>
      <c r="I36" s="207"/>
      <c r="J36" s="208">
        <f t="shared" si="6"/>
        <v>0</v>
      </c>
      <c r="K36" s="207"/>
      <c r="L36" s="223">
        <f t="shared" si="7"/>
        <v>0</v>
      </c>
      <c r="M36" s="187"/>
      <c r="N36" s="187"/>
      <c r="O36" s="187"/>
      <c r="P36" s="187"/>
      <c r="Q36" s="187"/>
      <c r="R36" s="187"/>
      <c r="S36" s="187"/>
      <c r="T36" s="187"/>
      <c r="U36" s="187"/>
      <c r="V36" s="187"/>
      <c r="W36" s="187"/>
      <c r="X36" s="187"/>
      <c r="Y36" s="187"/>
      <c r="Z36" s="187"/>
      <c r="AA36" s="187"/>
      <c r="AB36" s="187"/>
      <c r="AC36" s="187"/>
    </row>
    <row r="37" spans="1:29" s="190" customFormat="1" ht="13" x14ac:dyDescent="0.3">
      <c r="A37" s="1033"/>
      <c r="B37" s="220">
        <f t="shared" si="5"/>
        <v>2018</v>
      </c>
      <c r="C37" s="469">
        <v>0</v>
      </c>
      <c r="D37" s="469">
        <v>0</v>
      </c>
      <c r="E37" s="221"/>
      <c r="F37" s="221"/>
      <c r="G37" s="221"/>
      <c r="H37" s="224"/>
      <c r="I37" s="207"/>
      <c r="J37" s="208">
        <f t="shared" si="6"/>
        <v>0</v>
      </c>
      <c r="K37" s="207"/>
      <c r="L37" s="223">
        <f t="shared" si="7"/>
        <v>0</v>
      </c>
      <c r="M37" s="197" t="s">
        <v>38</v>
      </c>
      <c r="N37" s="187"/>
      <c r="O37" s="187"/>
      <c r="P37" s="187"/>
      <c r="Q37" s="187"/>
      <c r="R37" s="187"/>
      <c r="S37" s="187"/>
      <c r="T37" s="187"/>
      <c r="U37" s="187"/>
      <c r="V37" s="187"/>
      <c r="W37" s="187"/>
      <c r="X37" s="187"/>
      <c r="Y37" s="187"/>
      <c r="Z37" s="187"/>
      <c r="AA37" s="187"/>
      <c r="AB37" s="187"/>
      <c r="AC37" s="187"/>
    </row>
    <row r="38" spans="1:29" s="190" customFormat="1" ht="13" x14ac:dyDescent="0.3">
      <c r="A38" s="1033" t="s">
        <v>37</v>
      </c>
      <c r="B38" s="220">
        <f t="shared" si="5"/>
        <v>2019</v>
      </c>
      <c r="C38" s="469">
        <v>0</v>
      </c>
      <c r="D38" s="469">
        <v>0</v>
      </c>
      <c r="E38" s="469">
        <v>0</v>
      </c>
      <c r="F38" s="221"/>
      <c r="G38" s="221"/>
      <c r="H38" s="224"/>
      <c r="I38" s="207"/>
      <c r="J38" s="208">
        <f t="shared" si="6"/>
        <v>0</v>
      </c>
      <c r="K38" s="207"/>
      <c r="L38" s="223">
        <f t="shared" si="7"/>
        <v>0</v>
      </c>
      <c r="M38" s="197" t="s">
        <v>39</v>
      </c>
      <c r="N38" s="187"/>
      <c r="O38" s="187"/>
      <c r="P38" s="187"/>
      <c r="Q38" s="187"/>
      <c r="R38" s="187"/>
      <c r="S38" s="187"/>
      <c r="T38" s="187"/>
      <c r="U38" s="187"/>
      <c r="V38" s="187"/>
      <c r="W38" s="187"/>
      <c r="X38" s="187"/>
      <c r="Y38" s="187"/>
      <c r="Z38" s="187"/>
      <c r="AA38" s="187"/>
      <c r="AB38" s="187"/>
      <c r="AC38" s="187"/>
    </row>
    <row r="39" spans="1:29" s="190" customFormat="1" ht="13" x14ac:dyDescent="0.3">
      <c r="A39" s="1033"/>
      <c r="B39" s="220">
        <f t="shared" si="5"/>
        <v>2020</v>
      </c>
      <c r="C39" s="469">
        <v>0</v>
      </c>
      <c r="D39" s="469">
        <v>0</v>
      </c>
      <c r="E39" s="469">
        <v>0</v>
      </c>
      <c r="F39" s="469">
        <v>0</v>
      </c>
      <c r="G39" s="221"/>
      <c r="H39" s="224"/>
      <c r="I39" s="207"/>
      <c r="J39" s="208">
        <f t="shared" si="6"/>
        <v>0</v>
      </c>
      <c r="K39" s="207"/>
      <c r="L39" s="223">
        <f t="shared" si="7"/>
        <v>0</v>
      </c>
      <c r="M39" s="197"/>
      <c r="N39" s="187"/>
      <c r="O39" s="187"/>
      <c r="P39" s="187"/>
      <c r="Q39" s="187"/>
      <c r="R39" s="187"/>
      <c r="S39" s="187"/>
      <c r="T39" s="187"/>
      <c r="U39" s="187"/>
      <c r="V39" s="187"/>
      <c r="W39" s="187"/>
      <c r="X39" s="187"/>
      <c r="Y39" s="187"/>
      <c r="Z39" s="187"/>
      <c r="AA39" s="187"/>
      <c r="AB39" s="187"/>
      <c r="AC39" s="187"/>
    </row>
    <row r="40" spans="1:29" s="199" customFormat="1" ht="15.5" x14ac:dyDescent="0.35">
      <c r="A40" s="1034"/>
      <c r="B40" s="212" t="s">
        <v>33</v>
      </c>
      <c r="C40" s="225">
        <f t="shared" ref="C40:H40" si="8">SUM(C34:C39)</f>
        <v>0</v>
      </c>
      <c r="D40" s="225">
        <f t="shared" si="8"/>
        <v>0</v>
      </c>
      <c r="E40" s="225">
        <f t="shared" si="8"/>
        <v>0</v>
      </c>
      <c r="F40" s="225">
        <f>SUM(F34:F39)</f>
        <v>0</v>
      </c>
      <c r="G40" s="225">
        <f t="shared" si="8"/>
        <v>0</v>
      </c>
      <c r="H40" s="225">
        <f t="shared" si="8"/>
        <v>0</v>
      </c>
      <c r="I40" s="207"/>
      <c r="J40" s="216">
        <f>SUM(J34:J39)</f>
        <v>0</v>
      </c>
      <c r="K40" s="215"/>
      <c r="L40" s="216">
        <f>SUM(L34:L39)</f>
        <v>0</v>
      </c>
      <c r="M40" s="198"/>
      <c r="N40" s="198"/>
      <c r="O40" s="198"/>
      <c r="P40" s="198"/>
      <c r="Q40" s="198"/>
      <c r="R40" s="198"/>
      <c r="S40" s="198"/>
      <c r="T40" s="198"/>
      <c r="U40" s="198"/>
      <c r="V40" s="198"/>
      <c r="W40" s="198"/>
      <c r="X40" s="198"/>
      <c r="Y40" s="198"/>
      <c r="Z40" s="198"/>
      <c r="AA40" s="198"/>
      <c r="AB40" s="198"/>
      <c r="AC40" s="198"/>
    </row>
    <row r="41" spans="1:29" x14ac:dyDescent="0.25">
      <c r="I41" s="207"/>
    </row>
    <row r="43" spans="1:29" ht="13" thickBot="1" x14ac:dyDescent="0.3"/>
    <row r="44" spans="1:29" s="190" customFormat="1" ht="22.5" customHeight="1" thickBot="1" x14ac:dyDescent="0.3">
      <c r="A44" s="1037" t="s">
        <v>40</v>
      </c>
      <c r="B44" s="1038"/>
      <c r="C44" s="1038"/>
      <c r="D44" s="1038"/>
      <c r="E44" s="1038"/>
      <c r="F44" s="1038"/>
      <c r="G44" s="1038"/>
      <c r="H44" s="1038"/>
      <c r="I44" s="1038"/>
      <c r="J44" s="1039"/>
      <c r="L44" s="187"/>
      <c r="M44" s="187"/>
      <c r="N44" s="187"/>
      <c r="O44" s="187"/>
      <c r="P44" s="187"/>
      <c r="Q44" s="187"/>
      <c r="R44" s="187"/>
      <c r="S44" s="187"/>
      <c r="T44" s="187"/>
      <c r="U44" s="187"/>
      <c r="V44" s="187"/>
      <c r="W44" s="187"/>
      <c r="X44" s="187"/>
      <c r="Y44" s="187"/>
      <c r="Z44" s="187"/>
      <c r="AA44" s="187"/>
      <c r="AB44" s="187"/>
      <c r="AC44" s="187"/>
    </row>
    <row r="46" spans="1:29" ht="13" x14ac:dyDescent="0.3">
      <c r="C46" s="194" t="s">
        <v>342</v>
      </c>
    </row>
    <row r="47" spans="1:29" ht="13" x14ac:dyDescent="0.3">
      <c r="C47" s="194" t="s">
        <v>42</v>
      </c>
    </row>
    <row r="48" spans="1:29" ht="16.5" x14ac:dyDescent="0.35">
      <c r="C48" s="1023" t="s">
        <v>41</v>
      </c>
      <c r="D48" s="1024"/>
      <c r="E48" s="1024"/>
      <c r="F48" s="1024"/>
      <c r="G48" s="1024"/>
      <c r="H48" s="1025"/>
    </row>
    <row r="49" spans="1:10" x14ac:dyDescent="0.25">
      <c r="C49" s="202">
        <f t="shared" ref="C49:H49" si="9">C33</f>
        <v>2015</v>
      </c>
      <c r="D49" s="202">
        <f t="shared" si="9"/>
        <v>2016</v>
      </c>
      <c r="E49" s="202">
        <f t="shared" si="9"/>
        <v>2017</v>
      </c>
      <c r="F49" s="202">
        <f t="shared" si="9"/>
        <v>2018</v>
      </c>
      <c r="G49" s="202">
        <f t="shared" si="9"/>
        <v>2019</v>
      </c>
      <c r="H49" s="202">
        <f t="shared" si="9"/>
        <v>2020</v>
      </c>
      <c r="J49" s="226" t="s">
        <v>31</v>
      </c>
    </row>
    <row r="50" spans="1:10" x14ac:dyDescent="0.25">
      <c r="A50" s="1026" t="s">
        <v>191</v>
      </c>
      <c r="B50" s="674">
        <f t="shared" ref="B50:B55" si="10">B34</f>
        <v>2015</v>
      </c>
      <c r="C50" s="470">
        <f>+C21</f>
        <v>0</v>
      </c>
      <c r="D50" s="227"/>
      <c r="E50" s="221"/>
      <c r="F50" s="221"/>
      <c r="G50" s="221"/>
      <c r="H50" s="222"/>
      <c r="J50" s="228">
        <f t="shared" ref="J50:J55" si="11">SUM(C50:H50)</f>
        <v>0</v>
      </c>
    </row>
    <row r="51" spans="1:10" x14ac:dyDescent="0.25">
      <c r="A51" s="1027"/>
      <c r="B51" s="202">
        <f t="shared" si="10"/>
        <v>2016</v>
      </c>
      <c r="C51" s="470">
        <f>+C50+C35+C22</f>
        <v>0</v>
      </c>
      <c r="D51" s="470">
        <f>+D22</f>
        <v>0</v>
      </c>
      <c r="E51" s="229"/>
      <c r="F51" s="229"/>
      <c r="G51" s="229"/>
      <c r="H51" s="230"/>
      <c r="J51" s="228">
        <f t="shared" si="11"/>
        <v>0</v>
      </c>
    </row>
    <row r="52" spans="1:10" x14ac:dyDescent="0.25">
      <c r="A52" s="1027"/>
      <c r="B52" s="202">
        <f t="shared" si="10"/>
        <v>2017</v>
      </c>
      <c r="C52" s="470">
        <f>+C51+C36+C23</f>
        <v>0</v>
      </c>
      <c r="D52" s="470">
        <f>+D51+D36+D23</f>
        <v>0</v>
      </c>
      <c r="E52" s="470">
        <f>+E23</f>
        <v>0</v>
      </c>
      <c r="F52" s="229"/>
      <c r="G52" s="229"/>
      <c r="H52" s="230"/>
      <c r="J52" s="228">
        <f t="shared" si="11"/>
        <v>0</v>
      </c>
    </row>
    <row r="53" spans="1:10" x14ac:dyDescent="0.25">
      <c r="A53" s="1027"/>
      <c r="B53" s="202">
        <f t="shared" si="10"/>
        <v>2018</v>
      </c>
      <c r="C53" s="470">
        <f>+C52+C37+C24</f>
        <v>0</v>
      </c>
      <c r="D53" s="470">
        <f>+D52+D37+D24</f>
        <v>0</v>
      </c>
      <c r="E53" s="470">
        <f>+E52+E37+E24</f>
        <v>0</v>
      </c>
      <c r="F53" s="470">
        <f>+F24</f>
        <v>0</v>
      </c>
      <c r="G53" s="229"/>
      <c r="H53" s="230"/>
      <c r="J53" s="228">
        <f t="shared" si="11"/>
        <v>0</v>
      </c>
    </row>
    <row r="54" spans="1:10" x14ac:dyDescent="0.25">
      <c r="A54" s="1027"/>
      <c r="B54" s="202">
        <f t="shared" si="10"/>
        <v>2019</v>
      </c>
      <c r="C54" s="470">
        <f>+C53+C38+C25</f>
        <v>0</v>
      </c>
      <c r="D54" s="470">
        <f>+D53+D38+D25</f>
        <v>0</v>
      </c>
      <c r="E54" s="470">
        <f>+E53+E38+E25</f>
        <v>0</v>
      </c>
      <c r="F54" s="470">
        <f>+F53+F38+F25</f>
        <v>0</v>
      </c>
      <c r="G54" s="470">
        <f>+G25</f>
        <v>0</v>
      </c>
      <c r="H54" s="230"/>
      <c r="J54" s="228">
        <f t="shared" si="11"/>
        <v>0</v>
      </c>
    </row>
    <row r="55" spans="1:10" x14ac:dyDescent="0.25">
      <c r="A55" s="1028"/>
      <c r="B55" s="202">
        <f t="shared" si="10"/>
        <v>2020</v>
      </c>
      <c r="C55" s="470">
        <f>+C54+C39+C26</f>
        <v>0</v>
      </c>
      <c r="D55" s="470">
        <f>+D54+D39+D26</f>
        <v>0</v>
      </c>
      <c r="E55" s="470">
        <f>+E54+E39+E26</f>
        <v>0</v>
      </c>
      <c r="F55" s="470">
        <f>+F54+F39+F26</f>
        <v>0</v>
      </c>
      <c r="G55" s="470">
        <f>+G54+G39+G26</f>
        <v>0</v>
      </c>
      <c r="H55" s="470">
        <f>+H26</f>
        <v>0</v>
      </c>
      <c r="J55" s="228">
        <f t="shared" si="11"/>
        <v>0</v>
      </c>
    </row>
    <row r="56" spans="1:10" ht="13" x14ac:dyDescent="0.3">
      <c r="C56" s="194"/>
    </row>
    <row r="57" spans="1:10" ht="13" x14ac:dyDescent="0.3">
      <c r="C57" s="194"/>
    </row>
  </sheetData>
  <customSheetViews>
    <customSheetView guid="{C8C7977F-B6BF-432B-A1A7-559450D521AF}" scale="80">
      <selection activeCell="C25" sqref="C25"/>
      <pageMargins left="0.78740157480314965" right="0.78740157480314965" top="0.98425196850393704" bottom="0.98425196850393704" header="0.51181102362204722" footer="0.51181102362204722"/>
      <pageSetup paperSize="8" scale="70" orientation="landscape" r:id="rId1"/>
      <headerFooter alignWithMargins="0">
        <oddFooter>&amp;CPage &amp;P</oddFooter>
      </headerFooter>
    </customSheetView>
  </customSheetViews>
  <mergeCells count="15">
    <mergeCell ref="A4:J4"/>
    <mergeCell ref="C8:H8"/>
    <mergeCell ref="A15:J15"/>
    <mergeCell ref="K15:L15"/>
    <mergeCell ref="A1:J1"/>
    <mergeCell ref="C6:H6"/>
    <mergeCell ref="C7:H7"/>
    <mergeCell ref="C48:H48"/>
    <mergeCell ref="A50:A55"/>
    <mergeCell ref="C32:H32"/>
    <mergeCell ref="A34:A40"/>
    <mergeCell ref="C19:H19"/>
    <mergeCell ref="A20:B20"/>
    <mergeCell ref="A21:A27"/>
    <mergeCell ref="A44:J44"/>
  </mergeCells>
  <pageMargins left="0.78740157480314965" right="0.78740157480314965" top="0.98425196850393704" bottom="0.98425196850393704" header="0.51181102362204722" footer="0.51181102362204722"/>
  <pageSetup paperSize="8" scale="88" orientation="landscape" r:id="rId2"/>
  <headerFooter alignWithMargins="0">
    <oddFooter>&amp;CPage &amp;P</oddFooter>
  </headerFooter>
  <ignoredErrors>
    <ignoredError sqref="J33 L33" numberStoredAsText="1"/>
    <ignoredError sqref="J34:J39 C40:H40" formulaRange="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Blad16"/>
  <dimension ref="A1:R506"/>
  <sheetViews>
    <sheetView topLeftCell="A40" zoomScale="85" zoomScaleNormal="85" workbookViewId="0">
      <selection activeCell="B91" sqref="B91:E91"/>
    </sheetView>
  </sheetViews>
  <sheetFormatPr defaultColWidth="9.1796875" defaultRowHeight="12.5" x14ac:dyDescent="0.25"/>
  <cols>
    <col min="1" max="1" width="4.1796875" style="20" customWidth="1"/>
    <col min="2" max="2" width="9.1796875" style="20"/>
    <col min="3" max="3" width="19" style="20" customWidth="1"/>
    <col min="4" max="4" width="12.81640625" style="20" customWidth="1"/>
    <col min="5" max="5" width="24.26953125" style="20" customWidth="1"/>
    <col min="6" max="6" width="9.453125" style="20" customWidth="1"/>
    <col min="7" max="7" width="48.81640625" style="20" customWidth="1"/>
    <col min="8" max="9" width="41.81640625" style="20" customWidth="1"/>
    <col min="10" max="10" width="42" style="20" customWidth="1"/>
    <col min="11" max="12" width="43.453125" style="20" customWidth="1"/>
    <col min="13" max="13" width="2.1796875" style="394" customWidth="1"/>
    <col min="14" max="14" width="43.453125" style="20" customWidth="1"/>
    <col min="15" max="16384" width="9.1796875" style="20"/>
  </cols>
  <sheetData>
    <row r="1" spans="1:18" ht="25.5" customHeight="1" thickBot="1" x14ac:dyDescent="0.45">
      <c r="A1" s="990" t="s">
        <v>236</v>
      </c>
      <c r="B1" s="991"/>
      <c r="C1" s="991"/>
      <c r="D1" s="991"/>
      <c r="E1" s="991"/>
      <c r="F1" s="991"/>
      <c r="G1" s="991"/>
      <c r="H1" s="991"/>
      <c r="I1" s="991"/>
      <c r="J1" s="992"/>
      <c r="K1" s="380"/>
      <c r="L1" s="593" t="str">
        <f>+TITELBLAD!F18</f>
        <v>ex-ante</v>
      </c>
      <c r="M1" s="593"/>
      <c r="N1" s="593">
        <f>+TITELBLAD!G18</f>
        <v>0</v>
      </c>
      <c r="O1" s="106"/>
      <c r="P1" s="106"/>
      <c r="Q1" s="106"/>
      <c r="R1" s="106"/>
    </row>
    <row r="2" spans="1:18" ht="13" x14ac:dyDescent="0.3">
      <c r="B2" s="394" t="str">
        <f>+TITELBLAD!B18</f>
        <v>Rapportering over boekjaar:</v>
      </c>
      <c r="C2" s="394"/>
      <c r="D2" s="394">
        <f>+TITELBLAD!E18</f>
        <v>2019</v>
      </c>
      <c r="E2" s="394" t="str">
        <f>+TITELBLAD!F18</f>
        <v>ex-ante</v>
      </c>
      <c r="H2" s="194"/>
      <c r="I2" s="188"/>
      <c r="J2" s="188"/>
      <c r="K2" s="188"/>
      <c r="L2" s="491"/>
      <c r="N2" s="491"/>
    </row>
    <row r="3" spans="1:18" ht="13.5" thickBot="1" x14ac:dyDescent="0.35">
      <c r="B3" s="107" t="s">
        <v>26</v>
      </c>
      <c r="H3" s="194"/>
      <c r="I3" s="188"/>
      <c r="J3" s="188"/>
      <c r="K3" s="188"/>
      <c r="L3" s="491"/>
      <c r="N3" s="491"/>
    </row>
    <row r="4" spans="1:18" ht="13.5" thickBot="1" x14ac:dyDescent="0.35">
      <c r="B4" s="995" t="str">
        <f>+TITELBLAD!C7</f>
        <v>Naam distributienetbeheerder</v>
      </c>
      <c r="C4" s="996"/>
      <c r="D4" s="996"/>
      <c r="E4" s="997"/>
      <c r="H4" s="194"/>
      <c r="I4" s="188"/>
      <c r="J4" s="188"/>
      <c r="K4" s="188"/>
      <c r="L4" s="188"/>
      <c r="N4" s="188"/>
    </row>
    <row r="5" spans="1:18" ht="13" x14ac:dyDescent="0.3">
      <c r="H5" s="194"/>
      <c r="I5" s="188"/>
      <c r="J5" s="188"/>
      <c r="K5" s="188"/>
      <c r="L5" s="188"/>
      <c r="N5" s="188"/>
    </row>
    <row r="6" spans="1:18" ht="13.5" thickBot="1" x14ac:dyDescent="0.35">
      <c r="B6" s="107" t="s">
        <v>27</v>
      </c>
      <c r="H6" s="194"/>
      <c r="I6" s="188"/>
      <c r="J6" s="188"/>
      <c r="K6" s="188"/>
      <c r="L6" s="188"/>
      <c r="N6" s="188"/>
    </row>
    <row r="7" spans="1:18" ht="13.5" thickBot="1" x14ac:dyDescent="0.35">
      <c r="B7" s="998" t="str">
        <f>+TITELBLAD!C12</f>
        <v>elektriciteit</v>
      </c>
      <c r="C7" s="999"/>
      <c r="D7" s="999"/>
      <c r="E7" s="1000"/>
      <c r="H7" s="194"/>
      <c r="I7" s="188"/>
      <c r="J7" s="188"/>
      <c r="K7" s="188"/>
      <c r="L7" s="188"/>
      <c r="N7" s="188"/>
    </row>
    <row r="8" spans="1:18" ht="13" x14ac:dyDescent="0.3">
      <c r="H8" s="194"/>
      <c r="I8" s="188"/>
      <c r="J8" s="188"/>
      <c r="K8" s="188"/>
      <c r="L8" s="188"/>
      <c r="N8" s="188"/>
    </row>
    <row r="11" spans="1:18" ht="13" x14ac:dyDescent="0.3">
      <c r="G11" s="434" t="s">
        <v>67</v>
      </c>
      <c r="H11" s="383"/>
      <c r="I11" s="382"/>
    </row>
    <row r="12" spans="1:18" ht="13" x14ac:dyDescent="0.3">
      <c r="G12" s="197" t="s">
        <v>344</v>
      </c>
      <c r="H12" s="383"/>
      <c r="I12" s="382"/>
    </row>
    <row r="13" spans="1:18" s="48" customFormat="1" ht="60" customHeight="1" x14ac:dyDescent="0.25">
      <c r="B13" s="1060" t="s">
        <v>238</v>
      </c>
      <c r="C13" s="1061"/>
      <c r="D13" s="1061"/>
      <c r="E13" s="1062"/>
      <c r="F13" s="162"/>
      <c r="G13" s="675">
        <v>2015</v>
      </c>
      <c r="H13" s="675">
        <f>+G13+1</f>
        <v>2016</v>
      </c>
      <c r="I13" s="675">
        <f>+H13+1</f>
        <v>2017</v>
      </c>
      <c r="J13" s="675">
        <f>+I13+1</f>
        <v>2018</v>
      </c>
      <c r="K13" s="675">
        <f>+J13+1</f>
        <v>2019</v>
      </c>
      <c r="L13" s="675">
        <f>+K13+1</f>
        <v>2020</v>
      </c>
      <c r="M13" s="483"/>
      <c r="N13" s="675" t="s">
        <v>31</v>
      </c>
    </row>
    <row r="14" spans="1:18" s="130" customFormat="1" ht="12" customHeight="1" x14ac:dyDescent="0.25">
      <c r="B14" s="384"/>
      <c r="C14" s="384"/>
      <c r="D14" s="384"/>
      <c r="E14" s="384"/>
      <c r="F14" s="385"/>
      <c r="G14" s="386"/>
      <c r="H14" s="387"/>
      <c r="I14" s="387"/>
      <c r="M14" s="846"/>
    </row>
    <row r="15" spans="1:18" s="685" customFormat="1" ht="28.5" customHeight="1" x14ac:dyDescent="0.25">
      <c r="B15" s="1081" t="s">
        <v>131</v>
      </c>
      <c r="C15" s="1081"/>
      <c r="D15" s="1081"/>
      <c r="E15" s="1081"/>
      <c r="F15" s="688"/>
      <c r="G15" s="689">
        <v>0</v>
      </c>
      <c r="H15" s="689">
        <v>0</v>
      </c>
      <c r="I15" s="689">
        <v>0</v>
      </c>
      <c r="J15" s="689">
        <v>0</v>
      </c>
      <c r="K15" s="689">
        <v>0</v>
      </c>
      <c r="L15" s="689">
        <v>0</v>
      </c>
      <c r="M15" s="847"/>
      <c r="N15" s="842">
        <f>SUM(G15:L15)</f>
        <v>0</v>
      </c>
    </row>
    <row r="16" spans="1:18" s="685" customFormat="1" ht="26.25" customHeight="1" x14ac:dyDescent="0.25">
      <c r="B16" s="1081" t="s">
        <v>132</v>
      </c>
      <c r="C16" s="1081"/>
      <c r="D16" s="1081"/>
      <c r="E16" s="1081"/>
      <c r="F16" s="688"/>
      <c r="G16" s="689">
        <v>0</v>
      </c>
      <c r="H16" s="689">
        <v>0</v>
      </c>
      <c r="I16" s="689">
        <v>0</v>
      </c>
      <c r="J16" s="689">
        <v>0</v>
      </c>
      <c r="K16" s="689">
        <v>0</v>
      </c>
      <c r="L16" s="689">
        <v>0</v>
      </c>
      <c r="M16" s="847"/>
      <c r="N16" s="842">
        <f t="shared" ref="N16:N22" si="0">SUM(G16:L16)</f>
        <v>0</v>
      </c>
    </row>
    <row r="17" spans="2:14" s="685" customFormat="1" ht="27.75" customHeight="1" x14ac:dyDescent="0.25">
      <c r="B17" s="1081" t="s">
        <v>138</v>
      </c>
      <c r="C17" s="1081"/>
      <c r="D17" s="1081"/>
      <c r="E17" s="1081"/>
      <c r="F17" s="688"/>
      <c r="G17" s="689">
        <v>0</v>
      </c>
      <c r="H17" s="689">
        <v>0</v>
      </c>
      <c r="I17" s="689">
        <v>0</v>
      </c>
      <c r="J17" s="689">
        <v>0</v>
      </c>
      <c r="K17" s="689">
        <v>0</v>
      </c>
      <c r="L17" s="689">
        <v>0</v>
      </c>
      <c r="M17" s="847"/>
      <c r="N17" s="842">
        <f t="shared" si="0"/>
        <v>0</v>
      </c>
    </row>
    <row r="18" spans="2:14" s="685" customFormat="1" ht="24.75" customHeight="1" x14ac:dyDescent="0.25">
      <c r="B18" s="1081" t="s">
        <v>133</v>
      </c>
      <c r="C18" s="1081"/>
      <c r="D18" s="1081"/>
      <c r="E18" s="1081"/>
      <c r="F18" s="688"/>
      <c r="G18" s="689">
        <v>0</v>
      </c>
      <c r="H18" s="689">
        <v>0</v>
      </c>
      <c r="I18" s="689">
        <v>0</v>
      </c>
      <c r="J18" s="689">
        <v>0</v>
      </c>
      <c r="K18" s="689">
        <v>0</v>
      </c>
      <c r="L18" s="689">
        <v>0</v>
      </c>
      <c r="M18" s="847"/>
      <c r="N18" s="842">
        <f t="shared" si="0"/>
        <v>0</v>
      </c>
    </row>
    <row r="19" spans="2:14" s="685" customFormat="1" ht="27" customHeight="1" x14ac:dyDescent="0.25">
      <c r="B19" s="1081" t="s">
        <v>239</v>
      </c>
      <c r="C19" s="1081"/>
      <c r="D19" s="1081"/>
      <c r="E19" s="1081"/>
      <c r="F19" s="688"/>
      <c r="G19" s="894">
        <v>0</v>
      </c>
      <c r="H19" s="689">
        <v>0</v>
      </c>
      <c r="I19" s="689">
        <v>0</v>
      </c>
      <c r="J19" s="689">
        <v>0</v>
      </c>
      <c r="K19" s="689">
        <v>0</v>
      </c>
      <c r="L19" s="689">
        <v>0</v>
      </c>
      <c r="M19" s="847"/>
      <c r="N19" s="842">
        <f t="shared" si="0"/>
        <v>0</v>
      </c>
    </row>
    <row r="20" spans="2:14" s="685" customFormat="1" ht="18.75" customHeight="1" x14ac:dyDescent="0.25">
      <c r="B20" s="1081" t="s">
        <v>237</v>
      </c>
      <c r="C20" s="1081"/>
      <c r="D20" s="1081"/>
      <c r="E20" s="1081"/>
      <c r="F20" s="688"/>
      <c r="G20" s="689">
        <v>0</v>
      </c>
      <c r="H20" s="689">
        <v>0</v>
      </c>
      <c r="I20" s="689">
        <v>0</v>
      </c>
      <c r="J20" s="689">
        <v>0</v>
      </c>
      <c r="K20" s="689">
        <v>0</v>
      </c>
      <c r="L20" s="689">
        <v>0</v>
      </c>
      <c r="M20" s="847"/>
      <c r="N20" s="842">
        <f t="shared" si="0"/>
        <v>0</v>
      </c>
    </row>
    <row r="21" spans="2:14" s="685" customFormat="1" ht="32.25" customHeight="1" x14ac:dyDescent="0.25">
      <c r="B21" s="1081" t="s">
        <v>287</v>
      </c>
      <c r="C21" s="1081"/>
      <c r="D21" s="1081"/>
      <c r="E21" s="1081"/>
      <c r="F21" s="688"/>
      <c r="G21" s="689">
        <v>0</v>
      </c>
      <c r="H21" s="689">
        <v>0</v>
      </c>
      <c r="I21" s="689">
        <v>0</v>
      </c>
      <c r="J21" s="689">
        <v>0</v>
      </c>
      <c r="K21" s="689">
        <v>0</v>
      </c>
      <c r="L21" s="689">
        <v>0</v>
      </c>
      <c r="M21" s="847"/>
      <c r="N21" s="842">
        <f t="shared" si="0"/>
        <v>0</v>
      </c>
    </row>
    <row r="22" spans="2:14" s="685" customFormat="1" ht="28.5" customHeight="1" x14ac:dyDescent="0.25">
      <c r="B22" s="1082" t="s">
        <v>134</v>
      </c>
      <c r="C22" s="1083"/>
      <c r="D22" s="1083"/>
      <c r="E22" s="1084"/>
      <c r="F22" s="688"/>
      <c r="G22" s="689">
        <v>0</v>
      </c>
      <c r="H22" s="689">
        <v>0</v>
      </c>
      <c r="I22" s="689">
        <v>0</v>
      </c>
      <c r="J22" s="689">
        <v>0</v>
      </c>
      <c r="K22" s="689">
        <v>0</v>
      </c>
      <c r="L22" s="689">
        <v>0</v>
      </c>
      <c r="M22" s="847"/>
      <c r="N22" s="842">
        <f t="shared" si="0"/>
        <v>0</v>
      </c>
    </row>
    <row r="23" spans="2:14" ht="13" x14ac:dyDescent="0.25">
      <c r="B23" s="48"/>
      <c r="C23" s="48"/>
      <c r="D23" s="48"/>
      <c r="E23" s="48"/>
      <c r="F23" s="48"/>
      <c r="G23" s="678"/>
      <c r="H23" s="678"/>
      <c r="I23" s="678"/>
      <c r="J23" s="678"/>
      <c r="K23" s="678"/>
      <c r="L23" s="678"/>
      <c r="N23" s="843"/>
    </row>
    <row r="24" spans="2:14" s="685" customFormat="1" ht="23.25" customHeight="1" x14ac:dyDescent="0.25">
      <c r="B24" s="1071" t="s">
        <v>33</v>
      </c>
      <c r="C24" s="1072"/>
      <c r="D24" s="1072"/>
      <c r="E24" s="1073"/>
      <c r="F24" s="700"/>
      <c r="G24" s="701">
        <f t="shared" ref="G24:L24" si="1">SUM(G15:G22)</f>
        <v>0</v>
      </c>
      <c r="H24" s="701">
        <f t="shared" si="1"/>
        <v>0</v>
      </c>
      <c r="I24" s="701">
        <f t="shared" si="1"/>
        <v>0</v>
      </c>
      <c r="J24" s="701">
        <f t="shared" si="1"/>
        <v>0</v>
      </c>
      <c r="K24" s="701">
        <f t="shared" si="1"/>
        <v>0</v>
      </c>
      <c r="L24" s="701">
        <f t="shared" si="1"/>
        <v>0</v>
      </c>
      <c r="M24" s="847"/>
      <c r="N24" s="841">
        <f>SUM(G24:L24)</f>
        <v>0</v>
      </c>
    </row>
    <row r="25" spans="2:14" ht="13" x14ac:dyDescent="0.25">
      <c r="B25" s="1066" t="s">
        <v>242</v>
      </c>
      <c r="C25" s="1066"/>
      <c r="D25" s="1066"/>
      <c r="E25" s="1066"/>
      <c r="F25" s="691"/>
      <c r="G25" s="692">
        <f>+G24-T4A!C27</f>
        <v>0</v>
      </c>
      <c r="H25" s="692">
        <f>+H24-T4A!D27</f>
        <v>0</v>
      </c>
      <c r="I25" s="692">
        <f>+I24-T4A!E27</f>
        <v>0</v>
      </c>
      <c r="J25" s="692">
        <f>+J24-T4A!F27</f>
        <v>0</v>
      </c>
      <c r="K25" s="693">
        <f>+K24-T4A!G27</f>
        <v>0</v>
      </c>
      <c r="L25" s="693">
        <f>+L24-T4A!H27</f>
        <v>0</v>
      </c>
      <c r="N25" s="693">
        <f>+N24-T4A!J27</f>
        <v>0</v>
      </c>
    </row>
    <row r="26" spans="2:14" ht="13" x14ac:dyDescent="0.25">
      <c r="B26" s="437"/>
      <c r="C26" s="437"/>
      <c r="D26" s="437"/>
      <c r="E26" s="437"/>
      <c r="F26" s="438"/>
      <c r="G26" s="439"/>
      <c r="H26" s="439"/>
      <c r="I26" s="439"/>
      <c r="J26" s="439"/>
      <c r="K26" s="48"/>
      <c r="L26" s="48"/>
      <c r="N26" s="48"/>
    </row>
    <row r="27" spans="2:14" ht="13" x14ac:dyDescent="0.3">
      <c r="G27" s="435" t="s">
        <v>56</v>
      </c>
      <c r="H27" s="680"/>
    </row>
    <row r="28" spans="2:14" ht="13" x14ac:dyDescent="0.3">
      <c r="G28" s="435" t="s">
        <v>57</v>
      </c>
      <c r="H28" s="680"/>
    </row>
    <row r="29" spans="2:14" s="48" customFormat="1" ht="60" customHeight="1" x14ac:dyDescent="0.25">
      <c r="B29" s="1060" t="s">
        <v>240</v>
      </c>
      <c r="C29" s="1061"/>
      <c r="D29" s="1061"/>
      <c r="E29" s="1062"/>
      <c r="F29" s="162"/>
      <c r="G29" s="675">
        <v>2015</v>
      </c>
      <c r="H29" s="675">
        <f>+G29+1</f>
        <v>2016</v>
      </c>
      <c r="I29" s="675">
        <f>+H29+1</f>
        <v>2017</v>
      </c>
      <c r="J29" s="675">
        <f>+I29+1</f>
        <v>2018</v>
      </c>
      <c r="K29" s="675">
        <f>+J29+1</f>
        <v>2019</v>
      </c>
      <c r="L29" s="675">
        <f>+K29+1</f>
        <v>2020</v>
      </c>
      <c r="M29" s="483"/>
      <c r="N29" s="675" t="s">
        <v>31</v>
      </c>
    </row>
    <row r="30" spans="2:14" s="130" customFormat="1" ht="12" customHeight="1" x14ac:dyDescent="0.25">
      <c r="B30" s="384"/>
      <c r="C30" s="384"/>
      <c r="D30" s="384"/>
      <c r="E30" s="384"/>
      <c r="F30" s="385"/>
      <c r="G30" s="386"/>
      <c r="H30" s="387"/>
      <c r="I30" s="387"/>
      <c r="M30" s="846"/>
    </row>
    <row r="31" spans="2:14" ht="36" customHeight="1" x14ac:dyDescent="0.25">
      <c r="B31" s="1077" t="s">
        <v>131</v>
      </c>
      <c r="C31" s="1078"/>
      <c r="D31" s="1078"/>
      <c r="E31" s="1079"/>
      <c r="F31" s="162"/>
      <c r="G31" s="686"/>
      <c r="H31" s="686"/>
      <c r="I31" s="686"/>
      <c r="J31" s="686"/>
      <c r="K31" s="686"/>
      <c r="L31" s="686"/>
      <c r="N31" s="686"/>
    </row>
    <row r="32" spans="2:14" ht="28.5" customHeight="1" x14ac:dyDescent="0.25">
      <c r="B32" s="1068" t="str">
        <f>"per 31/12/"&amp;$G$13</f>
        <v>per 31/12/2015</v>
      </c>
      <c r="C32" s="1069"/>
      <c r="D32" s="1069"/>
      <c r="E32" s="1070"/>
      <c r="F32" s="162"/>
      <c r="G32" s="684"/>
      <c r="H32" s="684"/>
      <c r="I32" s="684"/>
      <c r="J32" s="684"/>
      <c r="K32" s="684"/>
      <c r="L32" s="684"/>
      <c r="N32" s="679">
        <f t="shared" ref="N32:N37" si="2">SUM(G32:L32)</f>
        <v>0</v>
      </c>
    </row>
    <row r="33" spans="2:14" ht="28.5" customHeight="1" x14ac:dyDescent="0.25">
      <c r="B33" s="1068" t="str">
        <f>"per 31/12/"&amp;$H$13</f>
        <v>per 31/12/2016</v>
      </c>
      <c r="C33" s="1069"/>
      <c r="D33" s="1069"/>
      <c r="E33" s="1070"/>
      <c r="F33" s="162"/>
      <c r="G33" s="684"/>
      <c r="H33" s="684"/>
      <c r="I33" s="684"/>
      <c r="J33" s="684"/>
      <c r="K33" s="684"/>
      <c r="L33" s="684"/>
      <c r="N33" s="679">
        <f t="shared" si="2"/>
        <v>0</v>
      </c>
    </row>
    <row r="34" spans="2:14" ht="28.5" customHeight="1" x14ac:dyDescent="0.25">
      <c r="B34" s="1068" t="str">
        <f>"per 31/12/"&amp;$I$13</f>
        <v>per 31/12/2017</v>
      </c>
      <c r="C34" s="1069"/>
      <c r="D34" s="1069"/>
      <c r="E34" s="1070"/>
      <c r="F34" s="162"/>
      <c r="G34" s="684">
        <f>J192</f>
        <v>0</v>
      </c>
      <c r="H34" s="684"/>
      <c r="I34" s="684"/>
      <c r="J34" s="684"/>
      <c r="K34" s="684"/>
      <c r="L34" s="684"/>
      <c r="N34" s="679">
        <f t="shared" si="2"/>
        <v>0</v>
      </c>
    </row>
    <row r="35" spans="2:14" ht="28.5" customHeight="1" x14ac:dyDescent="0.25">
      <c r="B35" s="1068" t="str">
        <f>"per 31/12/"&amp;$J$13</f>
        <v>per 31/12/2018</v>
      </c>
      <c r="C35" s="1069"/>
      <c r="D35" s="1069"/>
      <c r="E35" s="1070"/>
      <c r="F35" s="162"/>
      <c r="G35" s="684">
        <f>L197</f>
        <v>0</v>
      </c>
      <c r="H35" s="684">
        <f>L198</f>
        <v>0</v>
      </c>
      <c r="I35" s="684"/>
      <c r="J35" s="684"/>
      <c r="K35" s="684"/>
      <c r="L35" s="684"/>
      <c r="N35" s="679">
        <f t="shared" si="2"/>
        <v>0</v>
      </c>
    </row>
    <row r="36" spans="2:14" ht="28.5" customHeight="1" x14ac:dyDescent="0.25">
      <c r="B36" s="1068" t="str">
        <f>"per 31/12/"&amp;$K$13</f>
        <v>per 31/12/2019</v>
      </c>
      <c r="C36" s="1069"/>
      <c r="D36" s="1069"/>
      <c r="E36" s="1070"/>
      <c r="F36" s="162"/>
      <c r="G36" s="684">
        <f>L204</f>
        <v>0</v>
      </c>
      <c r="H36" s="684">
        <f>L205</f>
        <v>0</v>
      </c>
      <c r="I36" s="684">
        <f>L206</f>
        <v>0</v>
      </c>
      <c r="J36" s="684"/>
      <c r="K36" s="684"/>
      <c r="L36" s="684"/>
      <c r="N36" s="679">
        <f t="shared" si="2"/>
        <v>0</v>
      </c>
    </row>
    <row r="37" spans="2:14" ht="28.5" customHeight="1" x14ac:dyDescent="0.25">
      <c r="B37" s="1068" t="str">
        <f>"per 31/12/"&amp;$L$13</f>
        <v>per 31/12/2020</v>
      </c>
      <c r="C37" s="1069"/>
      <c r="D37" s="1069"/>
      <c r="E37" s="1070"/>
      <c r="F37" s="162"/>
      <c r="G37" s="684">
        <f>L212</f>
        <v>0</v>
      </c>
      <c r="H37" s="684">
        <f>L213</f>
        <v>0</v>
      </c>
      <c r="I37" s="684">
        <f>L214</f>
        <v>0</v>
      </c>
      <c r="J37" s="684">
        <f>L215</f>
        <v>0</v>
      </c>
      <c r="K37" s="684"/>
      <c r="L37" s="684"/>
      <c r="N37" s="679">
        <f t="shared" si="2"/>
        <v>0</v>
      </c>
    </row>
    <row r="38" spans="2:14" ht="27.75" customHeight="1" x14ac:dyDescent="0.25">
      <c r="B38" s="1077" t="s">
        <v>132</v>
      </c>
      <c r="C38" s="1078"/>
      <c r="D38" s="1078"/>
      <c r="E38" s="1079"/>
      <c r="F38" s="162"/>
      <c r="G38" s="686"/>
      <c r="H38" s="686"/>
      <c r="I38" s="686"/>
      <c r="J38" s="686"/>
      <c r="K38" s="686"/>
      <c r="L38" s="686"/>
      <c r="N38" s="686"/>
    </row>
    <row r="39" spans="2:14" ht="28.5" customHeight="1" x14ac:dyDescent="0.25">
      <c r="B39" s="1068" t="str">
        <f>"per 31/12/"&amp;$G$13</f>
        <v>per 31/12/2015</v>
      </c>
      <c r="C39" s="1069"/>
      <c r="D39" s="1069"/>
      <c r="E39" s="1070"/>
      <c r="F39" s="162"/>
      <c r="G39" s="684"/>
      <c r="H39" s="684"/>
      <c r="I39" s="684"/>
      <c r="J39" s="684"/>
      <c r="K39" s="684"/>
      <c r="L39" s="684"/>
      <c r="N39" s="679">
        <f t="shared" ref="N39:N44" si="3">SUM(G39:L39)</f>
        <v>0</v>
      </c>
    </row>
    <row r="40" spans="2:14" ht="28.5" customHeight="1" x14ac:dyDescent="0.25">
      <c r="B40" s="1068" t="str">
        <f>"per 31/12/"&amp;$H$13</f>
        <v>per 31/12/2016</v>
      </c>
      <c r="C40" s="1069"/>
      <c r="D40" s="1069"/>
      <c r="E40" s="1070"/>
      <c r="F40" s="162"/>
      <c r="G40" s="684"/>
      <c r="H40" s="684"/>
      <c r="I40" s="684"/>
      <c r="J40" s="684"/>
      <c r="K40" s="684"/>
      <c r="L40" s="684"/>
      <c r="N40" s="679">
        <f t="shared" si="3"/>
        <v>0</v>
      </c>
    </row>
    <row r="41" spans="2:14" ht="28.5" customHeight="1" x14ac:dyDescent="0.25">
      <c r="B41" s="1068" t="str">
        <f>"per 31/12/"&amp;$I$13</f>
        <v>per 31/12/2017</v>
      </c>
      <c r="C41" s="1069"/>
      <c r="D41" s="1069"/>
      <c r="E41" s="1070"/>
      <c r="F41" s="162"/>
      <c r="G41" s="684">
        <f>J232</f>
        <v>0</v>
      </c>
      <c r="H41" s="684"/>
      <c r="I41" s="684"/>
      <c r="J41" s="684"/>
      <c r="K41" s="684"/>
      <c r="L41" s="684"/>
      <c r="N41" s="679">
        <f t="shared" si="3"/>
        <v>0</v>
      </c>
    </row>
    <row r="42" spans="2:14" ht="28.5" customHeight="1" x14ac:dyDescent="0.25">
      <c r="B42" s="1068" t="str">
        <f>"per 31/12/"&amp;$J$13</f>
        <v>per 31/12/2018</v>
      </c>
      <c r="C42" s="1069"/>
      <c r="D42" s="1069"/>
      <c r="E42" s="1070"/>
      <c r="F42" s="162"/>
      <c r="G42" s="684">
        <f>L237</f>
        <v>0</v>
      </c>
      <c r="H42" s="684">
        <f>L238</f>
        <v>0</v>
      </c>
      <c r="I42" s="684"/>
      <c r="J42" s="684"/>
      <c r="K42" s="684"/>
      <c r="L42" s="684"/>
      <c r="N42" s="679">
        <f t="shared" si="3"/>
        <v>0</v>
      </c>
    </row>
    <row r="43" spans="2:14" ht="28.5" customHeight="1" x14ac:dyDescent="0.25">
      <c r="B43" s="1068" t="str">
        <f>"per 31/12/"&amp;$K$13</f>
        <v>per 31/12/2019</v>
      </c>
      <c r="C43" s="1069"/>
      <c r="D43" s="1069"/>
      <c r="E43" s="1070"/>
      <c r="F43" s="162"/>
      <c r="G43" s="684">
        <f>L244</f>
        <v>0</v>
      </c>
      <c r="H43" s="684">
        <f>L245</f>
        <v>0</v>
      </c>
      <c r="I43" s="684">
        <f>L246</f>
        <v>0</v>
      </c>
      <c r="J43" s="684"/>
      <c r="K43" s="684"/>
      <c r="L43" s="684"/>
      <c r="N43" s="679">
        <f t="shared" si="3"/>
        <v>0</v>
      </c>
    </row>
    <row r="44" spans="2:14" ht="28.5" customHeight="1" x14ac:dyDescent="0.25">
      <c r="B44" s="1068" t="str">
        <f>"per 31/12/"&amp;$L$13</f>
        <v>per 31/12/2020</v>
      </c>
      <c r="C44" s="1069"/>
      <c r="D44" s="1069"/>
      <c r="E44" s="1070"/>
      <c r="F44" s="162"/>
      <c r="G44" s="684">
        <f>L252</f>
        <v>0</v>
      </c>
      <c r="H44" s="684">
        <f>L253</f>
        <v>0</v>
      </c>
      <c r="I44" s="684">
        <f>L254</f>
        <v>0</v>
      </c>
      <c r="J44" s="684">
        <f>L255</f>
        <v>0</v>
      </c>
      <c r="K44" s="684"/>
      <c r="L44" s="684"/>
      <c r="N44" s="679">
        <f t="shared" si="3"/>
        <v>0</v>
      </c>
    </row>
    <row r="45" spans="2:14" ht="30" customHeight="1" x14ac:dyDescent="0.25">
      <c r="B45" s="1077" t="s">
        <v>138</v>
      </c>
      <c r="C45" s="1078"/>
      <c r="D45" s="1078"/>
      <c r="E45" s="1079"/>
      <c r="F45" s="162"/>
      <c r="G45" s="686"/>
      <c r="H45" s="686"/>
      <c r="I45" s="686"/>
      <c r="J45" s="686"/>
      <c r="K45" s="686"/>
      <c r="L45" s="686"/>
      <c r="N45" s="686"/>
    </row>
    <row r="46" spans="2:14" ht="28.5" customHeight="1" x14ac:dyDescent="0.25">
      <c r="B46" s="1068" t="str">
        <f>"per 31/12/"&amp;$G$13</f>
        <v>per 31/12/2015</v>
      </c>
      <c r="C46" s="1069"/>
      <c r="D46" s="1069"/>
      <c r="E46" s="1070"/>
      <c r="F46" s="162"/>
      <c r="G46" s="684"/>
      <c r="H46" s="684"/>
      <c r="I46" s="684"/>
      <c r="J46" s="684"/>
      <c r="K46" s="684"/>
      <c r="L46" s="684"/>
      <c r="N46" s="679">
        <f t="shared" ref="N46:N51" si="4">SUM(G46:L46)</f>
        <v>0</v>
      </c>
    </row>
    <row r="47" spans="2:14" ht="28.5" customHeight="1" x14ac:dyDescent="0.25">
      <c r="B47" s="1068" t="str">
        <f>"per 31/12/"&amp;$H$13</f>
        <v>per 31/12/2016</v>
      </c>
      <c r="C47" s="1069"/>
      <c r="D47" s="1069"/>
      <c r="E47" s="1070"/>
      <c r="F47" s="162"/>
      <c r="G47" s="684"/>
      <c r="H47" s="684"/>
      <c r="I47" s="684"/>
      <c r="J47" s="684"/>
      <c r="K47" s="684"/>
      <c r="L47" s="684"/>
      <c r="N47" s="679">
        <f t="shared" si="4"/>
        <v>0</v>
      </c>
    </row>
    <row r="48" spans="2:14" ht="28.5" customHeight="1" x14ac:dyDescent="0.25">
      <c r="B48" s="1068" t="str">
        <f>"per 31/12/"&amp;$I$13</f>
        <v>per 31/12/2017</v>
      </c>
      <c r="C48" s="1069"/>
      <c r="D48" s="1069"/>
      <c r="E48" s="1070"/>
      <c r="F48" s="162"/>
      <c r="G48" s="684">
        <f>J272</f>
        <v>0</v>
      </c>
      <c r="H48" s="684"/>
      <c r="I48" s="684"/>
      <c r="J48" s="684"/>
      <c r="K48" s="684"/>
      <c r="L48" s="684"/>
      <c r="N48" s="679">
        <f t="shared" si="4"/>
        <v>0</v>
      </c>
    </row>
    <row r="49" spans="2:14" ht="28.5" customHeight="1" x14ac:dyDescent="0.25">
      <c r="B49" s="1068" t="str">
        <f>"per 31/12/"&amp;$J$13</f>
        <v>per 31/12/2018</v>
      </c>
      <c r="C49" s="1069"/>
      <c r="D49" s="1069"/>
      <c r="E49" s="1070"/>
      <c r="F49" s="162"/>
      <c r="G49" s="684">
        <f>L277</f>
        <v>0</v>
      </c>
      <c r="H49" s="909">
        <f>L278</f>
        <v>0</v>
      </c>
      <c r="I49" s="684"/>
      <c r="J49" s="684"/>
      <c r="K49" s="684"/>
      <c r="L49" s="684"/>
      <c r="N49" s="679">
        <f t="shared" si="4"/>
        <v>0</v>
      </c>
    </row>
    <row r="50" spans="2:14" ht="28.5" customHeight="1" x14ac:dyDescent="0.25">
      <c r="B50" s="1068" t="str">
        <f>"per 31/12/"&amp;$K$13</f>
        <v>per 31/12/2019</v>
      </c>
      <c r="C50" s="1069"/>
      <c r="D50" s="1069"/>
      <c r="E50" s="1070"/>
      <c r="F50" s="162"/>
      <c r="G50" s="684">
        <f>L284</f>
        <v>0</v>
      </c>
      <c r="H50" s="684">
        <f>L285</f>
        <v>0</v>
      </c>
      <c r="I50" s="684">
        <f>L286</f>
        <v>0</v>
      </c>
      <c r="J50" s="684"/>
      <c r="K50" s="684"/>
      <c r="L50" s="684"/>
      <c r="N50" s="679">
        <f t="shared" si="4"/>
        <v>0</v>
      </c>
    </row>
    <row r="51" spans="2:14" ht="28.5" customHeight="1" x14ac:dyDescent="0.25">
      <c r="B51" s="1068" t="str">
        <f>"per 31/12/"&amp;$L$13</f>
        <v>per 31/12/2020</v>
      </c>
      <c r="C51" s="1069"/>
      <c r="D51" s="1069"/>
      <c r="E51" s="1070"/>
      <c r="F51" s="162"/>
      <c r="G51" s="684">
        <f>L292</f>
        <v>0</v>
      </c>
      <c r="H51" s="684">
        <f>L293</f>
        <v>0</v>
      </c>
      <c r="I51" s="684">
        <f>L294</f>
        <v>0</v>
      </c>
      <c r="J51" s="684">
        <f>L295</f>
        <v>0</v>
      </c>
      <c r="K51" s="684"/>
      <c r="L51" s="684"/>
      <c r="N51" s="679">
        <f t="shared" si="4"/>
        <v>0</v>
      </c>
    </row>
    <row r="52" spans="2:14" ht="30" customHeight="1" x14ac:dyDescent="0.25">
      <c r="B52" s="1077" t="s">
        <v>133</v>
      </c>
      <c r="C52" s="1078"/>
      <c r="D52" s="1078"/>
      <c r="E52" s="1079"/>
      <c r="F52" s="162"/>
      <c r="G52" s="686"/>
      <c r="H52" s="686"/>
      <c r="I52" s="686"/>
      <c r="J52" s="686"/>
      <c r="K52" s="686"/>
      <c r="L52" s="686"/>
      <c r="N52" s="686"/>
    </row>
    <row r="53" spans="2:14" ht="28.5" customHeight="1" x14ac:dyDescent="0.25">
      <c r="B53" s="1068" t="str">
        <f>"per 31/12/"&amp;$G$13</f>
        <v>per 31/12/2015</v>
      </c>
      <c r="C53" s="1069"/>
      <c r="D53" s="1069"/>
      <c r="E53" s="1070"/>
      <c r="F53" s="162"/>
      <c r="G53" s="684"/>
      <c r="H53" s="684"/>
      <c r="I53" s="684"/>
      <c r="J53" s="684"/>
      <c r="K53" s="684"/>
      <c r="L53" s="684"/>
      <c r="N53" s="679">
        <f t="shared" ref="N53:N58" si="5">SUM(G53:L53)</f>
        <v>0</v>
      </c>
    </row>
    <row r="54" spans="2:14" ht="28.5" customHeight="1" x14ac:dyDescent="0.25">
      <c r="B54" s="1068" t="str">
        <f>"per 31/12/"&amp;$H$13</f>
        <v>per 31/12/2016</v>
      </c>
      <c r="C54" s="1069"/>
      <c r="D54" s="1069"/>
      <c r="E54" s="1070"/>
      <c r="F54" s="162"/>
      <c r="G54" s="684"/>
      <c r="H54" s="684"/>
      <c r="I54" s="684"/>
      <c r="J54" s="684"/>
      <c r="K54" s="684"/>
      <c r="L54" s="684"/>
      <c r="N54" s="679">
        <f t="shared" si="5"/>
        <v>0</v>
      </c>
    </row>
    <row r="55" spans="2:14" ht="28.5" customHeight="1" x14ac:dyDescent="0.25">
      <c r="B55" s="1068" t="str">
        <f>"per 31/12/"&amp;$I$13</f>
        <v>per 31/12/2017</v>
      </c>
      <c r="C55" s="1069"/>
      <c r="D55" s="1069"/>
      <c r="E55" s="1070"/>
      <c r="F55" s="162"/>
      <c r="G55" s="684">
        <f>J312</f>
        <v>0</v>
      </c>
      <c r="H55" s="684"/>
      <c r="I55" s="684"/>
      <c r="J55" s="684"/>
      <c r="K55" s="684"/>
      <c r="L55" s="684"/>
      <c r="N55" s="679">
        <f t="shared" si="5"/>
        <v>0</v>
      </c>
    </row>
    <row r="56" spans="2:14" ht="28.5" customHeight="1" x14ac:dyDescent="0.25">
      <c r="B56" s="1068" t="str">
        <f>"per 31/12/"&amp;$J$13</f>
        <v>per 31/12/2018</v>
      </c>
      <c r="C56" s="1069"/>
      <c r="D56" s="1069"/>
      <c r="E56" s="1070"/>
      <c r="F56" s="162"/>
      <c r="G56" s="684">
        <f>L317</f>
        <v>0</v>
      </c>
      <c r="H56" s="684">
        <f>L318</f>
        <v>0</v>
      </c>
      <c r="I56" s="684"/>
      <c r="J56" s="684"/>
      <c r="K56" s="684"/>
      <c r="L56" s="684"/>
      <c r="N56" s="679">
        <f t="shared" si="5"/>
        <v>0</v>
      </c>
    </row>
    <row r="57" spans="2:14" ht="28.5" customHeight="1" x14ac:dyDescent="0.25">
      <c r="B57" s="1068" t="str">
        <f>"per 31/12/"&amp;$K$13</f>
        <v>per 31/12/2019</v>
      </c>
      <c r="C57" s="1069"/>
      <c r="D57" s="1069"/>
      <c r="E57" s="1070"/>
      <c r="F57" s="162"/>
      <c r="G57" s="684">
        <f>L324</f>
        <v>0</v>
      </c>
      <c r="H57" s="684">
        <f>L325</f>
        <v>0</v>
      </c>
      <c r="I57" s="684">
        <f>L326</f>
        <v>0</v>
      </c>
      <c r="J57" s="684"/>
      <c r="K57" s="684"/>
      <c r="L57" s="684"/>
      <c r="N57" s="679">
        <f t="shared" si="5"/>
        <v>0</v>
      </c>
    </row>
    <row r="58" spans="2:14" ht="28.5" customHeight="1" x14ac:dyDescent="0.25">
      <c r="B58" s="1068" t="str">
        <f>"per 31/12/"&amp;$L$13</f>
        <v>per 31/12/2020</v>
      </c>
      <c r="C58" s="1069"/>
      <c r="D58" s="1069"/>
      <c r="E58" s="1070"/>
      <c r="F58" s="162"/>
      <c r="G58" s="684">
        <f>L332</f>
        <v>0</v>
      </c>
      <c r="H58" s="684">
        <f>L333</f>
        <v>0</v>
      </c>
      <c r="I58" s="684">
        <f>L334</f>
        <v>0</v>
      </c>
      <c r="J58" s="684">
        <f>L335</f>
        <v>0</v>
      </c>
      <c r="K58" s="684"/>
      <c r="L58" s="684"/>
      <c r="N58" s="679">
        <f t="shared" si="5"/>
        <v>0</v>
      </c>
    </row>
    <row r="59" spans="2:14" s="685" customFormat="1" ht="33.75" customHeight="1" x14ac:dyDescent="0.25">
      <c r="B59" s="1085" t="s">
        <v>239</v>
      </c>
      <c r="C59" s="1085"/>
      <c r="D59" s="1085"/>
      <c r="E59" s="1085"/>
      <c r="F59" s="688"/>
      <c r="G59" s="686"/>
      <c r="H59" s="686"/>
      <c r="I59" s="686"/>
      <c r="J59" s="686"/>
      <c r="K59" s="686"/>
      <c r="L59" s="686"/>
      <c r="M59" s="847"/>
      <c r="N59" s="686"/>
    </row>
    <row r="60" spans="2:14" ht="28.5" customHeight="1" x14ac:dyDescent="0.25">
      <c r="B60" s="1068" t="str">
        <f>"per 31/12/"&amp;$G$13</f>
        <v>per 31/12/2015</v>
      </c>
      <c r="C60" s="1069"/>
      <c r="D60" s="1069"/>
      <c r="E60" s="1070"/>
      <c r="F60" s="162"/>
      <c r="G60" s="684"/>
      <c r="H60" s="684"/>
      <c r="I60" s="684"/>
      <c r="J60" s="684"/>
      <c r="K60" s="684"/>
      <c r="L60" s="684"/>
      <c r="N60" s="679">
        <f t="shared" ref="N60:N65" si="6">SUM(G60:L60)</f>
        <v>0</v>
      </c>
    </row>
    <row r="61" spans="2:14" ht="28.5" customHeight="1" x14ac:dyDescent="0.25">
      <c r="B61" s="1068" t="str">
        <f>"per 31/12/"&amp;$H$13</f>
        <v>per 31/12/2016</v>
      </c>
      <c r="C61" s="1069"/>
      <c r="D61" s="1069"/>
      <c r="E61" s="1070"/>
      <c r="F61" s="162"/>
      <c r="G61" s="684"/>
      <c r="H61" s="684"/>
      <c r="I61" s="684"/>
      <c r="J61" s="684"/>
      <c r="K61" s="684"/>
      <c r="L61" s="684"/>
      <c r="N61" s="679">
        <f t="shared" si="6"/>
        <v>0</v>
      </c>
    </row>
    <row r="62" spans="2:14" ht="28.5" customHeight="1" x14ac:dyDescent="0.25">
      <c r="B62" s="1068" t="str">
        <f>"per 31/12/"&amp;$I$13</f>
        <v>per 31/12/2017</v>
      </c>
      <c r="C62" s="1069"/>
      <c r="D62" s="1069"/>
      <c r="E62" s="1070"/>
      <c r="F62" s="162"/>
      <c r="G62" s="684">
        <f>J352</f>
        <v>0</v>
      </c>
      <c r="H62" s="684"/>
      <c r="I62" s="684"/>
      <c r="J62" s="684"/>
      <c r="K62" s="684"/>
      <c r="L62" s="684"/>
      <c r="N62" s="679">
        <f t="shared" si="6"/>
        <v>0</v>
      </c>
    </row>
    <row r="63" spans="2:14" ht="28.5" customHeight="1" x14ac:dyDescent="0.25">
      <c r="B63" s="1068" t="str">
        <f>"per 31/12/"&amp;$J$13</f>
        <v>per 31/12/2018</v>
      </c>
      <c r="C63" s="1069"/>
      <c r="D63" s="1069"/>
      <c r="E63" s="1070"/>
      <c r="F63" s="162"/>
      <c r="G63" s="684">
        <f>L357</f>
        <v>0</v>
      </c>
      <c r="H63" s="684">
        <f>L358</f>
        <v>0</v>
      </c>
      <c r="I63" s="684"/>
      <c r="J63" s="684"/>
      <c r="K63" s="684"/>
      <c r="L63" s="684"/>
      <c r="N63" s="679">
        <f t="shared" si="6"/>
        <v>0</v>
      </c>
    </row>
    <row r="64" spans="2:14" ht="28.5" customHeight="1" x14ac:dyDescent="0.25">
      <c r="B64" s="1068" t="str">
        <f>"per 31/12/"&amp;$K$13</f>
        <v>per 31/12/2019</v>
      </c>
      <c r="C64" s="1069"/>
      <c r="D64" s="1069"/>
      <c r="E64" s="1070"/>
      <c r="F64" s="162"/>
      <c r="G64" s="684">
        <f>L364</f>
        <v>0</v>
      </c>
      <c r="H64" s="684">
        <f>L365</f>
        <v>0</v>
      </c>
      <c r="I64" s="684">
        <f>L366</f>
        <v>0</v>
      </c>
      <c r="J64" s="684"/>
      <c r="K64" s="684"/>
      <c r="L64" s="684"/>
      <c r="N64" s="679">
        <f t="shared" si="6"/>
        <v>0</v>
      </c>
    </row>
    <row r="65" spans="2:14" ht="28.5" customHeight="1" x14ac:dyDescent="0.25">
      <c r="B65" s="1068" t="str">
        <f>"per 31/12/"&amp;$L$13</f>
        <v>per 31/12/2020</v>
      </c>
      <c r="C65" s="1069"/>
      <c r="D65" s="1069"/>
      <c r="E65" s="1070"/>
      <c r="F65" s="162"/>
      <c r="G65" s="684">
        <f>L372</f>
        <v>0</v>
      </c>
      <c r="H65" s="684">
        <f>L373</f>
        <v>0</v>
      </c>
      <c r="I65" s="684">
        <f>L374</f>
        <v>0</v>
      </c>
      <c r="J65" s="684">
        <f>L375</f>
        <v>0</v>
      </c>
      <c r="K65" s="684"/>
      <c r="L65" s="684"/>
      <c r="N65" s="679">
        <f t="shared" si="6"/>
        <v>0</v>
      </c>
    </row>
    <row r="66" spans="2:14" ht="26.25" customHeight="1" x14ac:dyDescent="0.25">
      <c r="B66" s="1077" t="s">
        <v>237</v>
      </c>
      <c r="C66" s="1078"/>
      <c r="D66" s="1078"/>
      <c r="E66" s="1079"/>
      <c r="F66" s="162"/>
      <c r="G66" s="686"/>
      <c r="H66" s="686"/>
      <c r="I66" s="686"/>
      <c r="J66" s="686"/>
      <c r="K66" s="686"/>
      <c r="L66" s="686"/>
      <c r="N66" s="686"/>
    </row>
    <row r="67" spans="2:14" ht="28.5" customHeight="1" x14ac:dyDescent="0.25">
      <c r="B67" s="1068" t="str">
        <f>"per 31/12/"&amp;$G$13</f>
        <v>per 31/12/2015</v>
      </c>
      <c r="C67" s="1069"/>
      <c r="D67" s="1069"/>
      <c r="E67" s="1070"/>
      <c r="F67" s="162"/>
      <c r="G67" s="684"/>
      <c r="H67" s="684"/>
      <c r="I67" s="684"/>
      <c r="J67" s="684"/>
      <c r="K67" s="684"/>
      <c r="L67" s="684"/>
      <c r="N67" s="679">
        <f t="shared" ref="N67:N72" si="7">SUM(G67:L67)</f>
        <v>0</v>
      </c>
    </row>
    <row r="68" spans="2:14" ht="28.5" customHeight="1" x14ac:dyDescent="0.25">
      <c r="B68" s="1068" t="str">
        <f>"per 31/12/"&amp;$H$13</f>
        <v>per 31/12/2016</v>
      </c>
      <c r="C68" s="1069"/>
      <c r="D68" s="1069"/>
      <c r="E68" s="1070"/>
      <c r="F68" s="162"/>
      <c r="G68" s="684"/>
      <c r="H68" s="684"/>
      <c r="I68" s="684"/>
      <c r="J68" s="684"/>
      <c r="K68" s="684"/>
      <c r="L68" s="684"/>
      <c r="N68" s="679">
        <f t="shared" si="7"/>
        <v>0</v>
      </c>
    </row>
    <row r="69" spans="2:14" ht="28.5" customHeight="1" x14ac:dyDescent="0.25">
      <c r="B69" s="1068" t="str">
        <f>"per 31/12/"&amp;$I$13</f>
        <v>per 31/12/2017</v>
      </c>
      <c r="C69" s="1069"/>
      <c r="D69" s="1069"/>
      <c r="E69" s="1070"/>
      <c r="F69" s="162"/>
      <c r="G69" s="684">
        <f>J392</f>
        <v>0</v>
      </c>
      <c r="H69" s="684"/>
      <c r="I69" s="684"/>
      <c r="J69" s="684"/>
      <c r="K69" s="684"/>
      <c r="L69" s="684"/>
      <c r="N69" s="679">
        <f t="shared" si="7"/>
        <v>0</v>
      </c>
    </row>
    <row r="70" spans="2:14" ht="28.5" customHeight="1" x14ac:dyDescent="0.25">
      <c r="B70" s="1068" t="str">
        <f>"per 31/12/"&amp;$J$13</f>
        <v>per 31/12/2018</v>
      </c>
      <c r="C70" s="1069"/>
      <c r="D70" s="1069"/>
      <c r="E70" s="1070"/>
      <c r="F70" s="162"/>
      <c r="G70" s="684">
        <f>L397</f>
        <v>0</v>
      </c>
      <c r="H70" s="684">
        <f>L398</f>
        <v>0</v>
      </c>
      <c r="I70" s="684"/>
      <c r="J70" s="684"/>
      <c r="K70" s="684"/>
      <c r="L70" s="684"/>
      <c r="N70" s="679">
        <f t="shared" si="7"/>
        <v>0</v>
      </c>
    </row>
    <row r="71" spans="2:14" ht="28.5" customHeight="1" x14ac:dyDescent="0.25">
      <c r="B71" s="1068" t="str">
        <f>"per 31/12/"&amp;$K$13</f>
        <v>per 31/12/2019</v>
      </c>
      <c r="C71" s="1069"/>
      <c r="D71" s="1069"/>
      <c r="E71" s="1070"/>
      <c r="F71" s="162"/>
      <c r="G71" s="684">
        <f>L404</f>
        <v>0</v>
      </c>
      <c r="H71" s="684">
        <f>L405</f>
        <v>0</v>
      </c>
      <c r="I71" s="684">
        <f>L406</f>
        <v>0</v>
      </c>
      <c r="J71" s="684"/>
      <c r="K71" s="684"/>
      <c r="L71" s="684"/>
      <c r="N71" s="679">
        <f t="shared" si="7"/>
        <v>0</v>
      </c>
    </row>
    <row r="72" spans="2:14" ht="28.5" customHeight="1" x14ac:dyDescent="0.25">
      <c r="B72" s="1068" t="str">
        <f>"per 31/12/"&amp;$L$13</f>
        <v>per 31/12/2020</v>
      </c>
      <c r="C72" s="1069"/>
      <c r="D72" s="1069"/>
      <c r="E72" s="1070"/>
      <c r="F72" s="162"/>
      <c r="G72" s="684">
        <f>L412</f>
        <v>0</v>
      </c>
      <c r="H72" s="684">
        <f>L413</f>
        <v>0</v>
      </c>
      <c r="I72" s="684">
        <f>L414</f>
        <v>0</v>
      </c>
      <c r="J72" s="684">
        <f>L415</f>
        <v>0</v>
      </c>
      <c r="K72" s="684"/>
      <c r="L72" s="684"/>
      <c r="N72" s="679">
        <f t="shared" si="7"/>
        <v>0</v>
      </c>
    </row>
    <row r="73" spans="2:14" ht="30" customHeight="1" x14ac:dyDescent="0.25">
      <c r="B73" s="1077" t="s">
        <v>287</v>
      </c>
      <c r="C73" s="1078"/>
      <c r="D73" s="1078"/>
      <c r="E73" s="1079"/>
      <c r="F73" s="162"/>
      <c r="G73" s="686"/>
      <c r="H73" s="686"/>
      <c r="I73" s="686"/>
      <c r="J73" s="686"/>
      <c r="K73" s="686"/>
      <c r="L73" s="686"/>
      <c r="N73" s="686"/>
    </row>
    <row r="74" spans="2:14" ht="28.5" customHeight="1" x14ac:dyDescent="0.25">
      <c r="B74" s="1068" t="str">
        <f>"per 31/12/"&amp;$G$13</f>
        <v>per 31/12/2015</v>
      </c>
      <c r="C74" s="1069"/>
      <c r="D74" s="1069"/>
      <c r="E74" s="1070"/>
      <c r="F74" s="162"/>
      <c r="G74" s="684"/>
      <c r="H74" s="684"/>
      <c r="I74" s="684"/>
      <c r="J74" s="684"/>
      <c r="K74" s="684"/>
      <c r="L74" s="684"/>
      <c r="N74" s="679">
        <f t="shared" ref="N74:N79" si="8">SUM(G74:L74)</f>
        <v>0</v>
      </c>
    </row>
    <row r="75" spans="2:14" ht="28.5" customHeight="1" x14ac:dyDescent="0.25">
      <c r="B75" s="1068" t="str">
        <f>"per 31/12/"&amp;$H$13</f>
        <v>per 31/12/2016</v>
      </c>
      <c r="C75" s="1069"/>
      <c r="D75" s="1069"/>
      <c r="E75" s="1070"/>
      <c r="F75" s="162"/>
      <c r="G75" s="684"/>
      <c r="H75" s="684"/>
      <c r="I75" s="684"/>
      <c r="J75" s="684"/>
      <c r="K75" s="684"/>
      <c r="L75" s="684"/>
      <c r="N75" s="679">
        <f t="shared" si="8"/>
        <v>0</v>
      </c>
    </row>
    <row r="76" spans="2:14" ht="28.5" customHeight="1" x14ac:dyDescent="0.25">
      <c r="B76" s="1068" t="str">
        <f>"per 31/12/"&amp;$I$13</f>
        <v>per 31/12/2017</v>
      </c>
      <c r="C76" s="1069"/>
      <c r="D76" s="1069"/>
      <c r="E76" s="1070"/>
      <c r="F76" s="162"/>
      <c r="G76" s="684">
        <f>J432</f>
        <v>0</v>
      </c>
      <c r="H76" s="684"/>
      <c r="I76" s="684"/>
      <c r="J76" s="684"/>
      <c r="K76" s="684"/>
      <c r="L76" s="684"/>
      <c r="N76" s="679">
        <f t="shared" si="8"/>
        <v>0</v>
      </c>
    </row>
    <row r="77" spans="2:14" ht="28.5" customHeight="1" x14ac:dyDescent="0.25">
      <c r="B77" s="1068" t="str">
        <f>"per 31/12/"&amp;$J$13</f>
        <v>per 31/12/2018</v>
      </c>
      <c r="C77" s="1069"/>
      <c r="D77" s="1069"/>
      <c r="E77" s="1070"/>
      <c r="F77" s="162"/>
      <c r="G77" s="684">
        <f>L437</f>
        <v>0</v>
      </c>
      <c r="H77" s="684">
        <f>L438</f>
        <v>0</v>
      </c>
      <c r="I77" s="684"/>
      <c r="J77" s="684"/>
      <c r="K77" s="684"/>
      <c r="L77" s="684"/>
      <c r="N77" s="679">
        <f t="shared" si="8"/>
        <v>0</v>
      </c>
    </row>
    <row r="78" spans="2:14" ht="28.5" customHeight="1" x14ac:dyDescent="0.25">
      <c r="B78" s="1068" t="str">
        <f>"per 31/12/"&amp;$K$13</f>
        <v>per 31/12/2019</v>
      </c>
      <c r="C78" s="1069"/>
      <c r="D78" s="1069"/>
      <c r="E78" s="1070"/>
      <c r="F78" s="162"/>
      <c r="G78" s="684">
        <f>L444</f>
        <v>0</v>
      </c>
      <c r="H78" s="684">
        <f>L445</f>
        <v>0</v>
      </c>
      <c r="I78" s="684">
        <f>L446</f>
        <v>0</v>
      </c>
      <c r="J78" s="684"/>
      <c r="K78" s="684"/>
      <c r="L78" s="684"/>
      <c r="N78" s="679">
        <f t="shared" si="8"/>
        <v>0</v>
      </c>
    </row>
    <row r="79" spans="2:14" ht="28.5" customHeight="1" x14ac:dyDescent="0.25">
      <c r="B79" s="1068" t="str">
        <f>"per 31/12/"&amp;$L$13</f>
        <v>per 31/12/2020</v>
      </c>
      <c r="C79" s="1069"/>
      <c r="D79" s="1069"/>
      <c r="E79" s="1070"/>
      <c r="F79" s="162"/>
      <c r="G79" s="684">
        <f>L452</f>
        <v>0</v>
      </c>
      <c r="H79" s="684">
        <f>L453</f>
        <v>0</v>
      </c>
      <c r="I79" s="684">
        <f>L454</f>
        <v>0</v>
      </c>
      <c r="J79" s="684">
        <f>L455</f>
        <v>0</v>
      </c>
      <c r="K79" s="684"/>
      <c r="L79" s="684"/>
      <c r="N79" s="679">
        <f t="shared" si="8"/>
        <v>0</v>
      </c>
    </row>
    <row r="80" spans="2:14" ht="33" customHeight="1" x14ac:dyDescent="0.25">
      <c r="B80" s="1074" t="s">
        <v>134</v>
      </c>
      <c r="C80" s="1075"/>
      <c r="D80" s="1075"/>
      <c r="E80" s="1076"/>
      <c r="F80" s="162"/>
      <c r="G80" s="686"/>
      <c r="H80" s="686"/>
      <c r="I80" s="686"/>
      <c r="J80" s="686"/>
      <c r="K80" s="686"/>
      <c r="L80" s="686"/>
      <c r="N80" s="686"/>
    </row>
    <row r="81" spans="1:14" ht="28.5" customHeight="1" x14ac:dyDescent="0.25">
      <c r="B81" s="1068" t="str">
        <f>"per 31/12/"&amp;$G$13</f>
        <v>per 31/12/2015</v>
      </c>
      <c r="C81" s="1069"/>
      <c r="D81" s="1069"/>
      <c r="E81" s="1070"/>
      <c r="F81" s="162"/>
      <c r="G81" s="684"/>
      <c r="H81" s="684"/>
      <c r="I81" s="684"/>
      <c r="J81" s="684"/>
      <c r="K81" s="684"/>
      <c r="L81" s="684"/>
      <c r="N81" s="679">
        <f t="shared" ref="N81:N86" si="9">SUM(G81:L81)</f>
        <v>0</v>
      </c>
    </row>
    <row r="82" spans="1:14" ht="28.5" customHeight="1" x14ac:dyDescent="0.25">
      <c r="B82" s="1068" t="str">
        <f>"per 31/12/"&amp;$H$13</f>
        <v>per 31/12/2016</v>
      </c>
      <c r="C82" s="1069"/>
      <c r="D82" s="1069"/>
      <c r="E82" s="1070"/>
      <c r="F82" s="162"/>
      <c r="G82" s="684"/>
      <c r="H82" s="684"/>
      <c r="I82" s="684"/>
      <c r="J82" s="684"/>
      <c r="K82" s="684"/>
      <c r="L82" s="684"/>
      <c r="N82" s="679">
        <f t="shared" si="9"/>
        <v>0</v>
      </c>
    </row>
    <row r="83" spans="1:14" ht="28.5" customHeight="1" x14ac:dyDescent="0.25">
      <c r="B83" s="1068" t="str">
        <f>"per 31/12/"&amp;$I$13</f>
        <v>per 31/12/2017</v>
      </c>
      <c r="C83" s="1069"/>
      <c r="D83" s="1069"/>
      <c r="E83" s="1070"/>
      <c r="F83" s="162"/>
      <c r="G83" s="684">
        <f>J472</f>
        <v>0</v>
      </c>
      <c r="H83" s="684"/>
      <c r="I83" s="684"/>
      <c r="J83" s="684"/>
      <c r="K83" s="684"/>
      <c r="L83" s="684"/>
      <c r="N83" s="679">
        <f t="shared" si="9"/>
        <v>0</v>
      </c>
    </row>
    <row r="84" spans="1:14" ht="28.5" customHeight="1" x14ac:dyDescent="0.25">
      <c r="B84" s="1068" t="str">
        <f>"per 31/12/"&amp;$J$13</f>
        <v>per 31/12/2018</v>
      </c>
      <c r="C84" s="1069"/>
      <c r="D84" s="1069"/>
      <c r="E84" s="1070"/>
      <c r="F84" s="162"/>
      <c r="G84" s="684">
        <f>L477</f>
        <v>0</v>
      </c>
      <c r="H84" s="684">
        <f>L478</f>
        <v>0</v>
      </c>
      <c r="I84" s="684"/>
      <c r="J84" s="684"/>
      <c r="K84" s="684"/>
      <c r="L84" s="684"/>
      <c r="N84" s="679">
        <f t="shared" si="9"/>
        <v>0</v>
      </c>
    </row>
    <row r="85" spans="1:14" ht="28.5" customHeight="1" x14ac:dyDescent="0.25">
      <c r="B85" s="1068" t="str">
        <f>"per 31/12/"&amp;$K$13</f>
        <v>per 31/12/2019</v>
      </c>
      <c r="C85" s="1069"/>
      <c r="D85" s="1069"/>
      <c r="E85" s="1070"/>
      <c r="F85" s="162"/>
      <c r="G85" s="684">
        <f>L484</f>
        <v>0</v>
      </c>
      <c r="H85" s="684">
        <f>L485</f>
        <v>0</v>
      </c>
      <c r="I85" s="684">
        <f>L486</f>
        <v>0</v>
      </c>
      <c r="J85" s="684"/>
      <c r="K85" s="684"/>
      <c r="L85" s="684"/>
      <c r="N85" s="679">
        <f t="shared" si="9"/>
        <v>0</v>
      </c>
    </row>
    <row r="86" spans="1:14" ht="28.5" customHeight="1" x14ac:dyDescent="0.25">
      <c r="B86" s="1068" t="str">
        <f>"per 31/12/"&amp;$L$13</f>
        <v>per 31/12/2020</v>
      </c>
      <c r="C86" s="1069"/>
      <c r="D86" s="1069"/>
      <c r="E86" s="1070"/>
      <c r="F86" s="162"/>
      <c r="G86" s="684">
        <f>L492</f>
        <v>0</v>
      </c>
      <c r="H86" s="684">
        <f>L493</f>
        <v>0</v>
      </c>
      <c r="I86" s="684">
        <f>L494</f>
        <v>0</v>
      </c>
      <c r="J86" s="684">
        <f>L495</f>
        <v>0</v>
      </c>
      <c r="K86" s="684"/>
      <c r="L86" s="684"/>
      <c r="N86" s="679">
        <f t="shared" si="9"/>
        <v>0</v>
      </c>
    </row>
    <row r="87" spans="1:14" x14ac:dyDescent="0.25">
      <c r="G87" s="680"/>
      <c r="H87" s="680"/>
      <c r="I87" s="680"/>
      <c r="J87" s="680"/>
      <c r="K87" s="680"/>
      <c r="L87" s="680"/>
      <c r="N87" s="680"/>
    </row>
    <row r="88" spans="1:14" s="381" customFormat="1" ht="13" x14ac:dyDescent="0.3">
      <c r="B88" s="1067"/>
      <c r="C88" s="1067"/>
      <c r="D88" s="1067"/>
      <c r="E88" s="1067"/>
      <c r="G88" s="694"/>
      <c r="H88" s="694"/>
      <c r="I88" s="694"/>
      <c r="J88" s="694"/>
      <c r="K88" s="694"/>
      <c r="L88" s="694"/>
      <c r="M88" s="848"/>
      <c r="N88" s="694"/>
    </row>
    <row r="89" spans="1:14" s="381" customFormat="1" ht="13" x14ac:dyDescent="0.3">
      <c r="B89" s="865"/>
      <c r="C89" s="862"/>
      <c r="D89" s="862"/>
      <c r="E89" s="863"/>
      <c r="F89" s="864"/>
      <c r="G89" s="857">
        <v>2015</v>
      </c>
      <c r="H89" s="675">
        <f>+G89+1</f>
        <v>2016</v>
      </c>
      <c r="I89" s="675">
        <f>+H89+1</f>
        <v>2017</v>
      </c>
      <c r="J89" s="675">
        <f>+I89+1</f>
        <v>2018</v>
      </c>
      <c r="K89" s="675">
        <f>+J89+1</f>
        <v>2019</v>
      </c>
      <c r="L89" s="675">
        <f>+K89+1</f>
        <v>2020</v>
      </c>
      <c r="M89" s="483"/>
      <c r="N89" s="675" t="s">
        <v>31</v>
      </c>
    </row>
    <row r="90" spans="1:14" s="612" customFormat="1" ht="26.25" customHeight="1" x14ac:dyDescent="0.25">
      <c r="B90" s="1071" t="s">
        <v>337</v>
      </c>
      <c r="C90" s="1072"/>
      <c r="D90" s="1072"/>
      <c r="E90" s="1073"/>
      <c r="F90" s="699"/>
      <c r="G90" s="696"/>
      <c r="H90" s="696"/>
      <c r="I90" s="696"/>
      <c r="J90" s="696"/>
      <c r="K90" s="696"/>
      <c r="L90" s="696"/>
      <c r="M90" s="849"/>
      <c r="N90" s="696"/>
    </row>
    <row r="91" spans="1:14" ht="28.5" customHeight="1" x14ac:dyDescent="0.25">
      <c r="A91" s="394">
        <v>2015</v>
      </c>
      <c r="B91" s="1063" t="str">
        <f>"per 31/12/"&amp;$G$13</f>
        <v>per 31/12/2015</v>
      </c>
      <c r="C91" s="1064"/>
      <c r="D91" s="1064"/>
      <c r="E91" s="1065"/>
      <c r="F91" s="697"/>
      <c r="G91" s="698"/>
      <c r="H91" s="698"/>
      <c r="I91" s="698"/>
      <c r="J91" s="698"/>
      <c r="K91" s="698"/>
      <c r="L91" s="698"/>
      <c r="N91" s="844">
        <f t="shared" ref="N91:N96" si="10">SUM(N32,N39,N46,N53,N60,N67,N74,N81)</f>
        <v>0</v>
      </c>
    </row>
    <row r="92" spans="1:14" ht="28.5" customHeight="1" x14ac:dyDescent="0.25">
      <c r="A92" s="394">
        <v>2016</v>
      </c>
      <c r="B92" s="1063" t="str">
        <f>"per 31/12/"&amp;$H$13</f>
        <v>per 31/12/2016</v>
      </c>
      <c r="C92" s="1064"/>
      <c r="D92" s="1064"/>
      <c r="E92" s="1065"/>
      <c r="F92" s="697"/>
      <c r="G92" s="698"/>
      <c r="H92" s="698"/>
      <c r="I92" s="698"/>
      <c r="J92" s="698"/>
      <c r="K92" s="698"/>
      <c r="L92" s="698"/>
      <c r="N92" s="844">
        <f t="shared" si="10"/>
        <v>0</v>
      </c>
    </row>
    <row r="93" spans="1:14" ht="28.5" customHeight="1" x14ac:dyDescent="0.25">
      <c r="A93" s="394">
        <v>2017</v>
      </c>
      <c r="B93" s="1063" t="str">
        <f>"per 31/12/"&amp;$I$13</f>
        <v>per 31/12/2017</v>
      </c>
      <c r="C93" s="1064"/>
      <c r="D93" s="1064"/>
      <c r="E93" s="1065"/>
      <c r="F93" s="697"/>
      <c r="G93" s="698">
        <f>SUM(G34,G41,G48,G55,G62,G69,G76,G83)</f>
        <v>0</v>
      </c>
      <c r="H93" s="698"/>
      <c r="I93" s="698"/>
      <c r="J93" s="698"/>
      <c r="K93" s="698"/>
      <c r="L93" s="698"/>
      <c r="N93" s="844">
        <f t="shared" si="10"/>
        <v>0</v>
      </c>
    </row>
    <row r="94" spans="1:14" ht="28.5" customHeight="1" x14ac:dyDescent="0.25">
      <c r="A94" s="394">
        <v>2018</v>
      </c>
      <c r="B94" s="1063" t="str">
        <f>"per 31/12/"&amp;$J$13</f>
        <v>per 31/12/2018</v>
      </c>
      <c r="C94" s="1064"/>
      <c r="D94" s="1064"/>
      <c r="E94" s="1065"/>
      <c r="F94" s="697"/>
      <c r="G94" s="698">
        <f>SUM(G35,G42,G49,G56,G63,G70,G77,G84)</f>
        <v>0</v>
      </c>
      <c r="H94" s="698">
        <f>SUM(H35,H42,H49,H56,H63,H70,H77,H84)</f>
        <v>0</v>
      </c>
      <c r="I94" s="698"/>
      <c r="J94" s="698"/>
      <c r="K94" s="698"/>
      <c r="L94" s="698"/>
      <c r="N94" s="844">
        <f t="shared" si="10"/>
        <v>0</v>
      </c>
    </row>
    <row r="95" spans="1:14" ht="28.5" customHeight="1" x14ac:dyDescent="0.25">
      <c r="A95" s="394">
        <v>2019</v>
      </c>
      <c r="B95" s="1063" t="str">
        <f>"per 31/12/"&amp;$K$13</f>
        <v>per 31/12/2019</v>
      </c>
      <c r="C95" s="1064"/>
      <c r="D95" s="1064"/>
      <c r="E95" s="1065"/>
      <c r="F95" s="697"/>
      <c r="G95" s="698">
        <f>SUM(G36,G43,G50,G57,G64,G71,G78,G85)</f>
        <v>0</v>
      </c>
      <c r="H95" s="698">
        <f>SUM(H36,H43,H50,H57,H64,H71,H78,H85)</f>
        <v>0</v>
      </c>
      <c r="I95" s="698">
        <f>SUM(I36,I43,I50,I57,I64,I71,I78,I85)</f>
        <v>0</v>
      </c>
      <c r="J95" s="698"/>
      <c r="K95" s="698"/>
      <c r="L95" s="698"/>
      <c r="N95" s="844">
        <f t="shared" si="10"/>
        <v>0</v>
      </c>
    </row>
    <row r="96" spans="1:14" ht="28.5" customHeight="1" x14ac:dyDescent="0.25">
      <c r="A96" s="394">
        <v>2020</v>
      </c>
      <c r="B96" s="1063" t="str">
        <f>"per 31/12/"&amp;$L$13</f>
        <v>per 31/12/2020</v>
      </c>
      <c r="C96" s="1064"/>
      <c r="D96" s="1064"/>
      <c r="E96" s="1065"/>
      <c r="F96" s="697"/>
      <c r="G96" s="698">
        <f>SUM(G37,G44,G51,G58,G65,G72,G79,G86)</f>
        <v>0</v>
      </c>
      <c r="H96" s="698">
        <f>SUM(H37,H44,H51,H58,H65,H72,H79,H86)</f>
        <v>0</v>
      </c>
      <c r="I96" s="698">
        <f>SUM(I37,I44,I51,I58,I65,I72,I79,I86)</f>
        <v>0</v>
      </c>
      <c r="J96" s="698">
        <f>SUM(J37,J44,J51,J58,J65,J72,J79,J86)</f>
        <v>0</v>
      </c>
      <c r="K96" s="698"/>
      <c r="L96" s="698"/>
      <c r="N96" s="844">
        <f t="shared" si="10"/>
        <v>0</v>
      </c>
    </row>
    <row r="97" spans="2:14" s="381" customFormat="1" ht="13" x14ac:dyDescent="0.3">
      <c r="B97" s="1066" t="s">
        <v>242</v>
      </c>
      <c r="C97" s="1066"/>
      <c r="D97" s="1066"/>
      <c r="E97" s="1066"/>
      <c r="G97" s="913">
        <f>(VLOOKUP($D$2,$A$91:$G$96,7,FALSE)+IF($A$91&lt;$D$2,G91,0)+IF($A$92&lt;$D$2,G92,0)+IF($A$93&lt;$D$2,G93,0)+IF($A$94&lt;$D$2,G94,0)+IF($A$95&lt;$D$2,G95,0)+IF($A$96&lt;$D$2,G96,0))-T4A!C40</f>
        <v>0</v>
      </c>
      <c r="H97" s="913">
        <f>(VLOOKUP($D$2,$A$91:$H$96,8,FALSE)+IF($A$91&lt;$D$2,H91,0)+IF($A$92&lt;$D$2,H92,0)+IF($A$93&lt;$D$2,H93,0)+IF($A$94&lt;$D$2,H94,0)+IF($A$95&lt;$D$2,H95,0)+IF($A$96&lt;$D$2,H96,0))-T4A!D40</f>
        <v>0</v>
      </c>
      <c r="I97" s="913">
        <f>(VLOOKUP($D$2,$A$91:$I$96,9,FALSE)+IF($A$91&lt;$D$2,I91,0)+IF($A$92&lt;$D$2,I92,0)+IF($A$93&lt;$D$2,I93,0)+IF($A$94&lt;$D$2,I94,0)+IF($A$95&lt;$D$2,I95,0)+IF($A$96&lt;$D$2,I96,0))-T4A!E40</f>
        <v>0</v>
      </c>
      <c r="J97" s="913">
        <f>(VLOOKUP($D$2,$A$91:$J$96,10,FALSE)+IF($A$91&lt;$D$2,J91,0)+IF($A$92&lt;$D$2,J92,0)+IF($A$93&lt;$D$2,J93,0)+IF($A$94&lt;$D$2,J94,0)+IF($A$95&lt;$D$2,J95,0)+IF($A$96&lt;$D$2,J96,0))-T4A!F40</f>
        <v>0</v>
      </c>
      <c r="K97" s="694"/>
      <c r="L97" s="694"/>
      <c r="M97" s="848"/>
      <c r="N97" s="694">
        <f>(VLOOKUP($D$2,A91:N96,14,FALSE))-T4A!J40</f>
        <v>0</v>
      </c>
    </row>
    <row r="99" spans="2:14" ht="13" x14ac:dyDescent="0.3">
      <c r="G99" s="434" t="s">
        <v>67</v>
      </c>
    </row>
    <row r="100" spans="2:14" ht="13" x14ac:dyDescent="0.3">
      <c r="G100" s="434" t="s">
        <v>344</v>
      </c>
    </row>
    <row r="101" spans="2:14" s="48" customFormat="1" ht="69.75" customHeight="1" x14ac:dyDescent="0.25">
      <c r="B101" s="1060" t="s">
        <v>241</v>
      </c>
      <c r="C101" s="1061"/>
      <c r="D101" s="1061"/>
      <c r="E101" s="1062"/>
      <c r="F101" s="599"/>
      <c r="G101" s="675">
        <v>2015</v>
      </c>
      <c r="H101" s="675">
        <f>+G101+1</f>
        <v>2016</v>
      </c>
      <c r="I101" s="675">
        <f>+H101+1</f>
        <v>2017</v>
      </c>
      <c r="J101" s="675">
        <f>+I101+1</f>
        <v>2018</v>
      </c>
      <c r="K101" s="675">
        <f>+J101+1</f>
        <v>2019</v>
      </c>
      <c r="L101" s="675">
        <f>+K101+1</f>
        <v>2020</v>
      </c>
      <c r="M101" s="483"/>
      <c r="N101" s="675" t="s">
        <v>31</v>
      </c>
    </row>
    <row r="102" spans="2:14" s="130" customFormat="1" ht="12" customHeight="1" x14ac:dyDescent="0.25">
      <c r="B102" s="600"/>
      <c r="C102" s="600"/>
      <c r="D102" s="600"/>
      <c r="E102" s="600"/>
      <c r="F102" s="601"/>
      <c r="G102" s="602"/>
      <c r="H102" s="603"/>
      <c r="I102" s="603"/>
      <c r="J102" s="604"/>
      <c r="K102" s="604"/>
      <c r="L102" s="604"/>
      <c r="M102" s="846"/>
      <c r="N102" s="604"/>
    </row>
    <row r="103" spans="2:14" ht="36" customHeight="1" x14ac:dyDescent="0.25">
      <c r="B103" s="1077" t="s">
        <v>131</v>
      </c>
      <c r="C103" s="1078"/>
      <c r="D103" s="1078"/>
      <c r="E103" s="1079"/>
      <c r="F103" s="162"/>
      <c r="G103" s="686"/>
      <c r="H103" s="686"/>
      <c r="I103" s="686"/>
      <c r="J103" s="686"/>
      <c r="K103" s="686"/>
      <c r="L103" s="686"/>
      <c r="N103" s="686"/>
    </row>
    <row r="104" spans="2:14" ht="28.5" customHeight="1" x14ac:dyDescent="0.25">
      <c r="B104" s="1068" t="str">
        <f>"per 31/12/"&amp;$G$13</f>
        <v>per 31/12/2015</v>
      </c>
      <c r="C104" s="1069"/>
      <c r="D104" s="1069"/>
      <c r="E104" s="1070"/>
      <c r="F104" s="162"/>
      <c r="G104" s="684">
        <f>+G$15+G32</f>
        <v>0</v>
      </c>
      <c r="H104" s="684"/>
      <c r="I104" s="684"/>
      <c r="J104" s="684"/>
      <c r="K104" s="684"/>
      <c r="L104" s="684"/>
      <c r="M104" s="394">
        <v>2016</v>
      </c>
      <c r="N104" s="679">
        <f t="shared" ref="N104:N109" si="11">SUM(G104:L104)</f>
        <v>0</v>
      </c>
    </row>
    <row r="105" spans="2:14" ht="28.5" customHeight="1" x14ac:dyDescent="0.25">
      <c r="B105" s="1068" t="str">
        <f>"per 31/12/"&amp;$H$13</f>
        <v>per 31/12/2016</v>
      </c>
      <c r="C105" s="1069"/>
      <c r="D105" s="1069"/>
      <c r="E105" s="1070"/>
      <c r="F105" s="162"/>
      <c r="G105" s="684">
        <f>+G104+G33</f>
        <v>0</v>
      </c>
      <c r="H105" s="684">
        <f>+$H$15+H33</f>
        <v>0</v>
      </c>
      <c r="I105" s="684"/>
      <c r="J105" s="684"/>
      <c r="K105" s="684"/>
      <c r="L105" s="684"/>
      <c r="M105" s="394">
        <v>2017</v>
      </c>
      <c r="N105" s="679">
        <f t="shared" si="11"/>
        <v>0</v>
      </c>
    </row>
    <row r="106" spans="2:14" ht="28.5" customHeight="1" x14ac:dyDescent="0.25">
      <c r="B106" s="1068" t="str">
        <f>"per 31/12/"&amp;$I$13</f>
        <v>per 31/12/2017</v>
      </c>
      <c r="C106" s="1069"/>
      <c r="D106" s="1069"/>
      <c r="E106" s="1070"/>
      <c r="F106" s="162"/>
      <c r="G106" s="684">
        <f>+G105+G34</f>
        <v>0</v>
      </c>
      <c r="H106" s="684">
        <f>+H105+H34</f>
        <v>0</v>
      </c>
      <c r="I106" s="684">
        <f>+$I$15+I34</f>
        <v>0</v>
      </c>
      <c r="J106" s="684"/>
      <c r="K106" s="684"/>
      <c r="L106" s="684"/>
      <c r="M106" s="394">
        <v>2018</v>
      </c>
      <c r="N106" s="679">
        <f t="shared" si="11"/>
        <v>0</v>
      </c>
    </row>
    <row r="107" spans="2:14" ht="28.5" customHeight="1" x14ac:dyDescent="0.25">
      <c r="B107" s="1068" t="str">
        <f>"per 31/12/"&amp;$J$13</f>
        <v>per 31/12/2018</v>
      </c>
      <c r="C107" s="1069"/>
      <c r="D107" s="1069"/>
      <c r="E107" s="1070"/>
      <c r="F107" s="162"/>
      <c r="G107" s="684">
        <f>+G106+G35</f>
        <v>0</v>
      </c>
      <c r="H107" s="684">
        <f>+H106+H35</f>
        <v>0</v>
      </c>
      <c r="I107" s="684">
        <f>+I106+I35</f>
        <v>0</v>
      </c>
      <c r="J107" s="684">
        <f>+$J$15+J35</f>
        <v>0</v>
      </c>
      <c r="K107" s="684"/>
      <c r="L107" s="684"/>
      <c r="M107" s="394">
        <v>2019</v>
      </c>
      <c r="N107" s="679">
        <f t="shared" si="11"/>
        <v>0</v>
      </c>
    </row>
    <row r="108" spans="2:14" ht="28.5" customHeight="1" x14ac:dyDescent="0.25">
      <c r="B108" s="1068" t="str">
        <f>"per 31/12/"&amp;$K$13</f>
        <v>per 31/12/2019</v>
      </c>
      <c r="C108" s="1069"/>
      <c r="D108" s="1069"/>
      <c r="E108" s="1070"/>
      <c r="F108" s="162"/>
      <c r="G108" s="684">
        <f>+G107+G36</f>
        <v>0</v>
      </c>
      <c r="H108" s="684">
        <f>+H107+H36</f>
        <v>0</v>
      </c>
      <c r="I108" s="684">
        <f>+I107+I36</f>
        <v>0</v>
      </c>
      <c r="J108" s="684">
        <f>+J107+J36</f>
        <v>0</v>
      </c>
      <c r="K108" s="684">
        <f>+$K$15+K36</f>
        <v>0</v>
      </c>
      <c r="L108" s="684"/>
      <c r="M108" s="394">
        <v>2020</v>
      </c>
      <c r="N108" s="679">
        <f t="shared" si="11"/>
        <v>0</v>
      </c>
    </row>
    <row r="109" spans="2:14" ht="28.5" customHeight="1" x14ac:dyDescent="0.25">
      <c r="B109" s="1068" t="str">
        <f>"per 31/12/"&amp;$L$13</f>
        <v>per 31/12/2020</v>
      </c>
      <c r="C109" s="1069"/>
      <c r="D109" s="1069"/>
      <c r="E109" s="1070"/>
      <c r="F109" s="162"/>
      <c r="G109" s="684">
        <f>+G108+G37</f>
        <v>0</v>
      </c>
      <c r="H109" s="684">
        <f>+H108+H37</f>
        <v>0</v>
      </c>
      <c r="I109" s="684">
        <f>+I108+I37</f>
        <v>0</v>
      </c>
      <c r="J109" s="684">
        <f>+J108+J37</f>
        <v>0</v>
      </c>
      <c r="K109" s="684">
        <f>+K108+K37</f>
        <v>0</v>
      </c>
      <c r="L109" s="684">
        <f>+$L$15+L37</f>
        <v>0</v>
      </c>
      <c r="M109" s="394">
        <v>2021</v>
      </c>
      <c r="N109" s="679">
        <f t="shared" si="11"/>
        <v>0</v>
      </c>
    </row>
    <row r="110" spans="2:14" ht="27.75" customHeight="1" x14ac:dyDescent="0.25">
      <c r="B110" s="1077" t="s">
        <v>132</v>
      </c>
      <c r="C110" s="1078"/>
      <c r="D110" s="1078"/>
      <c r="E110" s="1079"/>
      <c r="F110" s="162"/>
      <c r="G110" s="686"/>
      <c r="H110" s="686"/>
      <c r="I110" s="686"/>
      <c r="J110" s="686"/>
      <c r="K110" s="686"/>
      <c r="L110" s="686"/>
      <c r="N110" s="686"/>
    </row>
    <row r="111" spans="2:14" ht="28.5" customHeight="1" x14ac:dyDescent="0.25">
      <c r="B111" s="1068" t="str">
        <f>"per 31/12/"&amp;$G$13</f>
        <v>per 31/12/2015</v>
      </c>
      <c r="C111" s="1069"/>
      <c r="D111" s="1069"/>
      <c r="E111" s="1070"/>
      <c r="F111" s="162"/>
      <c r="G111" s="684">
        <f>+$G$16+G39</f>
        <v>0</v>
      </c>
      <c r="H111" s="684"/>
      <c r="I111" s="684"/>
      <c r="J111" s="684"/>
      <c r="K111" s="684"/>
      <c r="L111" s="684"/>
      <c r="M111" s="394">
        <v>2016</v>
      </c>
      <c r="N111" s="679">
        <f t="shared" ref="N111:N116" si="12">SUM(G111:L111)</f>
        <v>0</v>
      </c>
    </row>
    <row r="112" spans="2:14" ht="28.5" customHeight="1" x14ac:dyDescent="0.25">
      <c r="B112" s="1068" t="str">
        <f>"per 31/12/"&amp;$H$13</f>
        <v>per 31/12/2016</v>
      </c>
      <c r="C112" s="1069"/>
      <c r="D112" s="1069"/>
      <c r="E112" s="1070"/>
      <c r="F112" s="162"/>
      <c r="G112" s="684">
        <f>+G111+G40</f>
        <v>0</v>
      </c>
      <c r="H112" s="684">
        <f>+H16+H40</f>
        <v>0</v>
      </c>
      <c r="I112" s="684"/>
      <c r="J112" s="684"/>
      <c r="K112" s="684"/>
      <c r="L112" s="684"/>
      <c r="M112" s="394">
        <v>2017</v>
      </c>
      <c r="N112" s="679">
        <f t="shared" si="12"/>
        <v>0</v>
      </c>
    </row>
    <row r="113" spans="2:14" ht="28.5" customHeight="1" x14ac:dyDescent="0.25">
      <c r="B113" s="1068" t="str">
        <f>"per 31/12/"&amp;$I$13</f>
        <v>per 31/12/2017</v>
      </c>
      <c r="C113" s="1069"/>
      <c r="D113" s="1069"/>
      <c r="E113" s="1070"/>
      <c r="F113" s="162"/>
      <c r="G113" s="684">
        <f>+G112+G41</f>
        <v>0</v>
      </c>
      <c r="H113" s="684">
        <f>+H112+H41</f>
        <v>0</v>
      </c>
      <c r="I113" s="684">
        <f>+I16+I41</f>
        <v>0</v>
      </c>
      <c r="J113" s="684"/>
      <c r="K113" s="684"/>
      <c r="L113" s="684"/>
      <c r="M113" s="394">
        <v>2018</v>
      </c>
      <c r="N113" s="679">
        <f t="shared" si="12"/>
        <v>0</v>
      </c>
    </row>
    <row r="114" spans="2:14" ht="28.5" customHeight="1" x14ac:dyDescent="0.25">
      <c r="B114" s="1068" t="str">
        <f>"per 31/12/"&amp;$J$13</f>
        <v>per 31/12/2018</v>
      </c>
      <c r="C114" s="1069"/>
      <c r="D114" s="1069"/>
      <c r="E114" s="1070"/>
      <c r="F114" s="162"/>
      <c r="G114" s="684">
        <f>+G113+G42</f>
        <v>0</v>
      </c>
      <c r="H114" s="684">
        <f>+H113+H42</f>
        <v>0</v>
      </c>
      <c r="I114" s="684">
        <f>+I113+I42</f>
        <v>0</v>
      </c>
      <c r="J114" s="684">
        <f>+J16+J42</f>
        <v>0</v>
      </c>
      <c r="K114" s="684"/>
      <c r="L114" s="684"/>
      <c r="M114" s="394">
        <v>2019</v>
      </c>
      <c r="N114" s="679">
        <f t="shared" si="12"/>
        <v>0</v>
      </c>
    </row>
    <row r="115" spans="2:14" ht="28.5" customHeight="1" x14ac:dyDescent="0.25">
      <c r="B115" s="1068" t="str">
        <f>"per 31/12/"&amp;$K$13</f>
        <v>per 31/12/2019</v>
      </c>
      <c r="C115" s="1069"/>
      <c r="D115" s="1069"/>
      <c r="E115" s="1070"/>
      <c r="F115" s="162"/>
      <c r="G115" s="684">
        <f>+G114+G43</f>
        <v>0</v>
      </c>
      <c r="H115" s="684">
        <f>+H114+H43</f>
        <v>0</v>
      </c>
      <c r="I115" s="684">
        <f>+I114+I43</f>
        <v>0</v>
      </c>
      <c r="J115" s="684">
        <f>+J114+J43</f>
        <v>0</v>
      </c>
      <c r="K115" s="684">
        <f>+K16+K43</f>
        <v>0</v>
      </c>
      <c r="L115" s="684"/>
      <c r="M115" s="394">
        <v>2020</v>
      </c>
      <c r="N115" s="679">
        <f t="shared" si="12"/>
        <v>0</v>
      </c>
    </row>
    <row r="116" spans="2:14" ht="28.5" customHeight="1" x14ac:dyDescent="0.25">
      <c r="B116" s="1068" t="str">
        <f>"per 31/12/"&amp;$L$13</f>
        <v>per 31/12/2020</v>
      </c>
      <c r="C116" s="1069"/>
      <c r="D116" s="1069"/>
      <c r="E116" s="1070"/>
      <c r="F116" s="162"/>
      <c r="G116" s="684">
        <f>+G115+G44</f>
        <v>0</v>
      </c>
      <c r="H116" s="684">
        <f>+H115+H44</f>
        <v>0</v>
      </c>
      <c r="I116" s="684">
        <f>+I115+I44</f>
        <v>0</v>
      </c>
      <c r="J116" s="684">
        <f>+J115+J44</f>
        <v>0</v>
      </c>
      <c r="K116" s="684">
        <f>+K115+K44</f>
        <v>0</v>
      </c>
      <c r="L116" s="684">
        <f>+L16+L44</f>
        <v>0</v>
      </c>
      <c r="M116" s="394">
        <v>2021</v>
      </c>
      <c r="N116" s="679">
        <f t="shared" si="12"/>
        <v>0</v>
      </c>
    </row>
    <row r="117" spans="2:14" ht="30" customHeight="1" x14ac:dyDescent="0.25">
      <c r="B117" s="1077" t="s">
        <v>138</v>
      </c>
      <c r="C117" s="1078"/>
      <c r="D117" s="1078"/>
      <c r="E117" s="1079"/>
      <c r="F117" s="162"/>
      <c r="G117" s="686"/>
      <c r="H117" s="686"/>
      <c r="I117" s="686"/>
      <c r="J117" s="686"/>
      <c r="K117" s="686"/>
      <c r="L117" s="686"/>
      <c r="N117" s="686"/>
    </row>
    <row r="118" spans="2:14" ht="28.5" customHeight="1" x14ac:dyDescent="0.25">
      <c r="B118" s="1068" t="str">
        <f>"per 31/12/"&amp;$G$13</f>
        <v>per 31/12/2015</v>
      </c>
      <c r="C118" s="1069"/>
      <c r="D118" s="1069"/>
      <c r="E118" s="1070"/>
      <c r="F118" s="162"/>
      <c r="G118" s="684">
        <f>+$G$17+G46</f>
        <v>0</v>
      </c>
      <c r="H118" s="684"/>
      <c r="I118" s="684"/>
      <c r="J118" s="684"/>
      <c r="K118" s="684"/>
      <c r="L118" s="684"/>
      <c r="M118" s="394">
        <v>2016</v>
      </c>
      <c r="N118" s="679">
        <f t="shared" ref="N118:N123" si="13">SUM(G118:L118)</f>
        <v>0</v>
      </c>
    </row>
    <row r="119" spans="2:14" ht="28.5" customHeight="1" x14ac:dyDescent="0.25">
      <c r="B119" s="1068" t="str">
        <f>"per 31/12/"&amp;$H$13</f>
        <v>per 31/12/2016</v>
      </c>
      <c r="C119" s="1069"/>
      <c r="D119" s="1069"/>
      <c r="E119" s="1070"/>
      <c r="F119" s="162"/>
      <c r="G119" s="684">
        <f>+G118+G47</f>
        <v>0</v>
      </c>
      <c r="H119" s="684">
        <f>+H17+H47</f>
        <v>0</v>
      </c>
      <c r="I119" s="684"/>
      <c r="J119" s="684"/>
      <c r="K119" s="684"/>
      <c r="L119" s="684"/>
      <c r="M119" s="394">
        <v>2017</v>
      </c>
      <c r="N119" s="679">
        <f t="shared" si="13"/>
        <v>0</v>
      </c>
    </row>
    <row r="120" spans="2:14" ht="28.5" customHeight="1" x14ac:dyDescent="0.25">
      <c r="B120" s="1068" t="str">
        <f>"per 31/12/"&amp;$I$13</f>
        <v>per 31/12/2017</v>
      </c>
      <c r="C120" s="1069"/>
      <c r="D120" s="1069"/>
      <c r="E120" s="1070"/>
      <c r="F120" s="162"/>
      <c r="G120" s="684">
        <f>+G119+G48</f>
        <v>0</v>
      </c>
      <c r="H120" s="684">
        <f>+H119+H48</f>
        <v>0</v>
      </c>
      <c r="I120" s="684">
        <f>+I17+I48</f>
        <v>0</v>
      </c>
      <c r="J120" s="684"/>
      <c r="K120" s="684"/>
      <c r="L120" s="684"/>
      <c r="M120" s="394">
        <v>2018</v>
      </c>
      <c r="N120" s="679">
        <f t="shared" si="13"/>
        <v>0</v>
      </c>
    </row>
    <row r="121" spans="2:14" ht="28.5" customHeight="1" x14ac:dyDescent="0.25">
      <c r="B121" s="1068" t="str">
        <f>"per 31/12/"&amp;$J$13</f>
        <v>per 31/12/2018</v>
      </c>
      <c r="C121" s="1069"/>
      <c r="D121" s="1069"/>
      <c r="E121" s="1070"/>
      <c r="F121" s="162"/>
      <c r="G121" s="684">
        <f>+G120+G49</f>
        <v>0</v>
      </c>
      <c r="H121" s="684">
        <f>+H120+H49</f>
        <v>0</v>
      </c>
      <c r="I121" s="684">
        <f>+I120+I49</f>
        <v>0</v>
      </c>
      <c r="J121" s="684">
        <f>+J17+J49</f>
        <v>0</v>
      </c>
      <c r="K121" s="684"/>
      <c r="L121" s="684"/>
      <c r="M121" s="394">
        <v>2019</v>
      </c>
      <c r="N121" s="679">
        <f t="shared" si="13"/>
        <v>0</v>
      </c>
    </row>
    <row r="122" spans="2:14" ht="28.5" customHeight="1" x14ac:dyDescent="0.25">
      <c r="B122" s="1068" t="str">
        <f>"per 31/12/"&amp;$K$13</f>
        <v>per 31/12/2019</v>
      </c>
      <c r="C122" s="1069"/>
      <c r="D122" s="1069"/>
      <c r="E122" s="1070"/>
      <c r="F122" s="162"/>
      <c r="G122" s="684">
        <f>+G121+G50</f>
        <v>0</v>
      </c>
      <c r="H122" s="684">
        <f>+H121+H50</f>
        <v>0</v>
      </c>
      <c r="I122" s="684">
        <f>+I121+I50</f>
        <v>0</v>
      </c>
      <c r="J122" s="684">
        <f>+J121+J50</f>
        <v>0</v>
      </c>
      <c r="K122" s="684">
        <f>+K17+K50</f>
        <v>0</v>
      </c>
      <c r="L122" s="684"/>
      <c r="M122" s="394">
        <v>2020</v>
      </c>
      <c r="N122" s="679">
        <f t="shared" si="13"/>
        <v>0</v>
      </c>
    </row>
    <row r="123" spans="2:14" ht="28.5" customHeight="1" x14ac:dyDescent="0.25">
      <c r="B123" s="1068" t="str">
        <f>"per 31/12/"&amp;$L$13</f>
        <v>per 31/12/2020</v>
      </c>
      <c r="C123" s="1069"/>
      <c r="D123" s="1069"/>
      <c r="E123" s="1070"/>
      <c r="F123" s="162"/>
      <c r="G123" s="684">
        <f>+G122+G51</f>
        <v>0</v>
      </c>
      <c r="H123" s="684">
        <f>+H122+H51</f>
        <v>0</v>
      </c>
      <c r="I123" s="684">
        <f>+I122+I51</f>
        <v>0</v>
      </c>
      <c r="J123" s="684">
        <f>+J122+J51</f>
        <v>0</v>
      </c>
      <c r="K123" s="684">
        <f>+K122+K51</f>
        <v>0</v>
      </c>
      <c r="L123" s="684">
        <f>+L17+L51</f>
        <v>0</v>
      </c>
      <c r="M123" s="394">
        <v>2021</v>
      </c>
      <c r="N123" s="679">
        <f t="shared" si="13"/>
        <v>0</v>
      </c>
    </row>
    <row r="124" spans="2:14" ht="30" customHeight="1" x14ac:dyDescent="0.25">
      <c r="B124" s="1077" t="s">
        <v>133</v>
      </c>
      <c r="C124" s="1078"/>
      <c r="D124" s="1078"/>
      <c r="E124" s="1079"/>
      <c r="F124" s="162"/>
      <c r="G124" s="686"/>
      <c r="H124" s="686"/>
      <c r="I124" s="686"/>
      <c r="J124" s="686"/>
      <c r="K124" s="686"/>
      <c r="L124" s="686"/>
      <c r="N124" s="686"/>
    </row>
    <row r="125" spans="2:14" ht="28.5" customHeight="1" x14ac:dyDescent="0.25">
      <c r="B125" s="1068" t="str">
        <f>"per 31/12/"&amp;$G$13</f>
        <v>per 31/12/2015</v>
      </c>
      <c r="C125" s="1069"/>
      <c r="D125" s="1069"/>
      <c r="E125" s="1070"/>
      <c r="F125" s="162"/>
      <c r="G125" s="684">
        <f>+$G$18+G53</f>
        <v>0</v>
      </c>
      <c r="H125" s="684"/>
      <c r="I125" s="684"/>
      <c r="J125" s="684"/>
      <c r="K125" s="684"/>
      <c r="L125" s="684"/>
      <c r="M125" s="394">
        <v>2016</v>
      </c>
      <c r="N125" s="679">
        <f t="shared" ref="N125:N130" si="14">SUM(G125:L125)</f>
        <v>0</v>
      </c>
    </row>
    <row r="126" spans="2:14" ht="28.5" customHeight="1" x14ac:dyDescent="0.25">
      <c r="B126" s="1068" t="str">
        <f>"per 31/12/"&amp;$H$13</f>
        <v>per 31/12/2016</v>
      </c>
      <c r="C126" s="1069"/>
      <c r="D126" s="1069"/>
      <c r="E126" s="1070"/>
      <c r="F126" s="162"/>
      <c r="G126" s="684">
        <f>+G125+G54</f>
        <v>0</v>
      </c>
      <c r="H126" s="684">
        <f>+H18+H54</f>
        <v>0</v>
      </c>
      <c r="I126" s="684"/>
      <c r="J126" s="684"/>
      <c r="K126" s="684"/>
      <c r="L126" s="684"/>
      <c r="M126" s="394">
        <v>2017</v>
      </c>
      <c r="N126" s="679">
        <f t="shared" si="14"/>
        <v>0</v>
      </c>
    </row>
    <row r="127" spans="2:14" ht="28.5" customHeight="1" x14ac:dyDescent="0.25">
      <c r="B127" s="1068" t="str">
        <f>"per 31/12/"&amp;$I$13</f>
        <v>per 31/12/2017</v>
      </c>
      <c r="C127" s="1069"/>
      <c r="D127" s="1069"/>
      <c r="E127" s="1070"/>
      <c r="F127" s="162"/>
      <c r="G127" s="684">
        <f>+G126+G55</f>
        <v>0</v>
      </c>
      <c r="H127" s="684">
        <f>+H126+H55</f>
        <v>0</v>
      </c>
      <c r="I127" s="684">
        <f>+I18+I55</f>
        <v>0</v>
      </c>
      <c r="J127" s="684"/>
      <c r="K127" s="684"/>
      <c r="L127" s="684"/>
      <c r="M127" s="394">
        <v>2018</v>
      </c>
      <c r="N127" s="679">
        <f t="shared" si="14"/>
        <v>0</v>
      </c>
    </row>
    <row r="128" spans="2:14" ht="28.5" customHeight="1" x14ac:dyDescent="0.25">
      <c r="B128" s="1068" t="str">
        <f>"per 31/12/"&amp;$J$13</f>
        <v>per 31/12/2018</v>
      </c>
      <c r="C128" s="1069"/>
      <c r="D128" s="1069"/>
      <c r="E128" s="1070"/>
      <c r="F128" s="162"/>
      <c r="G128" s="684">
        <f>+G127+G56</f>
        <v>0</v>
      </c>
      <c r="H128" s="684">
        <f>+H127+H56</f>
        <v>0</v>
      </c>
      <c r="I128" s="684">
        <f>+I127+I56</f>
        <v>0</v>
      </c>
      <c r="J128" s="684">
        <f>+J18+J56</f>
        <v>0</v>
      </c>
      <c r="K128" s="684"/>
      <c r="L128" s="684"/>
      <c r="M128" s="394">
        <v>2019</v>
      </c>
      <c r="N128" s="679">
        <f t="shared" si="14"/>
        <v>0</v>
      </c>
    </row>
    <row r="129" spans="2:14" ht="28.5" customHeight="1" x14ac:dyDescent="0.25">
      <c r="B129" s="1068" t="str">
        <f>"per 31/12/"&amp;$K$13</f>
        <v>per 31/12/2019</v>
      </c>
      <c r="C129" s="1069"/>
      <c r="D129" s="1069"/>
      <c r="E129" s="1070"/>
      <c r="F129" s="162"/>
      <c r="G129" s="684">
        <f>+G128+G57</f>
        <v>0</v>
      </c>
      <c r="H129" s="684">
        <f>+H128+H57</f>
        <v>0</v>
      </c>
      <c r="I129" s="684">
        <f>+I128+I57</f>
        <v>0</v>
      </c>
      <c r="J129" s="684">
        <f>+J128+J57</f>
        <v>0</v>
      </c>
      <c r="K129" s="684">
        <f>+K18+K57</f>
        <v>0</v>
      </c>
      <c r="L129" s="684"/>
      <c r="M129" s="394">
        <v>2020</v>
      </c>
      <c r="N129" s="679">
        <f t="shared" si="14"/>
        <v>0</v>
      </c>
    </row>
    <row r="130" spans="2:14" ht="28.5" customHeight="1" x14ac:dyDescent="0.25">
      <c r="B130" s="1068" t="str">
        <f>"per 31/12/"&amp;$L$13</f>
        <v>per 31/12/2020</v>
      </c>
      <c r="C130" s="1069"/>
      <c r="D130" s="1069"/>
      <c r="E130" s="1070"/>
      <c r="F130" s="162"/>
      <c r="G130" s="684">
        <f>+G129+G58</f>
        <v>0</v>
      </c>
      <c r="H130" s="684">
        <f>+H129+H58</f>
        <v>0</v>
      </c>
      <c r="I130" s="684">
        <f>+I129+I58</f>
        <v>0</v>
      </c>
      <c r="J130" s="684">
        <f>+J129+J58</f>
        <v>0</v>
      </c>
      <c r="K130" s="684">
        <f>+K129+K58</f>
        <v>0</v>
      </c>
      <c r="L130" s="684">
        <f>+L18+L58</f>
        <v>0</v>
      </c>
      <c r="M130" s="394">
        <v>2021</v>
      </c>
      <c r="N130" s="679">
        <f t="shared" si="14"/>
        <v>0</v>
      </c>
    </row>
    <row r="131" spans="2:14" ht="27" customHeight="1" x14ac:dyDescent="0.25">
      <c r="B131" s="1080" t="s">
        <v>239</v>
      </c>
      <c r="C131" s="1080"/>
      <c r="D131" s="1080"/>
      <c r="E131" s="1080"/>
      <c r="F131" s="162"/>
      <c r="G131" s="686"/>
      <c r="H131" s="686"/>
      <c r="I131" s="686"/>
      <c r="J131" s="686"/>
      <c r="K131" s="686"/>
      <c r="L131" s="686"/>
      <c r="N131" s="686"/>
    </row>
    <row r="132" spans="2:14" ht="28.5" customHeight="1" x14ac:dyDescent="0.25">
      <c r="B132" s="1068" t="str">
        <f>"per 31/12/"&amp;$G$13</f>
        <v>per 31/12/2015</v>
      </c>
      <c r="C132" s="1069"/>
      <c r="D132" s="1069"/>
      <c r="E132" s="1070"/>
      <c r="F132" s="162"/>
      <c r="G132" s="684">
        <f>+$G$19+G60</f>
        <v>0</v>
      </c>
      <c r="H132" s="684"/>
      <c r="I132" s="684"/>
      <c r="J132" s="684"/>
      <c r="K132" s="684"/>
      <c r="L132" s="684"/>
      <c r="M132" s="394">
        <v>2016</v>
      </c>
      <c r="N132" s="679">
        <f t="shared" ref="N132:N137" si="15">SUM(G132:L132)</f>
        <v>0</v>
      </c>
    </row>
    <row r="133" spans="2:14" ht="28.5" customHeight="1" x14ac:dyDescent="0.25">
      <c r="B133" s="1068" t="str">
        <f>"per 31/12/"&amp;$H$13</f>
        <v>per 31/12/2016</v>
      </c>
      <c r="C133" s="1069"/>
      <c r="D133" s="1069"/>
      <c r="E133" s="1070"/>
      <c r="F133" s="162"/>
      <c r="G133" s="684">
        <f>+G132+G61</f>
        <v>0</v>
      </c>
      <c r="H133" s="684">
        <f>+H19+H61</f>
        <v>0</v>
      </c>
      <c r="I133" s="684"/>
      <c r="J133" s="684"/>
      <c r="K133" s="684"/>
      <c r="L133" s="684"/>
      <c r="M133" s="394">
        <v>2017</v>
      </c>
      <c r="N133" s="679">
        <f t="shared" si="15"/>
        <v>0</v>
      </c>
    </row>
    <row r="134" spans="2:14" ht="28.5" customHeight="1" x14ac:dyDescent="0.25">
      <c r="B134" s="1068" t="str">
        <f>"per 31/12/"&amp;$I$13</f>
        <v>per 31/12/2017</v>
      </c>
      <c r="C134" s="1069"/>
      <c r="D134" s="1069"/>
      <c r="E134" s="1070"/>
      <c r="F134" s="162"/>
      <c r="G134" s="684">
        <f>+G133+G62</f>
        <v>0</v>
      </c>
      <c r="H134" s="684">
        <f>+H133+H62</f>
        <v>0</v>
      </c>
      <c r="I134" s="684">
        <f>+I19+I62</f>
        <v>0</v>
      </c>
      <c r="J134" s="684"/>
      <c r="K134" s="684"/>
      <c r="L134" s="684"/>
      <c r="M134" s="394">
        <v>2018</v>
      </c>
      <c r="N134" s="679">
        <f t="shared" si="15"/>
        <v>0</v>
      </c>
    </row>
    <row r="135" spans="2:14" ht="28.5" customHeight="1" x14ac:dyDescent="0.25">
      <c r="B135" s="1068" t="str">
        <f>"per 31/12/"&amp;$J$13</f>
        <v>per 31/12/2018</v>
      </c>
      <c r="C135" s="1069"/>
      <c r="D135" s="1069"/>
      <c r="E135" s="1070"/>
      <c r="F135" s="162"/>
      <c r="G135" s="684">
        <f>+G134+G63</f>
        <v>0</v>
      </c>
      <c r="H135" s="684">
        <f>+H134+H63</f>
        <v>0</v>
      </c>
      <c r="I135" s="684">
        <f>+I134+I63</f>
        <v>0</v>
      </c>
      <c r="J135" s="684">
        <f>+J19+J63</f>
        <v>0</v>
      </c>
      <c r="K135" s="684"/>
      <c r="L135" s="684"/>
      <c r="M135" s="394">
        <v>2019</v>
      </c>
      <c r="N135" s="679">
        <f t="shared" si="15"/>
        <v>0</v>
      </c>
    </row>
    <row r="136" spans="2:14" ht="28.5" customHeight="1" x14ac:dyDescent="0.25">
      <c r="B136" s="1068" t="str">
        <f>"per 31/12/"&amp;$K$13</f>
        <v>per 31/12/2019</v>
      </c>
      <c r="C136" s="1069"/>
      <c r="D136" s="1069"/>
      <c r="E136" s="1070"/>
      <c r="F136" s="162"/>
      <c r="G136" s="684">
        <f>+G135+G64</f>
        <v>0</v>
      </c>
      <c r="H136" s="684">
        <f>+H135+H64</f>
        <v>0</v>
      </c>
      <c r="I136" s="684">
        <f>+I135+I64</f>
        <v>0</v>
      </c>
      <c r="J136" s="684">
        <f>+J135+J64</f>
        <v>0</v>
      </c>
      <c r="K136" s="684">
        <f>+K19+K64</f>
        <v>0</v>
      </c>
      <c r="L136" s="684"/>
      <c r="M136" s="394">
        <v>2020</v>
      </c>
      <c r="N136" s="679">
        <f t="shared" si="15"/>
        <v>0</v>
      </c>
    </row>
    <row r="137" spans="2:14" ht="28.5" customHeight="1" x14ac:dyDescent="0.25">
      <c r="B137" s="1068" t="str">
        <f>"per 31/12/"&amp;$L$13</f>
        <v>per 31/12/2020</v>
      </c>
      <c r="C137" s="1069"/>
      <c r="D137" s="1069"/>
      <c r="E137" s="1070"/>
      <c r="F137" s="162"/>
      <c r="G137" s="684">
        <f>+G136+G65</f>
        <v>0</v>
      </c>
      <c r="H137" s="684">
        <f>+H136+H65</f>
        <v>0</v>
      </c>
      <c r="I137" s="684">
        <f>+I136+I65</f>
        <v>0</v>
      </c>
      <c r="J137" s="684">
        <f>+J136+J65</f>
        <v>0</v>
      </c>
      <c r="K137" s="684">
        <f>+K136+K65</f>
        <v>0</v>
      </c>
      <c r="L137" s="684">
        <f>+L19+L65</f>
        <v>0</v>
      </c>
      <c r="M137" s="394">
        <v>2021</v>
      </c>
      <c r="N137" s="679">
        <f t="shared" si="15"/>
        <v>0</v>
      </c>
    </row>
    <row r="138" spans="2:14" ht="26.25" customHeight="1" x14ac:dyDescent="0.25">
      <c r="B138" s="1077" t="s">
        <v>237</v>
      </c>
      <c r="C138" s="1078"/>
      <c r="D138" s="1078"/>
      <c r="E138" s="1079"/>
      <c r="F138" s="162"/>
      <c r="G138" s="686"/>
      <c r="H138" s="686"/>
      <c r="I138" s="686"/>
      <c r="J138" s="686"/>
      <c r="K138" s="686"/>
      <c r="L138" s="686"/>
      <c r="N138" s="686"/>
    </row>
    <row r="139" spans="2:14" ht="28.5" customHeight="1" x14ac:dyDescent="0.25">
      <c r="B139" s="1068" t="str">
        <f>"per 31/12/"&amp;$G$13</f>
        <v>per 31/12/2015</v>
      </c>
      <c r="C139" s="1069"/>
      <c r="D139" s="1069"/>
      <c r="E139" s="1070"/>
      <c r="F139" s="162"/>
      <c r="G139" s="684">
        <f>+$G$20+G67</f>
        <v>0</v>
      </c>
      <c r="H139" s="684"/>
      <c r="I139" s="684"/>
      <c r="J139" s="684"/>
      <c r="K139" s="684"/>
      <c r="L139" s="684"/>
      <c r="M139" s="394">
        <v>2016</v>
      </c>
      <c r="N139" s="679">
        <f t="shared" ref="N139:N144" si="16">SUM(G139:L139)</f>
        <v>0</v>
      </c>
    </row>
    <row r="140" spans="2:14" ht="28.5" customHeight="1" x14ac:dyDescent="0.25">
      <c r="B140" s="1068" t="str">
        <f>"per 31/12/"&amp;$H$13</f>
        <v>per 31/12/2016</v>
      </c>
      <c r="C140" s="1069"/>
      <c r="D140" s="1069"/>
      <c r="E140" s="1070"/>
      <c r="F140" s="162"/>
      <c r="G140" s="684">
        <f>G139+G68</f>
        <v>0</v>
      </c>
      <c r="H140" s="684">
        <f>H20+H68</f>
        <v>0</v>
      </c>
      <c r="I140" s="684"/>
      <c r="J140" s="684"/>
      <c r="K140" s="684"/>
      <c r="L140" s="684"/>
      <c r="M140" s="394">
        <v>2017</v>
      </c>
      <c r="N140" s="679">
        <f t="shared" si="16"/>
        <v>0</v>
      </c>
    </row>
    <row r="141" spans="2:14" ht="28.5" customHeight="1" x14ac:dyDescent="0.25">
      <c r="B141" s="1068" t="str">
        <f>"per 31/12/"&amp;$I$13</f>
        <v>per 31/12/2017</v>
      </c>
      <c r="C141" s="1069"/>
      <c r="D141" s="1069"/>
      <c r="E141" s="1070"/>
      <c r="F141" s="162"/>
      <c r="G141" s="684">
        <f>G140+G69</f>
        <v>0</v>
      </c>
      <c r="H141" s="684">
        <f>H140+H69</f>
        <v>0</v>
      </c>
      <c r="I141" s="684">
        <f>I20+I69</f>
        <v>0</v>
      </c>
      <c r="J141" s="684"/>
      <c r="K141" s="684"/>
      <c r="L141" s="684"/>
      <c r="M141" s="394">
        <v>2018</v>
      </c>
      <c r="N141" s="679">
        <f t="shared" si="16"/>
        <v>0</v>
      </c>
    </row>
    <row r="142" spans="2:14" ht="28.5" customHeight="1" x14ac:dyDescent="0.25">
      <c r="B142" s="1068" t="str">
        <f>"per 31/12/"&amp;$J$13</f>
        <v>per 31/12/2018</v>
      </c>
      <c r="C142" s="1069"/>
      <c r="D142" s="1069"/>
      <c r="E142" s="1070"/>
      <c r="F142" s="162"/>
      <c r="G142" s="684">
        <f>G141+G70</f>
        <v>0</v>
      </c>
      <c r="H142" s="684">
        <f>H141+H70</f>
        <v>0</v>
      </c>
      <c r="I142" s="684">
        <f>I141+I70</f>
        <v>0</v>
      </c>
      <c r="J142" s="684">
        <f>J20+J70</f>
        <v>0</v>
      </c>
      <c r="K142" s="684"/>
      <c r="L142" s="684"/>
      <c r="M142" s="394">
        <v>2019</v>
      </c>
      <c r="N142" s="679">
        <f t="shared" si="16"/>
        <v>0</v>
      </c>
    </row>
    <row r="143" spans="2:14" ht="28.5" customHeight="1" x14ac:dyDescent="0.25">
      <c r="B143" s="1068" t="str">
        <f>"per 31/12/"&amp;$K$13</f>
        <v>per 31/12/2019</v>
      </c>
      <c r="C143" s="1069"/>
      <c r="D143" s="1069"/>
      <c r="E143" s="1070"/>
      <c r="F143" s="162"/>
      <c r="G143" s="684">
        <f>G142+G71</f>
        <v>0</v>
      </c>
      <c r="H143" s="684">
        <f>H142+H71</f>
        <v>0</v>
      </c>
      <c r="I143" s="684">
        <f>I142+I71</f>
        <v>0</v>
      </c>
      <c r="J143" s="684">
        <f>J142+J71</f>
        <v>0</v>
      </c>
      <c r="K143" s="684">
        <f>K20+K71</f>
        <v>0</v>
      </c>
      <c r="L143" s="684"/>
      <c r="M143" s="394">
        <v>2020</v>
      </c>
      <c r="N143" s="679">
        <f t="shared" si="16"/>
        <v>0</v>
      </c>
    </row>
    <row r="144" spans="2:14" ht="28.5" customHeight="1" x14ac:dyDescent="0.25">
      <c r="B144" s="1068" t="str">
        <f>"per 31/12/"&amp;$L$13</f>
        <v>per 31/12/2020</v>
      </c>
      <c r="C144" s="1069"/>
      <c r="D144" s="1069"/>
      <c r="E144" s="1070"/>
      <c r="F144" s="162"/>
      <c r="G144" s="684">
        <f>G143+G72</f>
        <v>0</v>
      </c>
      <c r="H144" s="684">
        <f>H143+H72</f>
        <v>0</v>
      </c>
      <c r="I144" s="684">
        <f>I143+I72</f>
        <v>0</v>
      </c>
      <c r="J144" s="684">
        <f>J143+J72</f>
        <v>0</v>
      </c>
      <c r="K144" s="684">
        <f>K143+K72</f>
        <v>0</v>
      </c>
      <c r="L144" s="684">
        <f>L20+L72</f>
        <v>0</v>
      </c>
      <c r="M144" s="394">
        <v>2021</v>
      </c>
      <c r="N144" s="679">
        <f t="shared" si="16"/>
        <v>0</v>
      </c>
    </row>
    <row r="145" spans="2:14" ht="30" customHeight="1" x14ac:dyDescent="0.25">
      <c r="B145" s="1077" t="s">
        <v>287</v>
      </c>
      <c r="C145" s="1078"/>
      <c r="D145" s="1078"/>
      <c r="E145" s="1079"/>
      <c r="F145" s="162"/>
      <c r="G145" s="686"/>
      <c r="H145" s="686"/>
      <c r="I145" s="686"/>
      <c r="J145" s="686"/>
      <c r="K145" s="686"/>
      <c r="L145" s="686"/>
      <c r="N145" s="686"/>
    </row>
    <row r="146" spans="2:14" ht="28.5" customHeight="1" x14ac:dyDescent="0.25">
      <c r="B146" s="1068" t="str">
        <f>"per 31/12/"&amp;$G$13</f>
        <v>per 31/12/2015</v>
      </c>
      <c r="C146" s="1069"/>
      <c r="D146" s="1069"/>
      <c r="E146" s="1070"/>
      <c r="F146" s="162"/>
      <c r="G146" s="684">
        <f>+$G$21+G74</f>
        <v>0</v>
      </c>
      <c r="H146" s="684"/>
      <c r="I146" s="684"/>
      <c r="J146" s="684"/>
      <c r="K146" s="684"/>
      <c r="L146" s="684"/>
      <c r="M146" s="394">
        <v>2016</v>
      </c>
      <c r="N146" s="679">
        <f t="shared" ref="N146:N151" si="17">SUM(G146:L146)</f>
        <v>0</v>
      </c>
    </row>
    <row r="147" spans="2:14" ht="28.5" customHeight="1" x14ac:dyDescent="0.25">
      <c r="B147" s="1068" t="str">
        <f>"per 31/12/"&amp;$H$13</f>
        <v>per 31/12/2016</v>
      </c>
      <c r="C147" s="1069"/>
      <c r="D147" s="1069"/>
      <c r="E147" s="1070"/>
      <c r="F147" s="162"/>
      <c r="G147" s="684">
        <f>+G146+G75</f>
        <v>0</v>
      </c>
      <c r="H147" s="684">
        <f>+H21+H75</f>
        <v>0</v>
      </c>
      <c r="I147" s="684"/>
      <c r="J147" s="684"/>
      <c r="K147" s="684"/>
      <c r="L147" s="684"/>
      <c r="M147" s="394">
        <v>2017</v>
      </c>
      <c r="N147" s="679">
        <f t="shared" si="17"/>
        <v>0</v>
      </c>
    </row>
    <row r="148" spans="2:14" ht="28.5" customHeight="1" x14ac:dyDescent="0.25">
      <c r="B148" s="1068" t="str">
        <f>"per 31/12/"&amp;$I$13</f>
        <v>per 31/12/2017</v>
      </c>
      <c r="C148" s="1069"/>
      <c r="D148" s="1069"/>
      <c r="E148" s="1070"/>
      <c r="F148" s="162"/>
      <c r="G148" s="684">
        <f>+G147+G76</f>
        <v>0</v>
      </c>
      <c r="H148" s="684">
        <f>+H147+H76</f>
        <v>0</v>
      </c>
      <c r="I148" s="684">
        <f>+I21+I76</f>
        <v>0</v>
      </c>
      <c r="J148" s="684"/>
      <c r="K148" s="684"/>
      <c r="L148" s="684"/>
      <c r="M148" s="394">
        <v>2018</v>
      </c>
      <c r="N148" s="679">
        <f t="shared" si="17"/>
        <v>0</v>
      </c>
    </row>
    <row r="149" spans="2:14" ht="28.5" customHeight="1" x14ac:dyDescent="0.25">
      <c r="B149" s="1068" t="str">
        <f>"per 31/12/"&amp;$J$13</f>
        <v>per 31/12/2018</v>
      </c>
      <c r="C149" s="1069"/>
      <c r="D149" s="1069"/>
      <c r="E149" s="1070"/>
      <c r="F149" s="162"/>
      <c r="G149" s="684">
        <f>+G148+G77</f>
        <v>0</v>
      </c>
      <c r="H149" s="684">
        <f>+H148+H77</f>
        <v>0</v>
      </c>
      <c r="I149" s="684">
        <f>+I148+I77</f>
        <v>0</v>
      </c>
      <c r="J149" s="684">
        <f>+J21+J77</f>
        <v>0</v>
      </c>
      <c r="K149" s="684"/>
      <c r="L149" s="684"/>
      <c r="M149" s="394">
        <v>2019</v>
      </c>
      <c r="N149" s="679">
        <f t="shared" si="17"/>
        <v>0</v>
      </c>
    </row>
    <row r="150" spans="2:14" ht="28.5" customHeight="1" x14ac:dyDescent="0.25">
      <c r="B150" s="1068" t="str">
        <f>"per 31/12/"&amp;$K$13</f>
        <v>per 31/12/2019</v>
      </c>
      <c r="C150" s="1069"/>
      <c r="D150" s="1069"/>
      <c r="E150" s="1070"/>
      <c r="F150" s="162"/>
      <c r="G150" s="684">
        <f>+G149+G78</f>
        <v>0</v>
      </c>
      <c r="H150" s="684">
        <f>+H149+H78</f>
        <v>0</v>
      </c>
      <c r="I150" s="684">
        <f>+I149+I78</f>
        <v>0</v>
      </c>
      <c r="J150" s="684">
        <f>+J149+J78</f>
        <v>0</v>
      </c>
      <c r="K150" s="684">
        <f>+K21+K78</f>
        <v>0</v>
      </c>
      <c r="L150" s="684"/>
      <c r="M150" s="394">
        <v>2020</v>
      </c>
      <c r="N150" s="679">
        <f t="shared" si="17"/>
        <v>0</v>
      </c>
    </row>
    <row r="151" spans="2:14" ht="28.5" customHeight="1" x14ac:dyDescent="0.25">
      <c r="B151" s="1068" t="str">
        <f>"per 31/12/"&amp;$L$13</f>
        <v>per 31/12/2020</v>
      </c>
      <c r="C151" s="1069"/>
      <c r="D151" s="1069"/>
      <c r="E151" s="1070"/>
      <c r="F151" s="162"/>
      <c r="G151" s="684">
        <f>+G150+G79</f>
        <v>0</v>
      </c>
      <c r="H151" s="684">
        <f>+H150+H79</f>
        <v>0</v>
      </c>
      <c r="I151" s="684">
        <f>+I150+I79</f>
        <v>0</v>
      </c>
      <c r="J151" s="684">
        <f>+J150+J79</f>
        <v>0</v>
      </c>
      <c r="K151" s="684">
        <f>+K150+K79</f>
        <v>0</v>
      </c>
      <c r="L151" s="684">
        <f>+L21+L79</f>
        <v>0</v>
      </c>
      <c r="M151" s="394">
        <v>2021</v>
      </c>
      <c r="N151" s="679">
        <f t="shared" si="17"/>
        <v>0</v>
      </c>
    </row>
    <row r="152" spans="2:14" ht="33" customHeight="1" x14ac:dyDescent="0.25">
      <c r="B152" s="1074" t="s">
        <v>134</v>
      </c>
      <c r="C152" s="1075"/>
      <c r="D152" s="1075"/>
      <c r="E152" s="1076"/>
      <c r="F152" s="162"/>
      <c r="G152" s="686"/>
      <c r="H152" s="686"/>
      <c r="I152" s="686"/>
      <c r="J152" s="686"/>
      <c r="K152" s="686"/>
      <c r="L152" s="686"/>
      <c r="N152" s="686"/>
    </row>
    <row r="153" spans="2:14" ht="28.5" customHeight="1" x14ac:dyDescent="0.25">
      <c r="B153" s="1068" t="str">
        <f>"per 31/12/"&amp;$G$13</f>
        <v>per 31/12/2015</v>
      </c>
      <c r="C153" s="1069"/>
      <c r="D153" s="1069"/>
      <c r="E153" s="1070"/>
      <c r="F153" s="162"/>
      <c r="G153" s="687">
        <f>+$G$22+G81</f>
        <v>0</v>
      </c>
      <c r="H153" s="684"/>
      <c r="I153" s="684"/>
      <c r="J153" s="684"/>
      <c r="K153" s="684"/>
      <c r="L153" s="684"/>
      <c r="M153" s="394">
        <v>2016</v>
      </c>
      <c r="N153" s="679">
        <f t="shared" ref="N153:N158" si="18">SUM(G153:L153)</f>
        <v>0</v>
      </c>
    </row>
    <row r="154" spans="2:14" ht="28.5" customHeight="1" x14ac:dyDescent="0.25">
      <c r="B154" s="1068" t="str">
        <f>"per 31/12/"&amp;$H$13</f>
        <v>per 31/12/2016</v>
      </c>
      <c r="C154" s="1069"/>
      <c r="D154" s="1069"/>
      <c r="E154" s="1070"/>
      <c r="F154" s="162"/>
      <c r="G154" s="684">
        <f>+G153+G82</f>
        <v>0</v>
      </c>
      <c r="H154" s="684">
        <f>+H22+H82</f>
        <v>0</v>
      </c>
      <c r="I154" s="684"/>
      <c r="J154" s="684"/>
      <c r="K154" s="684"/>
      <c r="L154" s="684"/>
      <c r="M154" s="394">
        <v>2017</v>
      </c>
      <c r="N154" s="679">
        <f t="shared" si="18"/>
        <v>0</v>
      </c>
    </row>
    <row r="155" spans="2:14" ht="28.5" customHeight="1" x14ac:dyDescent="0.25">
      <c r="B155" s="1068" t="str">
        <f>"per 31/12/"&amp;$I$13</f>
        <v>per 31/12/2017</v>
      </c>
      <c r="C155" s="1069"/>
      <c r="D155" s="1069"/>
      <c r="E155" s="1070"/>
      <c r="F155" s="162"/>
      <c r="G155" s="684">
        <f>+G154+G83</f>
        <v>0</v>
      </c>
      <c r="H155" s="684">
        <f>+H154+H83</f>
        <v>0</v>
      </c>
      <c r="I155" s="684">
        <f>+I22+I83</f>
        <v>0</v>
      </c>
      <c r="J155" s="684"/>
      <c r="K155" s="684"/>
      <c r="L155" s="684"/>
      <c r="M155" s="394">
        <v>2018</v>
      </c>
      <c r="N155" s="679">
        <f t="shared" si="18"/>
        <v>0</v>
      </c>
    </row>
    <row r="156" spans="2:14" ht="28.5" customHeight="1" x14ac:dyDescent="0.25">
      <c r="B156" s="1068" t="str">
        <f>"per 31/12/"&amp;$J$13</f>
        <v>per 31/12/2018</v>
      </c>
      <c r="C156" s="1069"/>
      <c r="D156" s="1069"/>
      <c r="E156" s="1070"/>
      <c r="F156" s="162"/>
      <c r="G156" s="684">
        <f>+G155+G84</f>
        <v>0</v>
      </c>
      <c r="H156" s="684">
        <f>+H155+H84</f>
        <v>0</v>
      </c>
      <c r="I156" s="684">
        <f>+I155+I84</f>
        <v>0</v>
      </c>
      <c r="J156" s="684">
        <f>+J22+J84</f>
        <v>0</v>
      </c>
      <c r="K156" s="684"/>
      <c r="L156" s="684"/>
      <c r="M156" s="394">
        <v>2019</v>
      </c>
      <c r="N156" s="679">
        <f t="shared" si="18"/>
        <v>0</v>
      </c>
    </row>
    <row r="157" spans="2:14" ht="28.5" customHeight="1" x14ac:dyDescent="0.25">
      <c r="B157" s="1068" t="str">
        <f>"per 31/12/"&amp;$K$13</f>
        <v>per 31/12/2019</v>
      </c>
      <c r="C157" s="1069"/>
      <c r="D157" s="1069"/>
      <c r="E157" s="1070"/>
      <c r="F157" s="162"/>
      <c r="G157" s="684">
        <f>+G156+G85</f>
        <v>0</v>
      </c>
      <c r="H157" s="684">
        <f>+H156+H85</f>
        <v>0</v>
      </c>
      <c r="I157" s="684">
        <f>+I156+I85</f>
        <v>0</v>
      </c>
      <c r="J157" s="684">
        <f>+J156+J85</f>
        <v>0</v>
      </c>
      <c r="K157" s="684">
        <f>+K22+K85</f>
        <v>0</v>
      </c>
      <c r="L157" s="684"/>
      <c r="M157" s="394">
        <v>2020</v>
      </c>
      <c r="N157" s="679">
        <f t="shared" si="18"/>
        <v>0</v>
      </c>
    </row>
    <row r="158" spans="2:14" ht="28.5" customHeight="1" x14ac:dyDescent="0.25">
      <c r="B158" s="1068" t="str">
        <f>"per 31/12/"&amp;$L$13</f>
        <v>per 31/12/2020</v>
      </c>
      <c r="C158" s="1069"/>
      <c r="D158" s="1069"/>
      <c r="E158" s="1070"/>
      <c r="F158" s="162"/>
      <c r="G158" s="684">
        <f>+G157+G86</f>
        <v>0</v>
      </c>
      <c r="H158" s="684">
        <f>+H157+H86</f>
        <v>0</v>
      </c>
      <c r="I158" s="684">
        <f>+I157+I86</f>
        <v>0</v>
      </c>
      <c r="J158" s="684">
        <f>+J157+J86</f>
        <v>0</v>
      </c>
      <c r="K158" s="684">
        <f>+K157+K86</f>
        <v>0</v>
      </c>
      <c r="L158" s="684">
        <f>+L22+L86</f>
        <v>0</v>
      </c>
      <c r="M158" s="394">
        <v>2021</v>
      </c>
      <c r="N158" s="679">
        <f t="shared" si="18"/>
        <v>0</v>
      </c>
    </row>
    <row r="159" spans="2:14" ht="13" x14ac:dyDescent="0.3">
      <c r="G159" s="680"/>
      <c r="H159" s="680"/>
      <c r="I159" s="680"/>
      <c r="J159" s="680"/>
      <c r="K159" s="680"/>
      <c r="L159" s="680"/>
      <c r="N159" s="845"/>
    </row>
    <row r="160" spans="2:14" s="381" customFormat="1" ht="13" x14ac:dyDescent="0.3">
      <c r="B160" s="865"/>
      <c r="C160" s="862"/>
      <c r="D160" s="862"/>
      <c r="E160" s="863"/>
      <c r="F160" s="864"/>
      <c r="G160" s="857">
        <v>2015</v>
      </c>
      <c r="H160" s="675">
        <f>+G160+1</f>
        <v>2016</v>
      </c>
      <c r="I160" s="675">
        <f>+H160+1</f>
        <v>2017</v>
      </c>
      <c r="J160" s="675">
        <f>+I160+1</f>
        <v>2018</v>
      </c>
      <c r="K160" s="675">
        <f>+J160+1</f>
        <v>2019</v>
      </c>
      <c r="L160" s="675">
        <f>+K160+1</f>
        <v>2020</v>
      </c>
      <c r="M160" s="483"/>
      <c r="N160" s="675" t="s">
        <v>31</v>
      </c>
    </row>
    <row r="161" spans="1:14" s="685" customFormat="1" ht="20.25" customHeight="1" x14ac:dyDescent="0.25">
      <c r="B161" s="1071" t="s">
        <v>336</v>
      </c>
      <c r="C161" s="1072"/>
      <c r="D161" s="1072"/>
      <c r="E161" s="1073"/>
      <c r="F161" s="695"/>
      <c r="G161" s="696"/>
      <c r="H161" s="696"/>
      <c r="I161" s="696"/>
      <c r="J161" s="696"/>
      <c r="K161" s="696"/>
      <c r="L161" s="696"/>
      <c r="M161" s="847"/>
      <c r="N161" s="696"/>
    </row>
    <row r="162" spans="1:14" ht="28.5" customHeight="1" x14ac:dyDescent="0.25">
      <c r="A162" s="394">
        <v>2015</v>
      </c>
      <c r="B162" s="1063" t="str">
        <f>"per 31/12/"&amp;$G$13</f>
        <v>per 31/12/2015</v>
      </c>
      <c r="C162" s="1064"/>
      <c r="D162" s="1064"/>
      <c r="E162" s="1065"/>
      <c r="F162" s="697"/>
      <c r="G162" s="698">
        <f>SUM(G104,G111,G118,G125,G132,G139,G146,G153)</f>
        <v>0</v>
      </c>
      <c r="H162" s="698"/>
      <c r="I162" s="698"/>
      <c r="J162" s="698"/>
      <c r="K162" s="698"/>
      <c r="L162" s="698"/>
      <c r="M162" s="394">
        <v>2016</v>
      </c>
      <c r="N162" s="844">
        <f t="shared" ref="N162:N167" si="19">SUM(N104,N111,N118,N125,N132,N139,N146,N153)</f>
        <v>0</v>
      </c>
    </row>
    <row r="163" spans="1:14" ht="28.5" customHeight="1" x14ac:dyDescent="0.25">
      <c r="A163" s="394">
        <v>2016</v>
      </c>
      <c r="B163" s="1063" t="str">
        <f>"per 31/12/"&amp;$H$13</f>
        <v>per 31/12/2016</v>
      </c>
      <c r="C163" s="1064"/>
      <c r="D163" s="1064"/>
      <c r="E163" s="1065"/>
      <c r="F163" s="697"/>
      <c r="G163" s="698">
        <f>SUM(G105,G112,G119,G126,G133,G140,G147,G154)</f>
        <v>0</v>
      </c>
      <c r="H163" s="698">
        <f>SUM(H105,H112,H119,H126,H133,H140,H147,H154)</f>
        <v>0</v>
      </c>
      <c r="I163" s="698"/>
      <c r="J163" s="698"/>
      <c r="K163" s="698"/>
      <c r="L163" s="698"/>
      <c r="M163" s="394">
        <v>2017</v>
      </c>
      <c r="N163" s="844">
        <f t="shared" si="19"/>
        <v>0</v>
      </c>
    </row>
    <row r="164" spans="1:14" ht="28.5" customHeight="1" x14ac:dyDescent="0.25">
      <c r="A164" s="394">
        <v>2017</v>
      </c>
      <c r="B164" s="1063" t="str">
        <f>"per 31/12/"&amp;$I$13</f>
        <v>per 31/12/2017</v>
      </c>
      <c r="C164" s="1064"/>
      <c r="D164" s="1064"/>
      <c r="E164" s="1065"/>
      <c r="F164" s="697"/>
      <c r="G164" s="698">
        <f>SUM(G106,G113,G120,G127,G134,G141,G148,G155)</f>
        <v>0</v>
      </c>
      <c r="H164" s="698">
        <f>SUM(H106,H113,H120,H127,H134,H141,H148,H155)</f>
        <v>0</v>
      </c>
      <c r="I164" s="698">
        <f>SUM(I106,I113,I120,I127,I134,I141,I148,I155)</f>
        <v>0</v>
      </c>
      <c r="J164" s="698"/>
      <c r="K164" s="698"/>
      <c r="L164" s="698"/>
      <c r="M164" s="394">
        <v>2018</v>
      </c>
      <c r="N164" s="844">
        <f t="shared" si="19"/>
        <v>0</v>
      </c>
    </row>
    <row r="165" spans="1:14" ht="28.5" customHeight="1" x14ac:dyDescent="0.25">
      <c r="A165" s="394">
        <v>2018</v>
      </c>
      <c r="B165" s="1063" t="str">
        <f>"per 31/12/"&amp;$J$13</f>
        <v>per 31/12/2018</v>
      </c>
      <c r="C165" s="1064"/>
      <c r="D165" s="1064"/>
      <c r="E165" s="1065"/>
      <c r="F165" s="697"/>
      <c r="G165" s="698">
        <f>SUM(G107,G114,G121,G128,G135,G142,G149,G156)</f>
        <v>0</v>
      </c>
      <c r="H165" s="698">
        <f>SUM(H107,H114,H121,H128,H135,H142,H149,H156)</f>
        <v>0</v>
      </c>
      <c r="I165" s="698">
        <f>SUM(I107,I114,I121,I128,I135,I142,I149,I156)</f>
        <v>0</v>
      </c>
      <c r="J165" s="698">
        <f>SUM(J107,J114,J121,J128,J135,J142,J149,J156)</f>
        <v>0</v>
      </c>
      <c r="K165" s="698"/>
      <c r="L165" s="698"/>
      <c r="M165" s="394">
        <v>2019</v>
      </c>
      <c r="N165" s="844">
        <f t="shared" si="19"/>
        <v>0</v>
      </c>
    </row>
    <row r="166" spans="1:14" ht="28.5" customHeight="1" x14ac:dyDescent="0.25">
      <c r="A166" s="394">
        <v>2019</v>
      </c>
      <c r="B166" s="1063" t="str">
        <f>"per 31/12/"&amp;$K$13</f>
        <v>per 31/12/2019</v>
      </c>
      <c r="C166" s="1064"/>
      <c r="D166" s="1064"/>
      <c r="E166" s="1065"/>
      <c r="F166" s="697"/>
      <c r="G166" s="698">
        <f>SUM(G108,G115,G122,G129,G136,G143,G150,G157)</f>
        <v>0</v>
      </c>
      <c r="H166" s="698">
        <f>SUM(H108,H115,H122,H129,H136,H143,H150,H157)</f>
        <v>0</v>
      </c>
      <c r="I166" s="698">
        <f>SUM(I108,I115,I122,I129,I136,I143,I150,I157)</f>
        <v>0</v>
      </c>
      <c r="J166" s="698">
        <f>SUM(J108,J115,J122,J129,J136,J143,J150,J157)</f>
        <v>0</v>
      </c>
      <c r="K166" s="698">
        <f>SUM(K108,K115,K122,K129,K136,K143,K150,K157)</f>
        <v>0</v>
      </c>
      <c r="L166" s="698"/>
      <c r="M166" s="394">
        <v>2020</v>
      </c>
      <c r="N166" s="844">
        <f t="shared" si="19"/>
        <v>0</v>
      </c>
    </row>
    <row r="167" spans="1:14" ht="28.5" customHeight="1" x14ac:dyDescent="0.25">
      <c r="A167" s="394">
        <v>2020</v>
      </c>
      <c r="B167" s="1063" t="str">
        <f>"per 31/12/"&amp;$L$13</f>
        <v>per 31/12/2020</v>
      </c>
      <c r="C167" s="1064"/>
      <c r="D167" s="1064"/>
      <c r="E167" s="1065"/>
      <c r="F167" s="697"/>
      <c r="G167" s="698">
        <f t="shared" ref="G167:L167" si="20">SUM(G109,G116,G123,G130,G137,G144,G151,G158)</f>
        <v>0</v>
      </c>
      <c r="H167" s="698">
        <f t="shared" si="20"/>
        <v>0</v>
      </c>
      <c r="I167" s="698">
        <f t="shared" si="20"/>
        <v>0</v>
      </c>
      <c r="J167" s="698">
        <f t="shared" si="20"/>
        <v>0</v>
      </c>
      <c r="K167" s="698">
        <f t="shared" si="20"/>
        <v>0</v>
      </c>
      <c r="L167" s="698">
        <f t="shared" si="20"/>
        <v>0</v>
      </c>
      <c r="M167" s="394">
        <v>2021</v>
      </c>
      <c r="N167" s="844">
        <f t="shared" si="19"/>
        <v>0</v>
      </c>
    </row>
    <row r="168" spans="1:14" s="381" customFormat="1" ht="13" x14ac:dyDescent="0.3">
      <c r="B168" s="1066" t="s">
        <v>242</v>
      </c>
      <c r="C168" s="1066"/>
      <c r="D168" s="1066"/>
      <c r="E168" s="1066"/>
      <c r="G168" s="694">
        <f>(VLOOKUP($D$2,A162:G167,7,FALSE))-T4A!C28</f>
        <v>0</v>
      </c>
      <c r="H168" s="694">
        <f>(VLOOKUP($D$2,A162:H167,8,FALSE))-T4A!D28</f>
        <v>0</v>
      </c>
      <c r="I168" s="694">
        <f>(VLOOKUP($D$2,A162:I167,9,FALSE))-T4A!E28</f>
        <v>0</v>
      </c>
      <c r="J168" s="694">
        <f>(VLOOKUP(D2,A162:J167,10,FALSE))-T4A!F28</f>
        <v>0</v>
      </c>
      <c r="K168" s="694">
        <f>(VLOOKUP(D2,A162:K167,11,FALSE))-T4A!G28</f>
        <v>0</v>
      </c>
      <c r="L168" s="694">
        <f>(VLOOKUP(D2,A162:L167,12,FALSE))-T4A!H28</f>
        <v>0</v>
      </c>
      <c r="M168" s="848"/>
      <c r="N168" s="694">
        <f>(VLOOKUP(D2,A162:N167,14,FALSE))-T4A!J28</f>
        <v>0</v>
      </c>
    </row>
    <row r="169" spans="1:14" ht="13" x14ac:dyDescent="0.3">
      <c r="B169" s="390"/>
      <c r="C169" s="390"/>
      <c r="D169" s="390"/>
      <c r="E169" s="390"/>
      <c r="F169" s="391"/>
      <c r="G169" s="392"/>
      <c r="H169" s="392"/>
      <c r="I169" s="392"/>
      <c r="J169" s="392"/>
      <c r="K169" s="392"/>
      <c r="L169" s="392"/>
      <c r="N169" s="392"/>
    </row>
    <row r="170" spans="1:14" ht="13" x14ac:dyDescent="0.3">
      <c r="B170" s="390"/>
      <c r="C170" s="390"/>
      <c r="D170" s="390"/>
      <c r="E170" s="390"/>
      <c r="F170" s="391"/>
      <c r="G170" s="392"/>
      <c r="H170" s="392"/>
      <c r="I170" s="392"/>
      <c r="J170" s="392"/>
      <c r="K170" s="392"/>
      <c r="L170" s="392"/>
      <c r="N170" s="392"/>
    </row>
    <row r="171" spans="1:14" ht="13" x14ac:dyDescent="0.3">
      <c r="B171" s="390"/>
      <c r="C171" s="390"/>
      <c r="D171" s="390"/>
      <c r="E171" s="390"/>
      <c r="F171" s="391"/>
      <c r="G171" s="435" t="s">
        <v>56</v>
      </c>
      <c r="H171" s="392"/>
      <c r="I171" s="392"/>
      <c r="J171" s="392"/>
      <c r="K171" s="392"/>
      <c r="L171" s="392"/>
      <c r="N171" s="392"/>
    </row>
    <row r="172" spans="1:14" ht="13" x14ac:dyDescent="0.3">
      <c r="G172" s="435" t="s">
        <v>57</v>
      </c>
      <c r="H172" s="392"/>
      <c r="I172" s="392"/>
      <c r="J172" s="392"/>
    </row>
    <row r="173" spans="1:14" ht="104.25" customHeight="1" x14ac:dyDescent="0.3">
      <c r="B173" s="1089" t="s">
        <v>130</v>
      </c>
      <c r="C173" s="1090"/>
      <c r="D173" s="1090"/>
      <c r="E173" s="1091"/>
      <c r="F173" s="162"/>
      <c r="G173" s="907" t="str">
        <f>"Afbouw van het regulatoir saldo inzake exogene kosten m.b.t. distributienettarieven op te nemen in het toegelaten inkomen voor boekjaar "&amp;D2&amp;", en dit conform de bepalingen in de tariefmethodologie omtrent de afbouw van het betreffende regulatoir saldo"</f>
        <v>Afbouw van het regulatoir saldo inzake exogene kosten m.b.t. distributienettarieven op te nemen in het toegelaten inkomen voor boekjaar 2019, en dit conform de bepalingen in de tariefmethodologie omtrent de afbouw van het betreffende regulatoir saldo</v>
      </c>
      <c r="H173" s="392"/>
      <c r="I173" s="392"/>
      <c r="J173" s="392"/>
    </row>
    <row r="174" spans="1:14" ht="13" x14ac:dyDescent="0.3">
      <c r="B174" s="910"/>
      <c r="C174" s="384"/>
      <c r="D174" s="384"/>
      <c r="E174" s="384"/>
      <c r="F174" s="385"/>
      <c r="G174" s="911"/>
      <c r="H174" s="392"/>
      <c r="I174" s="392"/>
      <c r="J174" s="392"/>
    </row>
    <row r="175" spans="1:14" s="685" customFormat="1" ht="28.5" customHeight="1" x14ac:dyDescent="0.3">
      <c r="B175" s="1081" t="s">
        <v>131</v>
      </c>
      <c r="C175" s="1081"/>
      <c r="D175" s="1081"/>
      <c r="E175" s="1081"/>
      <c r="F175" s="688"/>
      <c r="G175" s="684">
        <f>VLOOKUP($D$2,B221:C224,2,FALSE)</f>
        <v>0</v>
      </c>
      <c r="H175" s="392"/>
      <c r="I175" s="392"/>
      <c r="J175" s="392"/>
      <c r="M175" s="847"/>
    </row>
    <row r="176" spans="1:14" s="685" customFormat="1" ht="18.75" customHeight="1" x14ac:dyDescent="0.3">
      <c r="B176" s="1081" t="s">
        <v>132</v>
      </c>
      <c r="C176" s="1081"/>
      <c r="D176" s="1081"/>
      <c r="E176" s="1081"/>
      <c r="F176" s="688"/>
      <c r="G176" s="684">
        <f>VLOOKUP($D$2,B261:C264,2,FALSE)</f>
        <v>0</v>
      </c>
      <c r="H176" s="392"/>
      <c r="I176" s="392"/>
      <c r="J176" s="392"/>
      <c r="M176" s="847"/>
    </row>
    <row r="177" spans="2:14" s="685" customFormat="1" ht="19.5" customHeight="1" x14ac:dyDescent="0.3">
      <c r="B177" s="1081" t="s">
        <v>138</v>
      </c>
      <c r="C177" s="1081"/>
      <c r="D177" s="1081"/>
      <c r="E177" s="1081"/>
      <c r="F177" s="688"/>
      <c r="G177" s="684">
        <f>VLOOKUP($D$2,B301:C304,2,FALSE)</f>
        <v>0</v>
      </c>
      <c r="H177" s="392"/>
      <c r="I177" s="392"/>
      <c r="J177" s="392"/>
      <c r="M177" s="847"/>
    </row>
    <row r="178" spans="2:14" s="685" customFormat="1" ht="17.25" customHeight="1" x14ac:dyDescent="0.3">
      <c r="B178" s="1081" t="s">
        <v>133</v>
      </c>
      <c r="C178" s="1081"/>
      <c r="D178" s="1081"/>
      <c r="E178" s="1081"/>
      <c r="F178" s="688"/>
      <c r="G178" s="684">
        <f>VLOOKUP($D$2,B341:C344,2,FALSE)</f>
        <v>0</v>
      </c>
      <c r="H178" s="392"/>
      <c r="I178" s="392"/>
      <c r="J178" s="392"/>
      <c r="M178" s="847"/>
    </row>
    <row r="179" spans="2:14" s="685" customFormat="1" ht="29.25" customHeight="1" x14ac:dyDescent="0.3">
      <c r="B179" s="1081" t="s">
        <v>239</v>
      </c>
      <c r="C179" s="1081"/>
      <c r="D179" s="1081"/>
      <c r="E179" s="1081"/>
      <c r="F179" s="688"/>
      <c r="G179" s="684">
        <f>VLOOKUP($D$2,B381:C384,2,FALSE)</f>
        <v>0</v>
      </c>
      <c r="H179" s="392"/>
      <c r="I179" s="392"/>
      <c r="J179" s="392"/>
      <c r="M179" s="847"/>
    </row>
    <row r="180" spans="2:14" s="685" customFormat="1" ht="19.5" customHeight="1" x14ac:dyDescent="0.3">
      <c r="B180" s="1081" t="s">
        <v>237</v>
      </c>
      <c r="C180" s="1081"/>
      <c r="D180" s="1081"/>
      <c r="E180" s="1081"/>
      <c r="F180" s="688"/>
      <c r="G180" s="684">
        <f>VLOOKUP($D$2,B421:C424,2,FALSE)</f>
        <v>0</v>
      </c>
      <c r="H180" s="392"/>
      <c r="I180" s="392"/>
      <c r="J180" s="392"/>
      <c r="M180" s="847"/>
    </row>
    <row r="181" spans="2:14" s="685" customFormat="1" ht="29.25" customHeight="1" x14ac:dyDescent="0.3">
      <c r="B181" s="1081" t="s">
        <v>287</v>
      </c>
      <c r="C181" s="1081"/>
      <c r="D181" s="1081"/>
      <c r="E181" s="1081"/>
      <c r="F181" s="688"/>
      <c r="G181" s="684">
        <f>VLOOKUP($D$2,B461:C464,2,FALSE)</f>
        <v>0</v>
      </c>
      <c r="H181" s="392"/>
      <c r="I181" s="392"/>
      <c r="J181" s="392"/>
      <c r="M181" s="847"/>
    </row>
    <row r="182" spans="2:14" s="685" customFormat="1" ht="27" customHeight="1" x14ac:dyDescent="0.3">
      <c r="B182" s="1081" t="s">
        <v>134</v>
      </c>
      <c r="C182" s="1081"/>
      <c r="D182" s="1081"/>
      <c r="E182" s="1081"/>
      <c r="F182" s="688"/>
      <c r="G182" s="684">
        <f>VLOOKUP($D$2,B501:C504,2,FALSE)</f>
        <v>0</v>
      </c>
      <c r="H182" s="392"/>
      <c r="I182" s="392"/>
      <c r="J182" s="392"/>
      <c r="M182" s="847"/>
    </row>
    <row r="183" spans="2:14" ht="13" x14ac:dyDescent="0.3">
      <c r="H183" s="392"/>
      <c r="I183" s="392"/>
      <c r="J183" s="392"/>
    </row>
    <row r="184" spans="2:14" ht="13" x14ac:dyDescent="0.3">
      <c r="B184" s="1086" t="s">
        <v>33</v>
      </c>
      <c r="C184" s="1087"/>
      <c r="D184" s="1087"/>
      <c r="E184" s="1088"/>
      <c r="F184" s="389"/>
      <c r="G184" s="690">
        <f>SUM(G175:G182)</f>
        <v>0</v>
      </c>
      <c r="H184" s="392"/>
      <c r="I184" s="392"/>
      <c r="J184" s="392"/>
    </row>
    <row r="185" spans="2:14" x14ac:dyDescent="0.25">
      <c r="M185" s="610"/>
    </row>
    <row r="186" spans="2:14" x14ac:dyDescent="0.25">
      <c r="M186" s="610"/>
    </row>
    <row r="187" spans="2:14" ht="13" x14ac:dyDescent="0.3">
      <c r="B187" s="902" t="s">
        <v>131</v>
      </c>
      <c r="C187" s="903"/>
      <c r="D187" s="903"/>
      <c r="E187" s="903"/>
      <c r="F187" s="904"/>
      <c r="G187" s="904"/>
      <c r="H187" s="904"/>
      <c r="I187" s="904"/>
      <c r="J187" s="904"/>
      <c r="K187" s="904"/>
      <c r="L187" s="904"/>
      <c r="M187" s="905"/>
      <c r="N187" s="904"/>
    </row>
    <row r="188" spans="2:14" x14ac:dyDescent="0.25">
      <c r="M188" s="610"/>
    </row>
    <row r="189" spans="2:14" ht="13" x14ac:dyDescent="0.3">
      <c r="B189" s="18" t="s">
        <v>362</v>
      </c>
      <c r="F189" s="895">
        <v>2017</v>
      </c>
      <c r="M189" s="610"/>
    </row>
    <row r="190" spans="2:14" x14ac:dyDescent="0.25">
      <c r="L190" s="610"/>
      <c r="M190" s="20"/>
    </row>
    <row r="191" spans="2:14" ht="82.5" customHeight="1" x14ac:dyDescent="0.25">
      <c r="B191" s="1060" t="s">
        <v>363</v>
      </c>
      <c r="C191" s="1061"/>
      <c r="D191" s="1061"/>
      <c r="E191" s="1062"/>
      <c r="F191" s="599"/>
      <c r="G191" s="675" t="str">
        <f>"Nog af te bouwen regulatoir saldo einde "&amp;F189-1</f>
        <v>Nog af te bouwen regulatoir saldo einde 2016</v>
      </c>
      <c r="H191" s="675" t="str">
        <f>"Afbouw oudste openstaande regulatoir saldo vanaf boekjaar "&amp;F189-3&amp;" en vroeger, door aanwending van compensatie met regulatoir saldo ontstaan over boekjaar "&amp;F189-2</f>
        <v>Afbouw oudste openstaande regulatoir saldo vanaf boekjaar 2014 en vroeger, door aanwending van compensatie met regulatoir saldo ontstaan over boekjaar 2015</v>
      </c>
      <c r="I191" s="675" t="str">
        <f>"Nog af te bouwen regulatoir saldo na compensatie einde "&amp;F189-1</f>
        <v>Nog af te bouwen regulatoir saldo na compensatie einde 2016</v>
      </c>
      <c r="J191" s="675" t="str">
        <f>"Aanwending van 60% van het geaccumuleerd regulatoir saldo door te rekenen volgens de tariefmethodologie in het boekjaar "&amp;F189</f>
        <v>Aanwending van 60% van het geaccumuleerd regulatoir saldo door te rekenen volgens de tariefmethodologie in het boekjaar 2017</v>
      </c>
      <c r="K191" s="675" t="str">
        <f>"Nog af te bouwen regulatoir saldo einde "&amp;F189</f>
        <v>Nog af te bouwen regulatoir saldo einde 2017</v>
      </c>
      <c r="L191" s="610"/>
      <c r="M191" s="20"/>
    </row>
    <row r="192" spans="2:14" ht="13" x14ac:dyDescent="0.25">
      <c r="B192" s="1057">
        <v>2015</v>
      </c>
      <c r="C192" s="1058"/>
      <c r="D192" s="1058"/>
      <c r="E192" s="1059"/>
      <c r="F192" s="896"/>
      <c r="G192" s="839">
        <f>G105</f>
        <v>0</v>
      </c>
      <c r="H192" s="897">
        <v>0</v>
      </c>
      <c r="I192" s="839">
        <f>+G192+H192</f>
        <v>0</v>
      </c>
      <c r="J192" s="839">
        <f>-I192*0.6</f>
        <v>0</v>
      </c>
      <c r="K192" s="908">
        <f>+J192+G192</f>
        <v>0</v>
      </c>
      <c r="L192" s="610"/>
      <c r="M192" s="20"/>
    </row>
    <row r="193" spans="2:15" x14ac:dyDescent="0.25">
      <c r="L193" s="610"/>
      <c r="M193" s="20"/>
    </row>
    <row r="194" spans="2:15" ht="13" x14ac:dyDescent="0.3">
      <c r="B194" s="18" t="s">
        <v>362</v>
      </c>
      <c r="F194" s="895">
        <v>2018</v>
      </c>
      <c r="M194" s="610"/>
    </row>
    <row r="195" spans="2:15" x14ac:dyDescent="0.25">
      <c r="M195" s="610"/>
    </row>
    <row r="196" spans="2:15" ht="69.75" customHeight="1" x14ac:dyDescent="0.25">
      <c r="B196" s="1060" t="s">
        <v>363</v>
      </c>
      <c r="C196" s="1061"/>
      <c r="D196" s="1061"/>
      <c r="E196" s="1062"/>
      <c r="F196" s="599"/>
      <c r="G196" s="675" t="str">
        <f>"Nog af te bouwen regulatoir saldo einde "&amp;F194-1</f>
        <v>Nog af te bouwen regulatoir saldo einde 2017</v>
      </c>
      <c r="H196" s="675" t="str">
        <f>"Afbouw oudste openstaande regulatoir saldo vanaf boekjaar "&amp;F194-3&amp;" en vroeger, door aanwending van compensatie met regulatoir saldo ontstaan over boekjaar "&amp;F194-2</f>
        <v>Afbouw oudste openstaande regulatoir saldo vanaf boekjaar 2015 en vroeger, door aanwending van compensatie met regulatoir saldo ontstaan over boekjaar 2016</v>
      </c>
      <c r="I196" s="675" t="str">
        <f>"Nog af te bouwen regulatoir saldo na compensatie einde "&amp;F194-1</f>
        <v>Nog af te bouwen regulatoir saldo na compensatie einde 2017</v>
      </c>
      <c r="J196" s="675" t="str">
        <f>"60% van het geaccumuleerd regulatoir saldo door te rekenen volgens de tariefmethodologie in het boekjaar "&amp;F194</f>
        <v>60% van het geaccumuleerd regulatoir saldo door te rekenen volgens de tariefmethodologie in het boekjaar 2018</v>
      </c>
      <c r="K196" s="675" t="str">
        <f>"Aanwending van 60% van het geaccumuleerd regulatoir saldo door te rekenen volgens de tariefmethodologie in het boekjaar "&amp;F194</f>
        <v>Aanwending van 60% van het geaccumuleerd regulatoir saldo door te rekenen volgens de tariefmethodologie in het boekjaar 2018</v>
      </c>
      <c r="L196" s="675" t="str">
        <f>"Totale afbouw over "&amp;F194</f>
        <v>Totale afbouw over 2018</v>
      </c>
      <c r="M196" s="20"/>
      <c r="N196" s="675" t="str">
        <f>"Nog af te bouwen regulatoir saldo einde "&amp;F194</f>
        <v>Nog af te bouwen regulatoir saldo einde 2018</v>
      </c>
      <c r="O196" s="610"/>
    </row>
    <row r="197" spans="2:15" ht="13" x14ac:dyDescent="0.25">
      <c r="B197" s="1057">
        <v>2015</v>
      </c>
      <c r="C197" s="1058"/>
      <c r="D197" s="1058"/>
      <c r="E197" s="1059"/>
      <c r="F197" s="896"/>
      <c r="G197" s="839">
        <f>K192</f>
        <v>0</v>
      </c>
      <c r="H197" s="897">
        <f>IF(SIGN(G198*K192)&lt;0,IF(G197&lt;&gt;0,-SIGN(G197)*MIN(ABS(G198),ABS(G197)),0),0)</f>
        <v>0</v>
      </c>
      <c r="I197" s="839">
        <f>+G197+H197</f>
        <v>0</v>
      </c>
      <c r="J197" s="698"/>
      <c r="K197" s="897">
        <f>-MIN(ABS(I197),ABS(J199))*SIGN(I197)</f>
        <v>0</v>
      </c>
      <c r="L197" s="898">
        <f>+K197+H197</f>
        <v>0</v>
      </c>
      <c r="M197" s="20"/>
      <c r="N197" s="839">
        <f>+I197+K197</f>
        <v>0</v>
      </c>
      <c r="O197" s="610"/>
    </row>
    <row r="198" spans="2:15" ht="13" x14ac:dyDescent="0.25">
      <c r="B198" s="1057">
        <v>2016</v>
      </c>
      <c r="C198" s="1058"/>
      <c r="D198" s="1058"/>
      <c r="E198" s="1059"/>
      <c r="F198" s="896"/>
      <c r="G198" s="839">
        <f>H106</f>
        <v>0</v>
      </c>
      <c r="H198" s="898">
        <f>IF(SIGN(G198*K192)&lt;0,-H197,0)</f>
        <v>0</v>
      </c>
      <c r="I198" s="839">
        <f>+G198+H198</f>
        <v>0</v>
      </c>
      <c r="J198" s="698"/>
      <c r="K198" s="897">
        <f>-MIN(ABS(I198),ABS(J199-K197))*SIGN(I198)</f>
        <v>0</v>
      </c>
      <c r="L198" s="898">
        <f>+K198+H198</f>
        <v>0</v>
      </c>
      <c r="M198" s="20"/>
      <c r="N198" s="839">
        <f>+I198+K198</f>
        <v>0</v>
      </c>
      <c r="O198" s="610"/>
    </row>
    <row r="199" spans="2:15" s="18" customFormat="1" ht="13" x14ac:dyDescent="0.3">
      <c r="G199" s="899">
        <f>SUM(G197:G198)</f>
        <v>0</v>
      </c>
      <c r="H199" s="899">
        <f>SUM(H197:H198)</f>
        <v>0</v>
      </c>
      <c r="I199" s="899">
        <f>SUM(I197:I198)</f>
        <v>0</v>
      </c>
      <c r="J199" s="899">
        <f>-I199*0.6</f>
        <v>0</v>
      </c>
      <c r="K199" s="900">
        <f>SUM(K197:K198)</f>
        <v>0</v>
      </c>
      <c r="L199" s="901"/>
      <c r="N199" s="899">
        <f>SUM(N197:N198)</f>
        <v>0</v>
      </c>
    </row>
    <row r="200" spans="2:15" x14ac:dyDescent="0.25">
      <c r="M200" s="610"/>
    </row>
    <row r="201" spans="2:15" ht="13" x14ac:dyDescent="0.3">
      <c r="B201" s="18" t="s">
        <v>362</v>
      </c>
      <c r="F201" s="895">
        <v>2019</v>
      </c>
      <c r="M201" s="20"/>
    </row>
    <row r="202" spans="2:15" x14ac:dyDescent="0.25">
      <c r="M202" s="20"/>
    </row>
    <row r="203" spans="2:15" ht="75.75" customHeight="1" x14ac:dyDescent="0.25">
      <c r="B203" s="1060" t="s">
        <v>363</v>
      </c>
      <c r="C203" s="1061"/>
      <c r="D203" s="1061"/>
      <c r="E203" s="1062"/>
      <c r="F203" s="599"/>
      <c r="G203" s="675" t="str">
        <f>"Nog af te bouwen regulatoir saldo einde "&amp;F201-1</f>
        <v>Nog af te bouwen regulatoir saldo einde 2018</v>
      </c>
      <c r="H203" s="675" t="str">
        <f>"Afbouw oudste openstaande regulatoir saldo vanaf boekjaar "&amp;F201-3&amp;" en vroeger, door aanwending van compensatie met regulatoir saldo ontstaan over boekjaar "&amp;F201-2</f>
        <v>Afbouw oudste openstaande regulatoir saldo vanaf boekjaar 2016 en vroeger, door aanwending van compensatie met regulatoir saldo ontstaan over boekjaar 2017</v>
      </c>
      <c r="I203" s="675" t="str">
        <f>"Nog af te bouwen regulatoir saldo na compensatie einde "&amp;F201-1</f>
        <v>Nog af te bouwen regulatoir saldo na compensatie einde 2018</v>
      </c>
      <c r="J203" s="675" t="str">
        <f>"60% van het geaccumuleerd regulatoir saldo door te rekenen volgens de tariefmethodologie in het boekjaar "&amp;F201</f>
        <v>60% van het geaccumuleerd regulatoir saldo door te rekenen volgens de tariefmethodologie in het boekjaar 2019</v>
      </c>
      <c r="K203" s="675" t="str">
        <f>"Aanwending van het 60% van het geaccumuleerd regulatoir saldo door te rekenen volgens de tariefmethodologie in het boekjaar "&amp;F201</f>
        <v>Aanwending van het 60% van het geaccumuleerd regulatoir saldo door te rekenen volgens de tariefmethodologie in het boekjaar 2019</v>
      </c>
      <c r="L203" s="675" t="str">
        <f>"Totale afbouw over "&amp;F201</f>
        <v>Totale afbouw over 2019</v>
      </c>
      <c r="M203" s="20"/>
      <c r="N203" s="675" t="str">
        <f>"Nog af te bouwen regulatoir saldo einde "&amp;F201</f>
        <v>Nog af te bouwen regulatoir saldo einde 2019</v>
      </c>
      <c r="O203" s="610"/>
    </row>
    <row r="204" spans="2:15" ht="13" x14ac:dyDescent="0.25">
      <c r="B204" s="1057">
        <v>2015</v>
      </c>
      <c r="C204" s="1058"/>
      <c r="D204" s="1058"/>
      <c r="E204" s="1059"/>
      <c r="F204" s="896"/>
      <c r="G204" s="839">
        <f>+N197</f>
        <v>0</v>
      </c>
      <c r="H204" s="898">
        <f>IF(SIGN(G206*N199)&lt;0,IF(G204&lt;&gt;0,-SIGN(G204)*MIN(ABS(G206),ABS(G204)),0),0)</f>
        <v>0</v>
      </c>
      <c r="I204" s="839">
        <f>+G204+H204</f>
        <v>0</v>
      </c>
      <c r="J204" s="698"/>
      <c r="K204" s="897">
        <f>-MIN(ABS(I204),ABS(J207))*SIGN(I204)</f>
        <v>0</v>
      </c>
      <c r="L204" s="898">
        <f>+K204+H204</f>
        <v>0</v>
      </c>
      <c r="M204" s="20"/>
      <c r="N204" s="839">
        <f>+I204+K204</f>
        <v>0</v>
      </c>
      <c r="O204" s="610"/>
    </row>
    <row r="205" spans="2:15" ht="13" x14ac:dyDescent="0.25">
      <c r="B205" s="1057">
        <v>2016</v>
      </c>
      <c r="C205" s="1058"/>
      <c r="D205" s="1058">
        <v>2016</v>
      </c>
      <c r="E205" s="1059"/>
      <c r="F205" s="896"/>
      <c r="G205" s="839">
        <f>+N198</f>
        <v>0</v>
      </c>
      <c r="H205" s="898">
        <f>IF(SIGN(G206*N199)&lt;0,IF(G205&lt;&gt;0,-SIGN(G205)*MIN(ABS(G206-H204),ABS(G205)),0),0)</f>
        <v>0</v>
      </c>
      <c r="I205" s="839">
        <f>+G205+H205</f>
        <v>0</v>
      </c>
      <c r="J205" s="698"/>
      <c r="K205" s="897">
        <f>-MIN(ABS(I205),ABS(J207-K204))*SIGN(I205)</f>
        <v>0</v>
      </c>
      <c r="L205" s="898">
        <f>+K205+H205</f>
        <v>0</v>
      </c>
      <c r="M205" s="20"/>
      <c r="N205" s="839">
        <f>+I205+K205</f>
        <v>0</v>
      </c>
      <c r="O205" s="610"/>
    </row>
    <row r="206" spans="2:15" ht="13" x14ac:dyDescent="0.25">
      <c r="B206" s="1057">
        <v>2017</v>
      </c>
      <c r="C206" s="1058"/>
      <c r="D206" s="1058"/>
      <c r="E206" s="1059"/>
      <c r="F206" s="896"/>
      <c r="G206" s="839">
        <f>I107</f>
        <v>0</v>
      </c>
      <c r="H206" s="898">
        <f>IF(SIGN(G206*N199)&lt;0,-SUM(H204:H205),0)</f>
        <v>0</v>
      </c>
      <c r="I206" s="839">
        <f>+G206+H206</f>
        <v>0</v>
      </c>
      <c r="J206" s="698"/>
      <c r="K206" s="897">
        <f>-MIN(ABS(I206),ABS(J207-K204-K205))*SIGN(I206)</f>
        <v>0</v>
      </c>
      <c r="L206" s="898">
        <f>+K206+H206</f>
        <v>0</v>
      </c>
      <c r="M206" s="20"/>
      <c r="N206" s="839">
        <f>+I206+K206</f>
        <v>0</v>
      </c>
      <c r="O206" s="610"/>
    </row>
    <row r="207" spans="2:15" s="18" customFormat="1" ht="13" x14ac:dyDescent="0.3">
      <c r="G207" s="899">
        <f>SUM(G204:G206)</f>
        <v>0</v>
      </c>
      <c r="H207" s="899">
        <f>SUM(H204:H206)</f>
        <v>0</v>
      </c>
      <c r="I207" s="899">
        <f>SUM(I204:I206)</f>
        <v>0</v>
      </c>
      <c r="J207" s="899">
        <f>-I207*0.6</f>
        <v>0</v>
      </c>
      <c r="K207" s="900">
        <f>SUM(K204:K206)</f>
        <v>0</v>
      </c>
      <c r="L207" s="901"/>
      <c r="N207" s="899">
        <f>SUM(N204:N206)</f>
        <v>0</v>
      </c>
    </row>
    <row r="208" spans="2:15" x14ac:dyDescent="0.25">
      <c r="M208" s="610"/>
    </row>
    <row r="209" spans="2:15" ht="13" x14ac:dyDescent="0.3">
      <c r="B209" s="18" t="s">
        <v>362</v>
      </c>
      <c r="F209" s="895">
        <v>2020</v>
      </c>
      <c r="M209" s="20"/>
    </row>
    <row r="210" spans="2:15" x14ac:dyDescent="0.25">
      <c r="M210" s="20"/>
    </row>
    <row r="211" spans="2:15" ht="78" customHeight="1" x14ac:dyDescent="0.25">
      <c r="B211" s="1060" t="s">
        <v>363</v>
      </c>
      <c r="C211" s="1061"/>
      <c r="D211" s="1061"/>
      <c r="E211" s="1062"/>
      <c r="F211" s="599"/>
      <c r="G211" s="675" t="str">
        <f>"Nog af te bouwen regulatoir saldo einde "&amp;F209-1</f>
        <v>Nog af te bouwen regulatoir saldo einde 2019</v>
      </c>
      <c r="H211" s="675" t="str">
        <f>"Afbouw oudste openstaande regulatoir saldo vanaf boekjaar "&amp;F209-3&amp;" en vroeger, door aanwending van compensatie met regulatoir saldo ontstaan over boekjaar "&amp;F209-2</f>
        <v>Afbouw oudste openstaande regulatoir saldo vanaf boekjaar 2017 en vroeger, door aanwending van compensatie met regulatoir saldo ontstaan over boekjaar 2018</v>
      </c>
      <c r="I211" s="675" t="str">
        <f>"Nog af te bouwen regulatoir saldo na compensatie einde "&amp;F209-1</f>
        <v>Nog af te bouwen regulatoir saldo na compensatie einde 2019</v>
      </c>
      <c r="J211" s="675" t="str">
        <f>"60% van het geaccumuleerd regulatoir saldo door te rekenen volgens de tariefmethodologie in het boekjaar "&amp;F209</f>
        <v>60% van het geaccumuleerd regulatoir saldo door te rekenen volgens de tariefmethodologie in het boekjaar 2020</v>
      </c>
      <c r="K211" s="675" t="str">
        <f>"Aanwending van het 60% van het geaccumuleerd regulatoir saldo door te rekenen volgens de tariefmethodologie in het boekjaar "&amp;F209</f>
        <v>Aanwending van het 60% van het geaccumuleerd regulatoir saldo door te rekenen volgens de tariefmethodologie in het boekjaar 2020</v>
      </c>
      <c r="L211" s="675" t="str">
        <f>"Totale afbouw over "&amp;F209</f>
        <v>Totale afbouw over 2020</v>
      </c>
      <c r="M211" s="20"/>
      <c r="N211" s="675" t="str">
        <f>"Nog af te bouwen regulatoir saldo einde "&amp;F209</f>
        <v>Nog af te bouwen regulatoir saldo einde 2020</v>
      </c>
      <c r="O211" s="610"/>
    </row>
    <row r="212" spans="2:15" ht="13" x14ac:dyDescent="0.25">
      <c r="B212" s="1057">
        <v>2015</v>
      </c>
      <c r="C212" s="1058"/>
      <c r="D212" s="1058"/>
      <c r="E212" s="1059"/>
      <c r="F212" s="896"/>
      <c r="G212" s="839">
        <f>+N204</f>
        <v>0</v>
      </c>
      <c r="H212" s="898">
        <f>IF(SIGN(G215*N207)&lt;0,IF(G212&lt;&gt;0,-SIGN(G212)*MIN(ABS(G215),ABS(G212)),0),0)</f>
        <v>0</v>
      </c>
      <c r="I212" s="839">
        <f>+G212+H212</f>
        <v>0</v>
      </c>
      <c r="J212" s="698"/>
      <c r="K212" s="897">
        <f>-MIN(ABS(I212),ABS(J216))*SIGN(I212)</f>
        <v>0</v>
      </c>
      <c r="L212" s="898">
        <f>+K212+H212</f>
        <v>0</v>
      </c>
      <c r="M212" s="20"/>
      <c r="N212" s="839">
        <f>+I212+K212</f>
        <v>0</v>
      </c>
      <c r="O212" s="610"/>
    </row>
    <row r="213" spans="2:15" ht="13" x14ac:dyDescent="0.25">
      <c r="B213" s="1057">
        <v>2016</v>
      </c>
      <c r="C213" s="1058"/>
      <c r="D213" s="1058"/>
      <c r="E213" s="1059"/>
      <c r="F213" s="896"/>
      <c r="G213" s="839">
        <f>+N205</f>
        <v>0</v>
      </c>
      <c r="H213" s="898">
        <f>IF(SIGN(G215*N207)&lt;0,IF(G213&lt;&gt;0,-SIGN(G213)*MIN(ABS(G215-H212),ABS(G213)),0),0)</f>
        <v>0</v>
      </c>
      <c r="I213" s="839">
        <f>+G213+H213</f>
        <v>0</v>
      </c>
      <c r="J213" s="698"/>
      <c r="K213" s="897">
        <f>-MIN(ABS(I213),ABS(J216-K212))*SIGN(I213)</f>
        <v>0</v>
      </c>
      <c r="L213" s="898">
        <f>+K213+H213</f>
        <v>0</v>
      </c>
      <c r="M213" s="20"/>
      <c r="N213" s="839">
        <f>+I213+K213</f>
        <v>0</v>
      </c>
      <c r="O213" s="610"/>
    </row>
    <row r="214" spans="2:15" ht="13" x14ac:dyDescent="0.25">
      <c r="B214" s="1057">
        <v>2017</v>
      </c>
      <c r="C214" s="1058"/>
      <c r="D214" s="1058">
        <v>2016</v>
      </c>
      <c r="E214" s="1059"/>
      <c r="F214" s="896"/>
      <c r="G214" s="839">
        <f>+N206</f>
        <v>0</v>
      </c>
      <c r="H214" s="898">
        <f>IF(SIGN(G215*N207)&lt;0,IF(G214&lt;&gt;0,-SIGN(G214)*MIN(ABS(G215-H212-H213),ABS(G214)),0),0)</f>
        <v>0</v>
      </c>
      <c r="I214" s="839">
        <f>+G214+H214</f>
        <v>0</v>
      </c>
      <c r="J214" s="698"/>
      <c r="K214" s="897">
        <f>-MIN(ABS(I214),ABS(J216-K212-K213))*SIGN(I214)</f>
        <v>0</v>
      </c>
      <c r="L214" s="898">
        <f>+K214+H214</f>
        <v>0</v>
      </c>
      <c r="M214" s="20"/>
      <c r="N214" s="839">
        <f>+I214+K214</f>
        <v>0</v>
      </c>
      <c r="O214" s="610"/>
    </row>
    <row r="215" spans="2:15" ht="13" x14ac:dyDescent="0.25">
      <c r="B215" s="1057">
        <v>2018</v>
      </c>
      <c r="C215" s="1058"/>
      <c r="D215" s="1058"/>
      <c r="E215" s="1059"/>
      <c r="F215" s="896"/>
      <c r="G215" s="839">
        <f>J108</f>
        <v>0</v>
      </c>
      <c r="H215" s="898">
        <f>IF(SIGN(G215*N207)&lt;0,-SUM(H212:H214),0)</f>
        <v>0</v>
      </c>
      <c r="I215" s="839">
        <f>+G215+H215</f>
        <v>0</v>
      </c>
      <c r="J215" s="698"/>
      <c r="K215" s="897">
        <f>-MIN(ABS(I215),ABS(J216-K212-K213-K214))*SIGN(I215)</f>
        <v>0</v>
      </c>
      <c r="L215" s="898">
        <f>+K215+H215</f>
        <v>0</v>
      </c>
      <c r="M215" s="20"/>
      <c r="N215" s="839">
        <f>+I215+K215</f>
        <v>0</v>
      </c>
      <c r="O215" s="610"/>
    </row>
    <row r="216" spans="2:15" s="18" customFormat="1" ht="13" x14ac:dyDescent="0.3">
      <c r="G216" s="899">
        <f>SUM(G212:G215)</f>
        <v>0</v>
      </c>
      <c r="H216" s="899">
        <f>SUM(H212:H215)</f>
        <v>0</v>
      </c>
      <c r="I216" s="899">
        <f>SUM(I212:I215)</f>
        <v>0</v>
      </c>
      <c r="J216" s="899">
        <f>-I216*0.6</f>
        <v>0</v>
      </c>
      <c r="K216" s="900">
        <f>SUM(K212:K215)</f>
        <v>0</v>
      </c>
      <c r="L216" s="900"/>
      <c r="N216" s="899">
        <f>SUM(N212:N215)</f>
        <v>0</v>
      </c>
    </row>
    <row r="219" spans="2:15" ht="13" x14ac:dyDescent="0.3">
      <c r="B219" s="18" t="s">
        <v>364</v>
      </c>
      <c r="C219" s="381"/>
      <c r="D219" s="381"/>
      <c r="E219" s="381"/>
    </row>
    <row r="220" spans="2:15" ht="13" x14ac:dyDescent="0.3">
      <c r="B220" s="18"/>
      <c r="C220" s="381"/>
      <c r="D220" s="381"/>
      <c r="E220" s="381"/>
    </row>
    <row r="221" spans="2:15" ht="13" x14ac:dyDescent="0.3">
      <c r="B221" s="864">
        <f>F189</f>
        <v>2017</v>
      </c>
      <c r="C221" s="906">
        <f>J192</f>
        <v>0</v>
      </c>
      <c r="D221" s="381"/>
      <c r="E221" s="381"/>
    </row>
    <row r="222" spans="2:15" ht="13" x14ac:dyDescent="0.3">
      <c r="B222" s="864">
        <f>F194</f>
        <v>2018</v>
      </c>
      <c r="C222" s="906">
        <f>K199</f>
        <v>0</v>
      </c>
      <c r="D222" s="381"/>
      <c r="E222" s="381"/>
    </row>
    <row r="223" spans="2:15" ht="13" x14ac:dyDescent="0.3">
      <c r="B223" s="864">
        <f>F201</f>
        <v>2019</v>
      </c>
      <c r="C223" s="906">
        <f>K207</f>
        <v>0</v>
      </c>
      <c r="D223" s="381"/>
      <c r="E223" s="381"/>
    </row>
    <row r="224" spans="2:15" ht="13" x14ac:dyDescent="0.3">
      <c r="B224" s="864">
        <f>F209</f>
        <v>2020</v>
      </c>
      <c r="C224" s="906">
        <f>K216</f>
        <v>0</v>
      </c>
      <c r="D224" s="381"/>
      <c r="E224" s="381"/>
    </row>
    <row r="225" spans="2:15" x14ac:dyDescent="0.25">
      <c r="M225" s="610"/>
    </row>
    <row r="226" spans="2:15" x14ac:dyDescent="0.25">
      <c r="M226" s="610"/>
    </row>
    <row r="227" spans="2:15" ht="13" x14ac:dyDescent="0.3">
      <c r="B227" s="902" t="s">
        <v>132</v>
      </c>
      <c r="C227" s="903"/>
      <c r="D227" s="903"/>
      <c r="E227" s="903"/>
      <c r="F227" s="904"/>
      <c r="G227" s="904"/>
      <c r="H227" s="904"/>
      <c r="I227" s="904"/>
      <c r="J227" s="904"/>
      <c r="K227" s="904"/>
      <c r="L227" s="904"/>
      <c r="M227" s="905"/>
      <c r="N227" s="904"/>
    </row>
    <row r="228" spans="2:15" x14ac:dyDescent="0.25">
      <c r="M228" s="610"/>
    </row>
    <row r="229" spans="2:15" ht="13" x14ac:dyDescent="0.3">
      <c r="B229" s="18" t="s">
        <v>362</v>
      </c>
      <c r="F229" s="895">
        <v>2017</v>
      </c>
      <c r="M229" s="610"/>
    </row>
    <row r="230" spans="2:15" x14ac:dyDescent="0.25">
      <c r="L230" s="610"/>
      <c r="M230" s="20"/>
    </row>
    <row r="231" spans="2:15" ht="71.25" customHeight="1" x14ac:dyDescent="0.25">
      <c r="B231" s="1060" t="s">
        <v>363</v>
      </c>
      <c r="C231" s="1061"/>
      <c r="D231" s="1061"/>
      <c r="E231" s="1062"/>
      <c r="F231" s="599"/>
      <c r="G231" s="675" t="str">
        <f>"Nog af te bouwen regulatoir saldo einde "&amp;F229-1</f>
        <v>Nog af te bouwen regulatoir saldo einde 2016</v>
      </c>
      <c r="H231" s="675" t="str">
        <f>"Afbouw oudste openstaande regulatoir saldo vanaf boekjaar "&amp;F229-3&amp;" en vroeger, door aanwending van compensatie met regulatoir saldo ontstaan over boekjaar "&amp;F229-2</f>
        <v>Afbouw oudste openstaande regulatoir saldo vanaf boekjaar 2014 en vroeger, door aanwending van compensatie met regulatoir saldo ontstaan over boekjaar 2015</v>
      </c>
      <c r="I231" s="675" t="str">
        <f>"Nog af te bouwen regulatoir saldo na compensatie einde "&amp;F229-1</f>
        <v>Nog af te bouwen regulatoir saldo na compensatie einde 2016</v>
      </c>
      <c r="J231" s="675" t="str">
        <f>"Aanwending van 60% van het geaccumuleerd regulatoir saldo door te rekenen volgens de tariefmethodologie in het boekjaar "&amp;F229</f>
        <v>Aanwending van 60% van het geaccumuleerd regulatoir saldo door te rekenen volgens de tariefmethodologie in het boekjaar 2017</v>
      </c>
      <c r="K231" s="675" t="str">
        <f>"Nog af te bouwen regulatoir saldo einde "&amp;F229</f>
        <v>Nog af te bouwen regulatoir saldo einde 2017</v>
      </c>
      <c r="L231" s="610"/>
      <c r="M231" s="20"/>
    </row>
    <row r="232" spans="2:15" ht="13" x14ac:dyDescent="0.25">
      <c r="B232" s="1057">
        <v>2015</v>
      </c>
      <c r="C232" s="1058"/>
      <c r="D232" s="1058"/>
      <c r="E232" s="1059"/>
      <c r="F232" s="896"/>
      <c r="G232" s="839">
        <f>G112</f>
        <v>0</v>
      </c>
      <c r="H232" s="897">
        <v>0</v>
      </c>
      <c r="I232" s="839">
        <f>+G232+H232</f>
        <v>0</v>
      </c>
      <c r="J232" s="839">
        <f>-I232*0.6</f>
        <v>0</v>
      </c>
      <c r="K232" s="908">
        <f>+J232+G232</f>
        <v>0</v>
      </c>
      <c r="L232" s="610"/>
      <c r="M232" s="20"/>
    </row>
    <row r="233" spans="2:15" x14ac:dyDescent="0.25">
      <c r="L233" s="610"/>
      <c r="M233" s="20"/>
    </row>
    <row r="234" spans="2:15" ht="13" x14ac:dyDescent="0.3">
      <c r="B234" s="18" t="s">
        <v>362</v>
      </c>
      <c r="F234" s="895">
        <v>2018</v>
      </c>
      <c r="M234" s="610"/>
    </row>
    <row r="235" spans="2:15" x14ac:dyDescent="0.25">
      <c r="M235" s="610"/>
    </row>
    <row r="236" spans="2:15" ht="69.75" customHeight="1" x14ac:dyDescent="0.25">
      <c r="B236" s="1060" t="s">
        <v>363</v>
      </c>
      <c r="C236" s="1061"/>
      <c r="D236" s="1061"/>
      <c r="E236" s="1062"/>
      <c r="F236" s="599"/>
      <c r="G236" s="675" t="str">
        <f>"Nog af te bouwen regulatoir saldo einde "&amp;F234-1</f>
        <v>Nog af te bouwen regulatoir saldo einde 2017</v>
      </c>
      <c r="H236" s="675" t="str">
        <f>"Afbouw oudste openstaande regulatoir saldo vanaf boekjaar "&amp;F234-3&amp;" en vroeger, door aanwending van compensatie met regulatoir saldo ontstaan over boekjaar "&amp;F234-2</f>
        <v>Afbouw oudste openstaande regulatoir saldo vanaf boekjaar 2015 en vroeger, door aanwending van compensatie met regulatoir saldo ontstaan over boekjaar 2016</v>
      </c>
      <c r="I236" s="675" t="str">
        <f>"Nog af te bouwen regulatoir saldo na compensatie einde "&amp;F234-1</f>
        <v>Nog af te bouwen regulatoir saldo na compensatie einde 2017</v>
      </c>
      <c r="J236" s="675" t="str">
        <f>"60% van het geaccumuleerd regulatoir saldo door te rekenen volgens de tariefmethodologie in het boekjaar "&amp;F234</f>
        <v>60% van het geaccumuleerd regulatoir saldo door te rekenen volgens de tariefmethodologie in het boekjaar 2018</v>
      </c>
      <c r="K236" s="675" t="str">
        <f>"Aanwending van het 60% van het geaccumuleerd regulatoir saldo door te rekenen volgens de tariefmethodologie in het boekjaar "&amp;F234</f>
        <v>Aanwending van het 60% van het geaccumuleerd regulatoir saldo door te rekenen volgens de tariefmethodologie in het boekjaar 2018</v>
      </c>
      <c r="L236" s="675" t="str">
        <f>"Totale afbouw over "&amp;F234</f>
        <v>Totale afbouw over 2018</v>
      </c>
      <c r="M236" s="20"/>
      <c r="N236" s="675" t="str">
        <f>"Nog af te bouwen regulatoir saldo einde "&amp;F234</f>
        <v>Nog af te bouwen regulatoir saldo einde 2018</v>
      </c>
      <c r="O236" s="610"/>
    </row>
    <row r="237" spans="2:15" ht="13" x14ac:dyDescent="0.25">
      <c r="B237" s="1057">
        <v>2015</v>
      </c>
      <c r="C237" s="1058"/>
      <c r="D237" s="1058"/>
      <c r="E237" s="1059"/>
      <c r="F237" s="896"/>
      <c r="G237" s="839">
        <f>K232</f>
        <v>0</v>
      </c>
      <c r="H237" s="897">
        <f>IF(SIGN(G238*K232)&lt;0,IF(G237&lt;&gt;0,-SIGN(G237)*MIN(ABS(G238),ABS(G237)),0),0)</f>
        <v>0</v>
      </c>
      <c r="I237" s="839">
        <f>+G237+H237</f>
        <v>0</v>
      </c>
      <c r="J237" s="698"/>
      <c r="K237" s="897">
        <f>-MIN(ABS(I237),ABS(J239))*SIGN(I237)</f>
        <v>0</v>
      </c>
      <c r="L237" s="898">
        <f>+K237+H237</f>
        <v>0</v>
      </c>
      <c r="M237" s="20"/>
      <c r="N237" s="839">
        <f>+I237+K237</f>
        <v>0</v>
      </c>
      <c r="O237" s="610"/>
    </row>
    <row r="238" spans="2:15" ht="13" x14ac:dyDescent="0.25">
      <c r="B238" s="1057">
        <v>2016</v>
      </c>
      <c r="C238" s="1058"/>
      <c r="D238" s="1058"/>
      <c r="E238" s="1059"/>
      <c r="F238" s="896"/>
      <c r="G238" s="839">
        <f>H113</f>
        <v>0</v>
      </c>
      <c r="H238" s="898">
        <f>IF(SIGN(G238*K232)&lt;0,-H237,0)</f>
        <v>0</v>
      </c>
      <c r="I238" s="839">
        <f>+G238+H238</f>
        <v>0</v>
      </c>
      <c r="J238" s="698"/>
      <c r="K238" s="897">
        <f>-MIN(ABS(I238),ABS(J239-K237))*SIGN(I238)</f>
        <v>0</v>
      </c>
      <c r="L238" s="898">
        <f>+K238+H238</f>
        <v>0</v>
      </c>
      <c r="M238" s="20"/>
      <c r="N238" s="839">
        <f>+I238+K238</f>
        <v>0</v>
      </c>
      <c r="O238" s="610"/>
    </row>
    <row r="239" spans="2:15" s="18" customFormat="1" ht="13" x14ac:dyDescent="0.3">
      <c r="G239" s="899">
        <f>SUM(G237:G238)</f>
        <v>0</v>
      </c>
      <c r="H239" s="899">
        <f>SUM(H237:H238)</f>
        <v>0</v>
      </c>
      <c r="I239" s="899">
        <f>SUM(I237:I238)</f>
        <v>0</v>
      </c>
      <c r="J239" s="899">
        <f>-I239*0.6</f>
        <v>0</v>
      </c>
      <c r="K239" s="900">
        <f>SUM(K237:K238)</f>
        <v>0</v>
      </c>
      <c r="L239" s="901"/>
      <c r="N239" s="899">
        <f>SUM(N237:N238)</f>
        <v>0</v>
      </c>
    </row>
    <row r="240" spans="2:15" x14ac:dyDescent="0.25">
      <c r="M240" s="610"/>
    </row>
    <row r="241" spans="2:15" ht="13" x14ac:dyDescent="0.3">
      <c r="B241" s="18" t="s">
        <v>362</v>
      </c>
      <c r="F241" s="895">
        <v>2019</v>
      </c>
      <c r="M241" s="20"/>
    </row>
    <row r="242" spans="2:15" x14ac:dyDescent="0.25">
      <c r="M242" s="20"/>
    </row>
    <row r="243" spans="2:15" ht="72" customHeight="1" x14ac:dyDescent="0.25">
      <c r="B243" s="1060" t="s">
        <v>363</v>
      </c>
      <c r="C243" s="1061"/>
      <c r="D243" s="1061"/>
      <c r="E243" s="1062"/>
      <c r="F243" s="599"/>
      <c r="G243" s="675" t="str">
        <f>"Nog af te bouwen regulatoir saldo einde "&amp;F241-1</f>
        <v>Nog af te bouwen regulatoir saldo einde 2018</v>
      </c>
      <c r="H243" s="675" t="str">
        <f>"Afbouw oudste openstaande regulatoir saldo vanaf boekjaar "&amp;F241-3&amp;" en vroeger, door aanwending van compensatie met regulatoir saldo ontstaan over boekjaar "&amp;F241-2</f>
        <v>Afbouw oudste openstaande regulatoir saldo vanaf boekjaar 2016 en vroeger, door aanwending van compensatie met regulatoir saldo ontstaan over boekjaar 2017</v>
      </c>
      <c r="I243" s="675" t="str">
        <f>"Nog af te bouwen regulatoir saldo na compensatie einde "&amp;F241-1</f>
        <v>Nog af te bouwen regulatoir saldo na compensatie einde 2018</v>
      </c>
      <c r="J243" s="675" t="str">
        <f>"60% van het geaccumuleerd regulatoir saldo door te rekenen volgens de tariefmethodologie in het boekjaar "&amp;F241</f>
        <v>60% van het geaccumuleerd regulatoir saldo door te rekenen volgens de tariefmethodologie in het boekjaar 2019</v>
      </c>
      <c r="K243" s="675" t="str">
        <f>"Aanwending van het 60% van het geaccumuleerd regulatoir saldo door te rekenen volgens de tariefmethodologie in het boekjaar "&amp;F241</f>
        <v>Aanwending van het 60% van het geaccumuleerd regulatoir saldo door te rekenen volgens de tariefmethodologie in het boekjaar 2019</v>
      </c>
      <c r="L243" s="675" t="str">
        <f>"Totale afbouw over "&amp;F241</f>
        <v>Totale afbouw over 2019</v>
      </c>
      <c r="M243" s="20"/>
      <c r="N243" s="675" t="str">
        <f>"Nog af te bouwen regulatoir saldo einde "&amp;F241</f>
        <v>Nog af te bouwen regulatoir saldo einde 2019</v>
      </c>
      <c r="O243" s="610"/>
    </row>
    <row r="244" spans="2:15" ht="13" x14ac:dyDescent="0.25">
      <c r="B244" s="1057">
        <v>2015</v>
      </c>
      <c r="C244" s="1058"/>
      <c r="D244" s="1058"/>
      <c r="E244" s="1059"/>
      <c r="F244" s="896"/>
      <c r="G244" s="839">
        <f>+N237</f>
        <v>0</v>
      </c>
      <c r="H244" s="898">
        <f>IF(SIGN(G246*N239)&lt;0,IF(G244&lt;&gt;0,-SIGN(G244)*MIN(ABS(G246),ABS(G244)),0),0)</f>
        <v>0</v>
      </c>
      <c r="I244" s="839">
        <f>+G244+H244</f>
        <v>0</v>
      </c>
      <c r="J244" s="698"/>
      <c r="K244" s="897">
        <f>-MIN(ABS(I244),ABS(J247))*SIGN(I244)</f>
        <v>0</v>
      </c>
      <c r="L244" s="898">
        <f>+K244+H244</f>
        <v>0</v>
      </c>
      <c r="M244" s="20"/>
      <c r="N244" s="839">
        <f>+I244+K244</f>
        <v>0</v>
      </c>
      <c r="O244" s="610"/>
    </row>
    <row r="245" spans="2:15" ht="13" x14ac:dyDescent="0.25">
      <c r="B245" s="1057">
        <v>2016</v>
      </c>
      <c r="C245" s="1058"/>
      <c r="D245" s="1058">
        <v>2016</v>
      </c>
      <c r="E245" s="1059"/>
      <c r="F245" s="896"/>
      <c r="G245" s="839">
        <f>+N238</f>
        <v>0</v>
      </c>
      <c r="H245" s="898">
        <f>IF(SIGN(G246*N239)&lt;0,IF(G245&lt;&gt;0,-SIGN(G245)*MIN(ABS(G246-H244),ABS(G245)),0),0)</f>
        <v>0</v>
      </c>
      <c r="I245" s="839">
        <f>+G245+H245</f>
        <v>0</v>
      </c>
      <c r="J245" s="698"/>
      <c r="K245" s="897">
        <f>-MIN(ABS(I245),ABS(J247-K244))*SIGN(I245)</f>
        <v>0</v>
      </c>
      <c r="L245" s="898">
        <f>+K245+H245</f>
        <v>0</v>
      </c>
      <c r="M245" s="20"/>
      <c r="N245" s="839">
        <f>+I245+K245</f>
        <v>0</v>
      </c>
      <c r="O245" s="610"/>
    </row>
    <row r="246" spans="2:15" ht="13" x14ac:dyDescent="0.25">
      <c r="B246" s="1057">
        <v>2017</v>
      </c>
      <c r="C246" s="1058"/>
      <c r="D246" s="1058"/>
      <c r="E246" s="1059"/>
      <c r="F246" s="896"/>
      <c r="G246" s="839">
        <f>I114</f>
        <v>0</v>
      </c>
      <c r="H246" s="898">
        <f>IF(SIGN(G246*N239)&lt;0,-SUM(H244:H245),0)</f>
        <v>0</v>
      </c>
      <c r="I246" s="839">
        <f>+G246+H246</f>
        <v>0</v>
      </c>
      <c r="J246" s="698"/>
      <c r="K246" s="897">
        <f>-MIN(ABS(I246),ABS(J247-K244-K245))*SIGN(I246)</f>
        <v>0</v>
      </c>
      <c r="L246" s="898">
        <f>+K246+H246</f>
        <v>0</v>
      </c>
      <c r="M246" s="20"/>
      <c r="N246" s="839">
        <f>+I246+K246</f>
        <v>0</v>
      </c>
      <c r="O246" s="610"/>
    </row>
    <row r="247" spans="2:15" s="18" customFormat="1" ht="13" x14ac:dyDescent="0.3">
      <c r="G247" s="899">
        <f>SUM(G244:G246)</f>
        <v>0</v>
      </c>
      <c r="H247" s="899">
        <f>SUM(H244:H246)</f>
        <v>0</v>
      </c>
      <c r="I247" s="899">
        <f>SUM(I244:I246)</f>
        <v>0</v>
      </c>
      <c r="J247" s="899">
        <f>-I247*0.6</f>
        <v>0</v>
      </c>
      <c r="K247" s="900">
        <f>SUM(K244:K246)</f>
        <v>0</v>
      </c>
      <c r="L247" s="901"/>
      <c r="N247" s="899">
        <f>SUM(N244:N246)</f>
        <v>0</v>
      </c>
    </row>
    <row r="248" spans="2:15" x14ac:dyDescent="0.25">
      <c r="M248" s="610"/>
    </row>
    <row r="249" spans="2:15" ht="13" x14ac:dyDescent="0.3">
      <c r="B249" s="18" t="s">
        <v>362</v>
      </c>
      <c r="F249" s="895">
        <v>2020</v>
      </c>
      <c r="M249" s="20"/>
    </row>
    <row r="250" spans="2:15" x14ac:dyDescent="0.25">
      <c r="M250" s="20"/>
    </row>
    <row r="251" spans="2:15" ht="72.75" customHeight="1" x14ac:dyDescent="0.25">
      <c r="B251" s="1060" t="s">
        <v>363</v>
      </c>
      <c r="C251" s="1061"/>
      <c r="D251" s="1061"/>
      <c r="E251" s="1062"/>
      <c r="F251" s="599"/>
      <c r="G251" s="675" t="str">
        <f>"Nog af te bouwen regulatoir saldo einde "&amp;F249-1</f>
        <v>Nog af te bouwen regulatoir saldo einde 2019</v>
      </c>
      <c r="H251" s="675" t="str">
        <f>"Afbouw oudste openstaande regulatoir saldo vanaf boekjaar "&amp;F249-3&amp;" en vroeger, door aanwending van compensatie met regulatoir saldo ontstaan over boekjaar "&amp;F249-2</f>
        <v>Afbouw oudste openstaande regulatoir saldo vanaf boekjaar 2017 en vroeger, door aanwending van compensatie met regulatoir saldo ontstaan over boekjaar 2018</v>
      </c>
      <c r="I251" s="675" t="str">
        <f>"Nog af te bouwen regulatoir saldo na compensatie einde "&amp;F249-1</f>
        <v>Nog af te bouwen regulatoir saldo na compensatie einde 2019</v>
      </c>
      <c r="J251" s="675" t="str">
        <f>"60% van het geaccumuleerd regulatoir saldo door te rekenen volgens de tariefmethodologie in het boekjaar "&amp;F249</f>
        <v>60% van het geaccumuleerd regulatoir saldo door te rekenen volgens de tariefmethodologie in het boekjaar 2020</v>
      </c>
      <c r="K251" s="675" t="str">
        <f>"Aanwending van het 60% van het geaccumuleerd regulatoir saldo door te rekenen volgens de tariefmethodologie in het boekjaar "&amp;F249</f>
        <v>Aanwending van het 60% van het geaccumuleerd regulatoir saldo door te rekenen volgens de tariefmethodologie in het boekjaar 2020</v>
      </c>
      <c r="L251" s="675" t="str">
        <f>"Totale afbouw over "&amp;F249</f>
        <v>Totale afbouw over 2020</v>
      </c>
      <c r="M251" s="20"/>
      <c r="N251" s="675" t="str">
        <f>"Nog af te bouwen regulatoir saldo einde "&amp;F249</f>
        <v>Nog af te bouwen regulatoir saldo einde 2020</v>
      </c>
      <c r="O251" s="610"/>
    </row>
    <row r="252" spans="2:15" ht="13" x14ac:dyDescent="0.25">
      <c r="B252" s="1057">
        <v>2015</v>
      </c>
      <c r="C252" s="1058"/>
      <c r="D252" s="1058"/>
      <c r="E252" s="1059"/>
      <c r="F252" s="896"/>
      <c r="G252" s="839">
        <f>+N244</f>
        <v>0</v>
      </c>
      <c r="H252" s="898">
        <f>IF(SIGN(G255*N247)&lt;0,IF(G252&lt;&gt;0,-SIGN(G252)*MIN(ABS(G255),ABS(G252)),0),0)</f>
        <v>0</v>
      </c>
      <c r="I252" s="839">
        <f>+G252+H252</f>
        <v>0</v>
      </c>
      <c r="J252" s="698"/>
      <c r="K252" s="897">
        <f>-MIN(ABS(I252),ABS(J256))*SIGN(I252)</f>
        <v>0</v>
      </c>
      <c r="L252" s="898">
        <f>+K252+H252</f>
        <v>0</v>
      </c>
      <c r="M252" s="20"/>
      <c r="N252" s="839">
        <f>+I252+K252</f>
        <v>0</v>
      </c>
      <c r="O252" s="610"/>
    </row>
    <row r="253" spans="2:15" ht="13" x14ac:dyDescent="0.25">
      <c r="B253" s="1057">
        <v>2016</v>
      </c>
      <c r="C253" s="1058"/>
      <c r="D253" s="1058"/>
      <c r="E253" s="1059"/>
      <c r="F253" s="896"/>
      <c r="G253" s="839">
        <f>+N245</f>
        <v>0</v>
      </c>
      <c r="H253" s="898">
        <f>IF(SIGN(G255*N247)&lt;0,IF(G253&lt;&gt;0,-SIGN(G253)*MIN(ABS(G255-H252),ABS(G253)),0),0)</f>
        <v>0</v>
      </c>
      <c r="I253" s="839">
        <f>+G253+H253</f>
        <v>0</v>
      </c>
      <c r="J253" s="698"/>
      <c r="K253" s="897">
        <f>-MIN(ABS(I253),ABS(J256-K252))*SIGN(I253)</f>
        <v>0</v>
      </c>
      <c r="L253" s="898">
        <f>+K253+H253</f>
        <v>0</v>
      </c>
      <c r="M253" s="20"/>
      <c r="N253" s="839">
        <f>+I253+K253</f>
        <v>0</v>
      </c>
      <c r="O253" s="610"/>
    </row>
    <row r="254" spans="2:15" ht="13" x14ac:dyDescent="0.25">
      <c r="B254" s="1057">
        <v>2017</v>
      </c>
      <c r="C254" s="1058"/>
      <c r="D254" s="1058">
        <v>2016</v>
      </c>
      <c r="E254" s="1059"/>
      <c r="F254" s="896"/>
      <c r="G254" s="839">
        <f>+N246</f>
        <v>0</v>
      </c>
      <c r="H254" s="898">
        <f>IF(SIGN(G255*N247)&lt;0,IF(G254&lt;&gt;0,-SIGN(G254)*MIN(ABS(G255-H252-H253),ABS(G254)),0),0)</f>
        <v>0</v>
      </c>
      <c r="I254" s="839">
        <f>+G254+H254</f>
        <v>0</v>
      </c>
      <c r="J254" s="698"/>
      <c r="K254" s="897">
        <f>-MIN(ABS(I254),ABS(J256-K252-K253))*SIGN(I254)</f>
        <v>0</v>
      </c>
      <c r="L254" s="898">
        <f>+K254+H254</f>
        <v>0</v>
      </c>
      <c r="M254" s="20"/>
      <c r="N254" s="839">
        <f>+I254+K254</f>
        <v>0</v>
      </c>
      <c r="O254" s="610"/>
    </row>
    <row r="255" spans="2:15" ht="13" x14ac:dyDescent="0.25">
      <c r="B255" s="1057">
        <v>2018</v>
      </c>
      <c r="C255" s="1058"/>
      <c r="D255" s="1058"/>
      <c r="E255" s="1059"/>
      <c r="F255" s="896"/>
      <c r="G255" s="839">
        <f>J115</f>
        <v>0</v>
      </c>
      <c r="H255" s="898">
        <f>IF(SIGN(G255*N247)&lt;0,-SUM(H252:H254),0)</f>
        <v>0</v>
      </c>
      <c r="I255" s="839">
        <f>+G255+H255</f>
        <v>0</v>
      </c>
      <c r="J255" s="698"/>
      <c r="K255" s="897">
        <f>-MIN(ABS(I255),ABS(J256-K252-K253-K254))*SIGN(I255)</f>
        <v>0</v>
      </c>
      <c r="L255" s="898">
        <f>+K255+H255</f>
        <v>0</v>
      </c>
      <c r="M255" s="20"/>
      <c r="N255" s="839">
        <f>+I255+K255</f>
        <v>0</v>
      </c>
      <c r="O255" s="610"/>
    </row>
    <row r="256" spans="2:15" s="18" customFormat="1" ht="13" x14ac:dyDescent="0.3">
      <c r="G256" s="899">
        <f>SUM(G252:G255)</f>
        <v>0</v>
      </c>
      <c r="H256" s="899">
        <f>SUM(H252:H255)</f>
        <v>0</v>
      </c>
      <c r="I256" s="899">
        <f>SUM(I252:I255)</f>
        <v>0</v>
      </c>
      <c r="J256" s="899">
        <f>-I256*0.6</f>
        <v>0</v>
      </c>
      <c r="K256" s="900">
        <f>SUM(K252:K255)</f>
        <v>0</v>
      </c>
      <c r="L256" s="900"/>
      <c r="N256" s="899">
        <f>SUM(N252:N255)</f>
        <v>0</v>
      </c>
    </row>
    <row r="259" spans="2:14" ht="13" x14ac:dyDescent="0.3">
      <c r="B259" s="18" t="s">
        <v>364</v>
      </c>
      <c r="C259" s="381"/>
      <c r="D259" s="381"/>
      <c r="E259" s="381"/>
    </row>
    <row r="260" spans="2:14" ht="13" x14ac:dyDescent="0.3">
      <c r="B260" s="18"/>
      <c r="C260" s="381"/>
      <c r="D260" s="381"/>
      <c r="E260" s="381"/>
    </row>
    <row r="261" spans="2:14" ht="13" x14ac:dyDescent="0.3">
      <c r="B261" s="864">
        <f>F229</f>
        <v>2017</v>
      </c>
      <c r="C261" s="906">
        <f>J232</f>
        <v>0</v>
      </c>
      <c r="D261" s="381"/>
      <c r="E261" s="381"/>
    </row>
    <row r="262" spans="2:14" ht="13" x14ac:dyDescent="0.3">
      <c r="B262" s="864">
        <f>F234</f>
        <v>2018</v>
      </c>
      <c r="C262" s="906">
        <f>K239</f>
        <v>0</v>
      </c>
      <c r="D262" s="381"/>
      <c r="E262" s="381"/>
    </row>
    <row r="263" spans="2:14" ht="13" x14ac:dyDescent="0.3">
      <c r="B263" s="864">
        <f>F241</f>
        <v>2019</v>
      </c>
      <c r="C263" s="906">
        <f>K247</f>
        <v>0</v>
      </c>
      <c r="D263" s="381"/>
      <c r="E263" s="381"/>
    </row>
    <row r="264" spans="2:14" ht="13" x14ac:dyDescent="0.3">
      <c r="B264" s="864">
        <f>F249</f>
        <v>2020</v>
      </c>
      <c r="C264" s="906">
        <f>K256</f>
        <v>0</v>
      </c>
      <c r="D264" s="381"/>
      <c r="E264" s="381"/>
    </row>
    <row r="265" spans="2:14" x14ac:dyDescent="0.25">
      <c r="M265" s="610"/>
    </row>
    <row r="266" spans="2:14" x14ac:dyDescent="0.25">
      <c r="M266" s="610"/>
    </row>
    <row r="267" spans="2:14" ht="13" x14ac:dyDescent="0.3">
      <c r="B267" s="902" t="s">
        <v>138</v>
      </c>
      <c r="C267" s="903"/>
      <c r="D267" s="903"/>
      <c r="E267" s="903"/>
      <c r="F267" s="904"/>
      <c r="G267" s="904"/>
      <c r="H267" s="904"/>
      <c r="I267" s="904"/>
      <c r="J267" s="904"/>
      <c r="K267" s="904"/>
      <c r="L267" s="904"/>
      <c r="M267" s="905"/>
      <c r="N267" s="904"/>
    </row>
    <row r="268" spans="2:14" x14ac:dyDescent="0.25">
      <c r="M268" s="610"/>
    </row>
    <row r="269" spans="2:14" ht="13" x14ac:dyDescent="0.3">
      <c r="B269" s="18" t="s">
        <v>362</v>
      </c>
      <c r="F269" s="895">
        <v>2017</v>
      </c>
      <c r="M269" s="610"/>
    </row>
    <row r="270" spans="2:14" x14ac:dyDescent="0.25">
      <c r="L270" s="610"/>
      <c r="M270" s="20"/>
    </row>
    <row r="271" spans="2:14" ht="82.5" customHeight="1" x14ac:dyDescent="0.25">
      <c r="B271" s="1060" t="s">
        <v>363</v>
      </c>
      <c r="C271" s="1061"/>
      <c r="D271" s="1061"/>
      <c r="E271" s="1062"/>
      <c r="F271" s="599"/>
      <c r="G271" s="675" t="str">
        <f>"Nog af te bouwen regulatoir saldo einde "&amp;F269-1</f>
        <v>Nog af te bouwen regulatoir saldo einde 2016</v>
      </c>
      <c r="H271" s="675" t="str">
        <f>"Afbouw oudste openstaande regulatoir saldo vanaf boekjaar "&amp;F269-3&amp;" en vroeger, door aanwending van compensatie met regulatoir saldo ontstaan over boekjaar "&amp;F269-2</f>
        <v>Afbouw oudste openstaande regulatoir saldo vanaf boekjaar 2014 en vroeger, door aanwending van compensatie met regulatoir saldo ontstaan over boekjaar 2015</v>
      </c>
      <c r="I271" s="675" t="str">
        <f>"Nog af te bouwen regulatoir saldo na compensatie einde "&amp;F269-1</f>
        <v>Nog af te bouwen regulatoir saldo na compensatie einde 2016</v>
      </c>
      <c r="J271" s="675" t="str">
        <f>"Aanwending van 60% van het geaccumuleerd regulatoir saldo door te rekenen volgens de tariefmethodologie in het boekjaar "&amp;F269</f>
        <v>Aanwending van 60% van het geaccumuleerd regulatoir saldo door te rekenen volgens de tariefmethodologie in het boekjaar 2017</v>
      </c>
      <c r="K271" s="675" t="str">
        <f>"Nog af te bouwen regulatoir saldo einde "&amp;F269</f>
        <v>Nog af te bouwen regulatoir saldo einde 2017</v>
      </c>
      <c r="L271" s="610"/>
      <c r="M271" s="20"/>
    </row>
    <row r="272" spans="2:14" ht="13" x14ac:dyDescent="0.25">
      <c r="B272" s="1057">
        <v>2015</v>
      </c>
      <c r="C272" s="1058"/>
      <c r="D272" s="1058"/>
      <c r="E272" s="1059"/>
      <c r="F272" s="896"/>
      <c r="G272" s="839">
        <f>G119</f>
        <v>0</v>
      </c>
      <c r="H272" s="897">
        <v>0</v>
      </c>
      <c r="I272" s="839">
        <f>+G272+H272</f>
        <v>0</v>
      </c>
      <c r="J272" s="839">
        <f>-I272*0.6</f>
        <v>0</v>
      </c>
      <c r="K272" s="908">
        <f>+J272+G272</f>
        <v>0</v>
      </c>
      <c r="L272" s="610"/>
      <c r="M272" s="20"/>
    </row>
    <row r="273" spans="2:15" x14ac:dyDescent="0.25">
      <c r="L273" s="610"/>
      <c r="M273" s="20"/>
    </row>
    <row r="274" spans="2:15" ht="13" x14ac:dyDescent="0.3">
      <c r="B274" s="18" t="s">
        <v>362</v>
      </c>
      <c r="F274" s="895">
        <v>2018</v>
      </c>
      <c r="M274" s="610"/>
    </row>
    <row r="275" spans="2:15" x14ac:dyDescent="0.25">
      <c r="M275" s="610"/>
    </row>
    <row r="276" spans="2:15" ht="69.75" customHeight="1" x14ac:dyDescent="0.25">
      <c r="B276" s="1060" t="s">
        <v>363</v>
      </c>
      <c r="C276" s="1061"/>
      <c r="D276" s="1061"/>
      <c r="E276" s="1062"/>
      <c r="F276" s="599"/>
      <c r="G276" s="675" t="str">
        <f>"Nog af te bouwen regulatoir saldo einde "&amp;F274-1</f>
        <v>Nog af te bouwen regulatoir saldo einde 2017</v>
      </c>
      <c r="H276" s="675" t="str">
        <f>"Afbouw oudste openstaande regulatoir saldo vanaf boekjaar "&amp;F274-3&amp;" en vroeger, door aanwending van compensatie met regulatoir saldo ontstaan over boekjaar "&amp;F274-2</f>
        <v>Afbouw oudste openstaande regulatoir saldo vanaf boekjaar 2015 en vroeger, door aanwending van compensatie met regulatoir saldo ontstaan over boekjaar 2016</v>
      </c>
      <c r="I276" s="675" t="str">
        <f>"Nog af te bouwen regulatoir saldo na compensatie einde "&amp;F274-1</f>
        <v>Nog af te bouwen regulatoir saldo na compensatie einde 2017</v>
      </c>
      <c r="J276" s="675" t="str">
        <f>"60% van het geaccumuleerd regulatoir saldo door te rekenen volgens de tariefmethodologie in het boekjaar "&amp;F274</f>
        <v>60% van het geaccumuleerd regulatoir saldo door te rekenen volgens de tariefmethodologie in het boekjaar 2018</v>
      </c>
      <c r="K276" s="675" t="str">
        <f>"Aanwending van 60% van het geaccumuleerd regulatoir saldo door te rekenen volgens de tariefmethodologie in het boekjaar "&amp;F274</f>
        <v>Aanwending van 60% van het geaccumuleerd regulatoir saldo door te rekenen volgens de tariefmethodologie in het boekjaar 2018</v>
      </c>
      <c r="L276" s="675" t="str">
        <f>"Totale afbouw over "&amp;F274</f>
        <v>Totale afbouw over 2018</v>
      </c>
      <c r="M276" s="20"/>
      <c r="N276" s="675" t="str">
        <f>"Nog af te bouwen regulatoir saldo einde "&amp;F274</f>
        <v>Nog af te bouwen regulatoir saldo einde 2018</v>
      </c>
      <c r="O276" s="610"/>
    </row>
    <row r="277" spans="2:15" ht="13" x14ac:dyDescent="0.25">
      <c r="B277" s="1057">
        <v>2015</v>
      </c>
      <c r="C277" s="1058"/>
      <c r="D277" s="1058"/>
      <c r="E277" s="1059"/>
      <c r="F277" s="896"/>
      <c r="G277" s="839">
        <f>K272</f>
        <v>0</v>
      </c>
      <c r="H277" s="897">
        <f>IF(SIGN(G278*K272)&lt;0,IF(G277&lt;&gt;0,-SIGN(G277)*MIN(ABS(G278),ABS(G277)),0),0)</f>
        <v>0</v>
      </c>
      <c r="I277" s="839">
        <f>+G277+H277</f>
        <v>0</v>
      </c>
      <c r="J277" s="698"/>
      <c r="K277" s="897">
        <f>-MIN(ABS(I277),ABS(J279))*SIGN(I277)</f>
        <v>0</v>
      </c>
      <c r="L277" s="898">
        <f>+K277+H277</f>
        <v>0</v>
      </c>
      <c r="M277" s="20"/>
      <c r="N277" s="839">
        <f>+I277+K277</f>
        <v>0</v>
      </c>
      <c r="O277" s="610"/>
    </row>
    <row r="278" spans="2:15" ht="13" x14ac:dyDescent="0.25">
      <c r="B278" s="1057">
        <v>2016</v>
      </c>
      <c r="C278" s="1058"/>
      <c r="D278" s="1058"/>
      <c r="E278" s="1059"/>
      <c r="F278" s="896"/>
      <c r="G278" s="839">
        <f>H120</f>
        <v>0</v>
      </c>
      <c r="H278" s="898">
        <f>IF(SIGN(G278*K272)&lt;0,-H277,0)</f>
        <v>0</v>
      </c>
      <c r="I278" s="839">
        <f>+G278+H278</f>
        <v>0</v>
      </c>
      <c r="J278" s="698"/>
      <c r="K278" s="897">
        <f>-MIN(ABS(I278),ABS(J279-K277))*SIGN(I278)</f>
        <v>0</v>
      </c>
      <c r="L278" s="898">
        <f>+K278+H278</f>
        <v>0</v>
      </c>
      <c r="M278" s="20"/>
      <c r="N278" s="839">
        <f>+I278+K278</f>
        <v>0</v>
      </c>
      <c r="O278" s="610"/>
    </row>
    <row r="279" spans="2:15" s="18" customFormat="1" ht="13" x14ac:dyDescent="0.3">
      <c r="G279" s="899">
        <f>SUM(G277:G278)</f>
        <v>0</v>
      </c>
      <c r="H279" s="899">
        <f>SUM(H277:H278)</f>
        <v>0</v>
      </c>
      <c r="I279" s="899">
        <f>SUM(I277:I278)</f>
        <v>0</v>
      </c>
      <c r="J279" s="899">
        <f>-I279*0.6</f>
        <v>0</v>
      </c>
      <c r="K279" s="900">
        <f>SUM(K277:K278)</f>
        <v>0</v>
      </c>
      <c r="L279" s="901"/>
      <c r="N279" s="899">
        <f>SUM(N277:N278)</f>
        <v>0</v>
      </c>
    </row>
    <row r="280" spans="2:15" x14ac:dyDescent="0.25">
      <c r="M280" s="610"/>
    </row>
    <row r="281" spans="2:15" ht="13" x14ac:dyDescent="0.3">
      <c r="B281" s="18" t="s">
        <v>362</v>
      </c>
      <c r="F281" s="895">
        <v>2019</v>
      </c>
      <c r="M281" s="20"/>
    </row>
    <row r="282" spans="2:15" x14ac:dyDescent="0.25">
      <c r="M282" s="20"/>
    </row>
    <row r="283" spans="2:15" ht="75.75" customHeight="1" x14ac:dyDescent="0.25">
      <c r="B283" s="1060" t="s">
        <v>363</v>
      </c>
      <c r="C283" s="1061"/>
      <c r="D283" s="1061"/>
      <c r="E283" s="1062"/>
      <c r="F283" s="599"/>
      <c r="G283" s="675" t="str">
        <f>"Nog af te bouwen regulatoir saldo einde "&amp;F281-1</f>
        <v>Nog af te bouwen regulatoir saldo einde 2018</v>
      </c>
      <c r="H283" s="675" t="str">
        <f>"Afbouw oudste openstaande regulatoir saldo vanaf boekjaar "&amp;F281-3&amp;" en vroeger, door aanwending van compensatie met regulatoir saldo ontstaan over boekjaar "&amp;F281-2</f>
        <v>Afbouw oudste openstaande regulatoir saldo vanaf boekjaar 2016 en vroeger, door aanwending van compensatie met regulatoir saldo ontstaan over boekjaar 2017</v>
      </c>
      <c r="I283" s="675" t="str">
        <f>"Nog af te bouwen regulatoir saldo na compensatie einde "&amp;F281-1</f>
        <v>Nog af te bouwen regulatoir saldo na compensatie einde 2018</v>
      </c>
      <c r="J283" s="675" t="str">
        <f>"60% van het geaccumuleerd regulatoir saldo door te rekenen volgens de tariefmethodologie in het boekjaar "&amp;F281</f>
        <v>60% van het geaccumuleerd regulatoir saldo door te rekenen volgens de tariefmethodologie in het boekjaar 2019</v>
      </c>
      <c r="K283" s="675" t="str">
        <f>"Aanwending van het 60% van het geaccumuleerd regulatoir saldo door te rekenen volgens de tariefmethodologie in het boekjaar "&amp;F281</f>
        <v>Aanwending van het 60% van het geaccumuleerd regulatoir saldo door te rekenen volgens de tariefmethodologie in het boekjaar 2019</v>
      </c>
      <c r="L283" s="675" t="str">
        <f>"Totale afbouw over "&amp;F281</f>
        <v>Totale afbouw over 2019</v>
      </c>
      <c r="M283" s="20"/>
      <c r="N283" s="675" t="str">
        <f>"Nog af te bouwen regulatoir saldo einde "&amp;F281</f>
        <v>Nog af te bouwen regulatoir saldo einde 2019</v>
      </c>
      <c r="O283" s="610"/>
    </row>
    <row r="284" spans="2:15" ht="13" x14ac:dyDescent="0.25">
      <c r="B284" s="1057">
        <v>2015</v>
      </c>
      <c r="C284" s="1058"/>
      <c r="D284" s="1058"/>
      <c r="E284" s="1059"/>
      <c r="F284" s="896"/>
      <c r="G284" s="839">
        <f>+N277</f>
        <v>0</v>
      </c>
      <c r="H284" s="898">
        <f>IF(SIGN(G286*N279)&lt;0,IF(G284&lt;&gt;0,-SIGN(G284)*MIN(ABS(G286),ABS(G284)),0),0)</f>
        <v>0</v>
      </c>
      <c r="I284" s="839">
        <f>+G284+H284</f>
        <v>0</v>
      </c>
      <c r="J284" s="698"/>
      <c r="K284" s="897">
        <f>-MIN(ABS(I284),ABS(J287))*SIGN(I284)</f>
        <v>0</v>
      </c>
      <c r="L284" s="898">
        <f>+K284+H284</f>
        <v>0</v>
      </c>
      <c r="M284" s="20"/>
      <c r="N284" s="839">
        <f>+I284+K284</f>
        <v>0</v>
      </c>
      <c r="O284" s="610"/>
    </row>
    <row r="285" spans="2:15" ht="13" x14ac:dyDescent="0.25">
      <c r="B285" s="1057">
        <v>2016</v>
      </c>
      <c r="C285" s="1058"/>
      <c r="D285" s="1058">
        <v>2016</v>
      </c>
      <c r="E285" s="1059"/>
      <c r="F285" s="896"/>
      <c r="G285" s="839">
        <f>+N278</f>
        <v>0</v>
      </c>
      <c r="H285" s="898">
        <f>IF(SIGN(G286*N279)&lt;0,IF(G285&lt;&gt;0,-SIGN(G285)*MIN(ABS(G286-H284),ABS(G285)),0),0)</f>
        <v>0</v>
      </c>
      <c r="I285" s="839">
        <f>+G285+H285</f>
        <v>0</v>
      </c>
      <c r="J285" s="698"/>
      <c r="K285" s="897">
        <f>-MIN(ABS(I285),ABS(J287-K284))*SIGN(I285)</f>
        <v>0</v>
      </c>
      <c r="L285" s="898">
        <f>+K285+H285</f>
        <v>0</v>
      </c>
      <c r="M285" s="20"/>
      <c r="N285" s="839">
        <f>+I285+K285</f>
        <v>0</v>
      </c>
      <c r="O285" s="610"/>
    </row>
    <row r="286" spans="2:15" ht="13" x14ac:dyDescent="0.25">
      <c r="B286" s="1057">
        <v>2017</v>
      </c>
      <c r="C286" s="1058"/>
      <c r="D286" s="1058"/>
      <c r="E286" s="1059"/>
      <c r="F286" s="896"/>
      <c r="G286" s="839">
        <f>I121</f>
        <v>0</v>
      </c>
      <c r="H286" s="898">
        <f>IF(SIGN(G286*N279)&lt;0,-SUM(H284:H285),0)</f>
        <v>0</v>
      </c>
      <c r="I286" s="839">
        <f>+G286+H286</f>
        <v>0</v>
      </c>
      <c r="J286" s="698"/>
      <c r="K286" s="897">
        <f>-MIN(ABS(I286),ABS(J287-K284-K285))*SIGN(I286)</f>
        <v>0</v>
      </c>
      <c r="L286" s="898">
        <f>+K286+H286</f>
        <v>0</v>
      </c>
      <c r="M286" s="20"/>
      <c r="N286" s="839">
        <f>+I286+K286</f>
        <v>0</v>
      </c>
      <c r="O286" s="610"/>
    </row>
    <row r="287" spans="2:15" s="18" customFormat="1" ht="13" x14ac:dyDescent="0.3">
      <c r="G287" s="899">
        <f>SUM(G284:G286)</f>
        <v>0</v>
      </c>
      <c r="H287" s="899">
        <f>SUM(H284:H286)</f>
        <v>0</v>
      </c>
      <c r="I287" s="899">
        <f>SUM(I284:I286)</f>
        <v>0</v>
      </c>
      <c r="J287" s="899">
        <f>-I287*0.6</f>
        <v>0</v>
      </c>
      <c r="K287" s="900">
        <f>SUM(K284:K286)</f>
        <v>0</v>
      </c>
      <c r="L287" s="901"/>
      <c r="N287" s="899">
        <f>SUM(N284:N286)</f>
        <v>0</v>
      </c>
    </row>
    <row r="288" spans="2:15" x14ac:dyDescent="0.25">
      <c r="M288" s="610"/>
    </row>
    <row r="289" spans="2:15" ht="13" x14ac:dyDescent="0.3">
      <c r="B289" s="18" t="s">
        <v>362</v>
      </c>
      <c r="F289" s="895">
        <v>2020</v>
      </c>
      <c r="M289" s="20"/>
    </row>
    <row r="290" spans="2:15" x14ac:dyDescent="0.25">
      <c r="M290" s="20"/>
    </row>
    <row r="291" spans="2:15" ht="78" customHeight="1" x14ac:dyDescent="0.25">
      <c r="B291" s="1060" t="s">
        <v>363</v>
      </c>
      <c r="C291" s="1061"/>
      <c r="D291" s="1061"/>
      <c r="E291" s="1062"/>
      <c r="F291" s="599"/>
      <c r="G291" s="675" t="str">
        <f>"Nog af te bouwen regulatoir saldo einde "&amp;F289-1</f>
        <v>Nog af te bouwen regulatoir saldo einde 2019</v>
      </c>
      <c r="H291" s="675" t="str">
        <f>"Afbouw oudste openstaande regulatoir saldo vanaf boekjaar "&amp;F289-3&amp;" en vroeger, door aanwending van compensatie met regulatoir saldo ontstaan over boekjaar "&amp;F289-2</f>
        <v>Afbouw oudste openstaande regulatoir saldo vanaf boekjaar 2017 en vroeger, door aanwending van compensatie met regulatoir saldo ontstaan over boekjaar 2018</v>
      </c>
      <c r="I291" s="675" t="str">
        <f>"Nog af te bouwen regulatoir saldo na compensatie einde "&amp;F289-1</f>
        <v>Nog af te bouwen regulatoir saldo na compensatie einde 2019</v>
      </c>
      <c r="J291" s="675" t="str">
        <f>"60% van het geaccumuleerd regulatoir saldo door te rekenen volgens de tariefmethodologie in het boekjaar "&amp;F289</f>
        <v>60% van het geaccumuleerd regulatoir saldo door te rekenen volgens de tariefmethodologie in het boekjaar 2020</v>
      </c>
      <c r="K291" s="675" t="str">
        <f>"Aanwending van het 60% van het geaccumuleerd regulatoir saldo door te rekenen volgens de tariefmethodologie in het boekjaar "&amp;F289</f>
        <v>Aanwending van het 60% van het geaccumuleerd regulatoir saldo door te rekenen volgens de tariefmethodologie in het boekjaar 2020</v>
      </c>
      <c r="L291" s="675" t="str">
        <f>"Totale afbouw over "&amp;F289</f>
        <v>Totale afbouw over 2020</v>
      </c>
      <c r="M291" s="20"/>
      <c r="N291" s="675" t="str">
        <f>"Nog af te bouwen regulatoir saldo einde "&amp;F289</f>
        <v>Nog af te bouwen regulatoir saldo einde 2020</v>
      </c>
      <c r="O291" s="610"/>
    </row>
    <row r="292" spans="2:15" ht="13" x14ac:dyDescent="0.25">
      <c r="B292" s="1057">
        <v>2015</v>
      </c>
      <c r="C292" s="1058"/>
      <c r="D292" s="1058"/>
      <c r="E292" s="1059"/>
      <c r="F292" s="896"/>
      <c r="G292" s="839">
        <f>+N284</f>
        <v>0</v>
      </c>
      <c r="H292" s="898">
        <f>IF(SIGN(G295*N287)&lt;0,IF(G292&lt;&gt;0,-SIGN(G292)*MIN(ABS(G295),ABS(G292)),0),0)</f>
        <v>0</v>
      </c>
      <c r="I292" s="839">
        <f>+G292+H292</f>
        <v>0</v>
      </c>
      <c r="J292" s="698"/>
      <c r="K292" s="897">
        <f>-MIN(ABS(I292),ABS(J296))*SIGN(I292)</f>
        <v>0</v>
      </c>
      <c r="L292" s="898">
        <f>+K292+H292</f>
        <v>0</v>
      </c>
      <c r="M292" s="20"/>
      <c r="N292" s="839">
        <f>+I292+K292</f>
        <v>0</v>
      </c>
      <c r="O292" s="610"/>
    </row>
    <row r="293" spans="2:15" ht="13" x14ac:dyDescent="0.25">
      <c r="B293" s="1057">
        <v>2016</v>
      </c>
      <c r="C293" s="1058"/>
      <c r="D293" s="1058"/>
      <c r="E293" s="1059"/>
      <c r="F293" s="896"/>
      <c r="G293" s="839">
        <f>+N285</f>
        <v>0</v>
      </c>
      <c r="H293" s="898">
        <f>IF(SIGN(G295*N287)&lt;0,IF(G293&lt;&gt;0,-SIGN(G293)*MIN(ABS(G295-H292),ABS(G293)),0),0)</f>
        <v>0</v>
      </c>
      <c r="I293" s="839">
        <f>+G293+H293</f>
        <v>0</v>
      </c>
      <c r="J293" s="698"/>
      <c r="K293" s="897">
        <f>-MIN(ABS(I293),ABS(J296-K292))*SIGN(I293)</f>
        <v>0</v>
      </c>
      <c r="L293" s="898">
        <f>+K293+H293</f>
        <v>0</v>
      </c>
      <c r="M293" s="20"/>
      <c r="N293" s="839">
        <f>+I293+K293</f>
        <v>0</v>
      </c>
      <c r="O293" s="610"/>
    </row>
    <row r="294" spans="2:15" ht="13" x14ac:dyDescent="0.25">
      <c r="B294" s="1057">
        <v>2017</v>
      </c>
      <c r="C294" s="1058"/>
      <c r="D294" s="1058">
        <v>2016</v>
      </c>
      <c r="E294" s="1059"/>
      <c r="F294" s="896"/>
      <c r="G294" s="839">
        <f>+N286</f>
        <v>0</v>
      </c>
      <c r="H294" s="898">
        <f>IF(SIGN(G295*N287)&lt;0,IF(G294&lt;&gt;0,-SIGN(G294)*MIN(ABS(G295-H292-H293),ABS(G294)),0),0)</f>
        <v>0</v>
      </c>
      <c r="I294" s="839">
        <f>+G294+H294</f>
        <v>0</v>
      </c>
      <c r="J294" s="698"/>
      <c r="K294" s="897">
        <f>-MIN(ABS(I294),ABS(J296-K292-K293))*SIGN(I294)</f>
        <v>0</v>
      </c>
      <c r="L294" s="898">
        <f>+K294+H294</f>
        <v>0</v>
      </c>
      <c r="M294" s="20"/>
      <c r="N294" s="839">
        <f>+I294+K294</f>
        <v>0</v>
      </c>
      <c r="O294" s="610"/>
    </row>
    <row r="295" spans="2:15" ht="13" x14ac:dyDescent="0.25">
      <c r="B295" s="1057">
        <v>2018</v>
      </c>
      <c r="C295" s="1058"/>
      <c r="D295" s="1058"/>
      <c r="E295" s="1059"/>
      <c r="F295" s="896"/>
      <c r="G295" s="839">
        <f>J122</f>
        <v>0</v>
      </c>
      <c r="H295" s="898">
        <f>IF(SIGN(G295*N287)&lt;0,-SUM(H292:H294),0)</f>
        <v>0</v>
      </c>
      <c r="I295" s="839">
        <f>+G295+H295</f>
        <v>0</v>
      </c>
      <c r="J295" s="698"/>
      <c r="K295" s="897">
        <f>-MIN(ABS(I295),ABS(J296-K292-K293-K294))*SIGN(I295)</f>
        <v>0</v>
      </c>
      <c r="L295" s="898">
        <f>+K295+H295</f>
        <v>0</v>
      </c>
      <c r="M295" s="20"/>
      <c r="N295" s="839">
        <f>+I295+K295</f>
        <v>0</v>
      </c>
      <c r="O295" s="610"/>
    </row>
    <row r="296" spans="2:15" s="18" customFormat="1" ht="13" x14ac:dyDescent="0.3">
      <c r="G296" s="899">
        <f>SUM(G292:G295)</f>
        <v>0</v>
      </c>
      <c r="H296" s="899">
        <f>SUM(H292:H295)</f>
        <v>0</v>
      </c>
      <c r="I296" s="899">
        <f>SUM(I292:I295)</f>
        <v>0</v>
      </c>
      <c r="J296" s="899">
        <f>-I296*0.6</f>
        <v>0</v>
      </c>
      <c r="K296" s="900">
        <f>SUM(K292:K295)</f>
        <v>0</v>
      </c>
      <c r="L296" s="900"/>
      <c r="N296" s="899">
        <f>SUM(N292:N295)</f>
        <v>0</v>
      </c>
    </row>
    <row r="299" spans="2:15" ht="13" x14ac:dyDescent="0.3">
      <c r="B299" s="18" t="s">
        <v>364</v>
      </c>
      <c r="C299" s="381"/>
      <c r="D299" s="381"/>
      <c r="E299" s="381"/>
    </row>
    <row r="300" spans="2:15" ht="13" x14ac:dyDescent="0.3">
      <c r="B300" s="18"/>
      <c r="C300" s="381"/>
      <c r="D300" s="381"/>
      <c r="E300" s="381"/>
    </row>
    <row r="301" spans="2:15" ht="13" x14ac:dyDescent="0.3">
      <c r="B301" s="864">
        <f>F269</f>
        <v>2017</v>
      </c>
      <c r="C301" s="906">
        <f>J272</f>
        <v>0</v>
      </c>
      <c r="D301" s="381"/>
      <c r="E301" s="381"/>
    </row>
    <row r="302" spans="2:15" ht="13" x14ac:dyDescent="0.3">
      <c r="B302" s="864">
        <f>F274</f>
        <v>2018</v>
      </c>
      <c r="C302" s="906">
        <f>K279</f>
        <v>0</v>
      </c>
      <c r="D302" s="381"/>
      <c r="E302" s="381"/>
    </row>
    <row r="303" spans="2:15" ht="13" x14ac:dyDescent="0.3">
      <c r="B303" s="864">
        <f>F281</f>
        <v>2019</v>
      </c>
      <c r="C303" s="906">
        <f>K287</f>
        <v>0</v>
      </c>
      <c r="D303" s="381"/>
      <c r="E303" s="381"/>
    </row>
    <row r="304" spans="2:15" ht="13" x14ac:dyDescent="0.3">
      <c r="B304" s="864">
        <f>F289</f>
        <v>2020</v>
      </c>
      <c r="C304" s="906">
        <f>K296</f>
        <v>0</v>
      </c>
      <c r="D304" s="381"/>
      <c r="E304" s="381"/>
    </row>
    <row r="305" spans="2:15" x14ac:dyDescent="0.25">
      <c r="M305" s="610"/>
    </row>
    <row r="306" spans="2:15" x14ac:dyDescent="0.25">
      <c r="M306" s="610"/>
    </row>
    <row r="307" spans="2:15" ht="13" x14ac:dyDescent="0.3">
      <c r="B307" s="902" t="s">
        <v>133</v>
      </c>
      <c r="C307" s="903"/>
      <c r="D307" s="903"/>
      <c r="E307" s="903"/>
      <c r="F307" s="904"/>
      <c r="G307" s="904"/>
      <c r="H307" s="904"/>
      <c r="I307" s="904"/>
      <c r="J307" s="904"/>
      <c r="K307" s="904"/>
      <c r="L307" s="904"/>
      <c r="M307" s="905"/>
      <c r="N307" s="904"/>
    </row>
    <row r="308" spans="2:15" x14ac:dyDescent="0.25">
      <c r="M308" s="610"/>
    </row>
    <row r="309" spans="2:15" ht="13" x14ac:dyDescent="0.3">
      <c r="B309" s="18" t="s">
        <v>362</v>
      </c>
      <c r="F309" s="895">
        <v>2017</v>
      </c>
      <c r="M309" s="610"/>
    </row>
    <row r="310" spans="2:15" x14ac:dyDescent="0.25">
      <c r="L310" s="610"/>
      <c r="M310" s="20"/>
    </row>
    <row r="311" spans="2:15" ht="82.5" customHeight="1" x14ac:dyDescent="0.25">
      <c r="B311" s="1060" t="s">
        <v>363</v>
      </c>
      <c r="C311" s="1061"/>
      <c r="D311" s="1061"/>
      <c r="E311" s="1062"/>
      <c r="F311" s="599"/>
      <c r="G311" s="675" t="str">
        <f>"Nog af te bouwen regulatoir saldo einde "&amp;F309-1</f>
        <v>Nog af te bouwen regulatoir saldo einde 2016</v>
      </c>
      <c r="H311" s="675" t="str">
        <f>"Afbouw oudste openstaande regulatoir saldo vanaf boekjaar "&amp;F309-3&amp;" en vroeger, door aanwending van compensatie met regulatoir saldo ontstaan over boekjaar "&amp;F309-2</f>
        <v>Afbouw oudste openstaande regulatoir saldo vanaf boekjaar 2014 en vroeger, door aanwending van compensatie met regulatoir saldo ontstaan over boekjaar 2015</v>
      </c>
      <c r="I311" s="675" t="str">
        <f>"Nog af te bouwen regulatoir saldo na compensatie einde "&amp;F309-1</f>
        <v>Nog af te bouwen regulatoir saldo na compensatie einde 2016</v>
      </c>
      <c r="J311" s="675" t="str">
        <f>"Aanwending van 60% van het geaccumuleerd regulatoir saldo door te rekenen volgens de tariefmethodologie in het boekjaar "&amp;F309</f>
        <v>Aanwending van 60% van het geaccumuleerd regulatoir saldo door te rekenen volgens de tariefmethodologie in het boekjaar 2017</v>
      </c>
      <c r="K311" s="675" t="str">
        <f>"Nog af te bouwen regulatoir saldo einde "&amp;F309</f>
        <v>Nog af te bouwen regulatoir saldo einde 2017</v>
      </c>
      <c r="L311" s="610"/>
      <c r="M311" s="20"/>
    </row>
    <row r="312" spans="2:15" ht="13" x14ac:dyDescent="0.25">
      <c r="B312" s="1057">
        <v>2015</v>
      </c>
      <c r="C312" s="1058"/>
      <c r="D312" s="1058"/>
      <c r="E312" s="1059"/>
      <c r="F312" s="896"/>
      <c r="G312" s="839">
        <f>G126</f>
        <v>0</v>
      </c>
      <c r="H312" s="897">
        <v>0</v>
      </c>
      <c r="I312" s="839">
        <f>+G312+H312</f>
        <v>0</v>
      </c>
      <c r="J312" s="839">
        <f>-I312*0.6</f>
        <v>0</v>
      </c>
      <c r="K312" s="908">
        <f>+J312+G312</f>
        <v>0</v>
      </c>
      <c r="L312" s="610"/>
      <c r="M312" s="20"/>
    </row>
    <row r="313" spans="2:15" x14ac:dyDescent="0.25">
      <c r="L313" s="610"/>
      <c r="M313" s="20"/>
    </row>
    <row r="314" spans="2:15" ht="13" x14ac:dyDescent="0.3">
      <c r="B314" s="18" t="s">
        <v>362</v>
      </c>
      <c r="F314" s="895">
        <v>2018</v>
      </c>
      <c r="M314" s="610"/>
    </row>
    <row r="315" spans="2:15" x14ac:dyDescent="0.25">
      <c r="M315" s="610"/>
    </row>
    <row r="316" spans="2:15" ht="69.75" customHeight="1" x14ac:dyDescent="0.25">
      <c r="B316" s="1060" t="s">
        <v>363</v>
      </c>
      <c r="C316" s="1061"/>
      <c r="D316" s="1061"/>
      <c r="E316" s="1062"/>
      <c r="F316" s="599"/>
      <c r="G316" s="675" t="str">
        <f>"Nog af te bouwen regulatoir saldo einde "&amp;F314-1</f>
        <v>Nog af te bouwen regulatoir saldo einde 2017</v>
      </c>
      <c r="H316" s="675" t="str">
        <f>"Afbouw oudste openstaande regulatoir saldo vanaf boekjaar "&amp;F314-3&amp;" en vroeger, door aanwending van compensatie met regulatoir saldo ontstaan over boekjaar "&amp;F314-2</f>
        <v>Afbouw oudste openstaande regulatoir saldo vanaf boekjaar 2015 en vroeger, door aanwending van compensatie met regulatoir saldo ontstaan over boekjaar 2016</v>
      </c>
      <c r="I316" s="675" t="str">
        <f>"Nog af te bouwen regulatoir saldo na compensatie einde "&amp;F314-1</f>
        <v>Nog af te bouwen regulatoir saldo na compensatie einde 2017</v>
      </c>
      <c r="J316" s="675" t="str">
        <f>"60% van het geaccumuleerd regulatoir saldo door te rekenen volgens de tariefmethodologie in het boekjaar "&amp;F314</f>
        <v>60% van het geaccumuleerd regulatoir saldo door te rekenen volgens de tariefmethodologie in het boekjaar 2018</v>
      </c>
      <c r="K316" s="675" t="str">
        <f>"Aanwending van 60% van het geaccumuleerd regulatoir saldo door te rekenen volgens de tariefmethodologie in het boekjaar "&amp;F314</f>
        <v>Aanwending van 60% van het geaccumuleerd regulatoir saldo door te rekenen volgens de tariefmethodologie in het boekjaar 2018</v>
      </c>
      <c r="L316" s="675" t="str">
        <f>"Totale afbouw over "&amp;F314</f>
        <v>Totale afbouw over 2018</v>
      </c>
      <c r="M316" s="20"/>
      <c r="N316" s="675" t="str">
        <f>"Nog af te bouwen regulatoir saldo einde "&amp;F314</f>
        <v>Nog af te bouwen regulatoir saldo einde 2018</v>
      </c>
      <c r="O316" s="610"/>
    </row>
    <row r="317" spans="2:15" ht="13" x14ac:dyDescent="0.25">
      <c r="B317" s="1057">
        <v>2015</v>
      </c>
      <c r="C317" s="1058"/>
      <c r="D317" s="1058"/>
      <c r="E317" s="1059"/>
      <c r="F317" s="896"/>
      <c r="G317" s="839">
        <f>K312</f>
        <v>0</v>
      </c>
      <c r="H317" s="897">
        <f>IF(SIGN(G318*K312)&lt;0,IF(G317&lt;&gt;0,-SIGN(G317)*MIN(ABS(G318),ABS(G317)),0),0)</f>
        <v>0</v>
      </c>
      <c r="I317" s="839">
        <f>+G317+H317</f>
        <v>0</v>
      </c>
      <c r="J317" s="698"/>
      <c r="K317" s="897">
        <f>-MIN(ABS(I317),ABS(J319))*SIGN(I317)</f>
        <v>0</v>
      </c>
      <c r="L317" s="898">
        <f>+K317+H317</f>
        <v>0</v>
      </c>
      <c r="M317" s="20"/>
      <c r="N317" s="839">
        <f>+I317+K317</f>
        <v>0</v>
      </c>
      <c r="O317" s="610"/>
    </row>
    <row r="318" spans="2:15" ht="13" x14ac:dyDescent="0.25">
      <c r="B318" s="1057">
        <v>2016</v>
      </c>
      <c r="C318" s="1058"/>
      <c r="D318" s="1058"/>
      <c r="E318" s="1059"/>
      <c r="F318" s="896"/>
      <c r="G318" s="839">
        <f>H127</f>
        <v>0</v>
      </c>
      <c r="H318" s="898">
        <f>IF(SIGN(G318*K312)&lt;0,-H317,0)</f>
        <v>0</v>
      </c>
      <c r="I318" s="839">
        <f>+G318+H318</f>
        <v>0</v>
      </c>
      <c r="J318" s="698"/>
      <c r="K318" s="897">
        <f>-MIN(ABS(I318),ABS(J319-K317))*SIGN(I318)</f>
        <v>0</v>
      </c>
      <c r="L318" s="898">
        <f>+K318+H318</f>
        <v>0</v>
      </c>
      <c r="M318" s="20"/>
      <c r="N318" s="839">
        <f>+I318+K318</f>
        <v>0</v>
      </c>
      <c r="O318" s="610"/>
    </row>
    <row r="319" spans="2:15" s="18" customFormat="1" ht="13" x14ac:dyDescent="0.3">
      <c r="G319" s="899">
        <f>SUM(G317:G318)</f>
        <v>0</v>
      </c>
      <c r="H319" s="899">
        <f>SUM(H317:H318)</f>
        <v>0</v>
      </c>
      <c r="I319" s="899">
        <f>SUM(I317:I318)</f>
        <v>0</v>
      </c>
      <c r="J319" s="899">
        <f>-I319*0.6</f>
        <v>0</v>
      </c>
      <c r="K319" s="900">
        <f>SUM(K317:K318)</f>
        <v>0</v>
      </c>
      <c r="L319" s="901"/>
      <c r="N319" s="899">
        <f>SUM(N317:N318)</f>
        <v>0</v>
      </c>
    </row>
    <row r="320" spans="2:15" x14ac:dyDescent="0.25">
      <c r="M320" s="610"/>
    </row>
    <row r="321" spans="2:15" ht="13" x14ac:dyDescent="0.3">
      <c r="B321" s="18" t="s">
        <v>362</v>
      </c>
      <c r="F321" s="895">
        <v>2019</v>
      </c>
      <c r="M321" s="20"/>
    </row>
    <row r="322" spans="2:15" x14ac:dyDescent="0.25">
      <c r="M322" s="20"/>
    </row>
    <row r="323" spans="2:15" ht="75.75" customHeight="1" x14ac:dyDescent="0.25">
      <c r="B323" s="1060" t="s">
        <v>363</v>
      </c>
      <c r="C323" s="1061"/>
      <c r="D323" s="1061"/>
      <c r="E323" s="1062"/>
      <c r="F323" s="599"/>
      <c r="G323" s="675" t="str">
        <f>"Nog af te bouwen regulatoir saldo einde "&amp;F321-1</f>
        <v>Nog af te bouwen regulatoir saldo einde 2018</v>
      </c>
      <c r="H323" s="675" t="str">
        <f>"Afbouw oudste openstaande regulatoir saldo vanaf boekjaar "&amp;F321-3&amp;" en vroeger, door aanwending van compensatie met regulatoir saldo ontstaan over boekjaar "&amp;F321-2</f>
        <v>Afbouw oudste openstaande regulatoir saldo vanaf boekjaar 2016 en vroeger, door aanwending van compensatie met regulatoir saldo ontstaan over boekjaar 2017</v>
      </c>
      <c r="I323" s="675" t="str">
        <f>"Nog af te bouwen regulatoir saldo na compensatie einde "&amp;F321-1</f>
        <v>Nog af te bouwen regulatoir saldo na compensatie einde 2018</v>
      </c>
      <c r="J323" s="675" t="str">
        <f>"60% van het geaccumuleerd regulatoir saldo door te rekenen volgens de tariefmethodologie in het boekjaar "&amp;F321</f>
        <v>60% van het geaccumuleerd regulatoir saldo door te rekenen volgens de tariefmethodologie in het boekjaar 2019</v>
      </c>
      <c r="K323" s="675" t="str">
        <f>"Aanwending van het 60% van het geaccumuleerd regulatoir saldo door te rekenen volgens de tariefmethodologie in het boekjaar "&amp;F321</f>
        <v>Aanwending van het 60% van het geaccumuleerd regulatoir saldo door te rekenen volgens de tariefmethodologie in het boekjaar 2019</v>
      </c>
      <c r="L323" s="675" t="str">
        <f>"Totale afbouw over "&amp;F321</f>
        <v>Totale afbouw over 2019</v>
      </c>
      <c r="M323" s="20"/>
      <c r="N323" s="675" t="str">
        <f>"Nog af te bouwen regulatoir saldo einde "&amp;F321</f>
        <v>Nog af te bouwen regulatoir saldo einde 2019</v>
      </c>
      <c r="O323" s="610"/>
    </row>
    <row r="324" spans="2:15" ht="13" x14ac:dyDescent="0.25">
      <c r="B324" s="1057">
        <v>2015</v>
      </c>
      <c r="C324" s="1058"/>
      <c r="D324" s="1058"/>
      <c r="E324" s="1059"/>
      <c r="F324" s="896"/>
      <c r="G324" s="839">
        <f>+N317</f>
        <v>0</v>
      </c>
      <c r="H324" s="898">
        <f>IF(SIGN(G326*N319)&lt;0,IF(G324&lt;&gt;0,-SIGN(G324)*MIN(ABS(G326),ABS(G324)),0),0)</f>
        <v>0</v>
      </c>
      <c r="I324" s="839">
        <f>+G324+H324</f>
        <v>0</v>
      </c>
      <c r="J324" s="698"/>
      <c r="K324" s="897">
        <f>-MIN(ABS(I324),ABS(J327))*SIGN(I324)</f>
        <v>0</v>
      </c>
      <c r="L324" s="898">
        <f>+K324+H324</f>
        <v>0</v>
      </c>
      <c r="M324" s="20"/>
      <c r="N324" s="839">
        <f>+I324+K324</f>
        <v>0</v>
      </c>
      <c r="O324" s="610"/>
    </row>
    <row r="325" spans="2:15" ht="13" x14ac:dyDescent="0.25">
      <c r="B325" s="1057">
        <v>2016</v>
      </c>
      <c r="C325" s="1058"/>
      <c r="D325" s="1058">
        <v>2016</v>
      </c>
      <c r="E325" s="1059"/>
      <c r="F325" s="896"/>
      <c r="G325" s="839">
        <f>+N318</f>
        <v>0</v>
      </c>
      <c r="H325" s="898">
        <f>IF(SIGN(G326*N319)&lt;0,IF(G325&lt;&gt;0,-SIGN(G325)*MIN(ABS(G326-H324),ABS(G325)),0),0)</f>
        <v>0</v>
      </c>
      <c r="I325" s="839">
        <f>+G325+H325</f>
        <v>0</v>
      </c>
      <c r="J325" s="698"/>
      <c r="K325" s="897">
        <f>-MIN(ABS(I325),ABS(J327-K324))*SIGN(I325)</f>
        <v>0</v>
      </c>
      <c r="L325" s="898">
        <f>+K325+H325</f>
        <v>0</v>
      </c>
      <c r="M325" s="20"/>
      <c r="N325" s="839">
        <f>+I325+K325</f>
        <v>0</v>
      </c>
      <c r="O325" s="610"/>
    </row>
    <row r="326" spans="2:15" ht="13" x14ac:dyDescent="0.25">
      <c r="B326" s="1057">
        <v>2017</v>
      </c>
      <c r="C326" s="1058"/>
      <c r="D326" s="1058"/>
      <c r="E326" s="1059"/>
      <c r="F326" s="896"/>
      <c r="G326" s="839">
        <f>I128</f>
        <v>0</v>
      </c>
      <c r="H326" s="898">
        <f>IF(SIGN(G326*N319)&lt;0,-SUM(H324:H325),0)</f>
        <v>0</v>
      </c>
      <c r="I326" s="839">
        <f>+G326+H326</f>
        <v>0</v>
      </c>
      <c r="J326" s="698"/>
      <c r="K326" s="897">
        <f>-MIN(ABS(I326),ABS(J327-K324-K325))*SIGN(I326)</f>
        <v>0</v>
      </c>
      <c r="L326" s="898">
        <f>+K326+H326</f>
        <v>0</v>
      </c>
      <c r="M326" s="20"/>
      <c r="N326" s="839">
        <f>+I326+K326</f>
        <v>0</v>
      </c>
      <c r="O326" s="610"/>
    </row>
    <row r="327" spans="2:15" s="18" customFormat="1" ht="13" x14ac:dyDescent="0.3">
      <c r="G327" s="899">
        <f>SUM(G324:G326)</f>
        <v>0</v>
      </c>
      <c r="H327" s="899">
        <f>SUM(H324:H326)</f>
        <v>0</v>
      </c>
      <c r="I327" s="899">
        <f>SUM(I324:I326)</f>
        <v>0</v>
      </c>
      <c r="J327" s="899">
        <f>-I327*0.6</f>
        <v>0</v>
      </c>
      <c r="K327" s="900">
        <f>SUM(K324:K326)</f>
        <v>0</v>
      </c>
      <c r="L327" s="901"/>
      <c r="N327" s="899">
        <f>SUM(N324:N326)</f>
        <v>0</v>
      </c>
    </row>
    <row r="328" spans="2:15" x14ac:dyDescent="0.25">
      <c r="M328" s="610"/>
    </row>
    <row r="329" spans="2:15" ht="13" x14ac:dyDescent="0.3">
      <c r="B329" s="18" t="s">
        <v>362</v>
      </c>
      <c r="F329" s="895">
        <v>2020</v>
      </c>
      <c r="M329" s="20"/>
    </row>
    <row r="330" spans="2:15" x14ac:dyDescent="0.25">
      <c r="M330" s="20"/>
    </row>
    <row r="331" spans="2:15" ht="78" customHeight="1" x14ac:dyDescent="0.25">
      <c r="B331" s="1060" t="s">
        <v>363</v>
      </c>
      <c r="C331" s="1061"/>
      <c r="D331" s="1061"/>
      <c r="E331" s="1062"/>
      <c r="F331" s="599"/>
      <c r="G331" s="675" t="str">
        <f>"Nog af te bouwen regulatoir saldo einde "&amp;F329-1</f>
        <v>Nog af te bouwen regulatoir saldo einde 2019</v>
      </c>
      <c r="H331" s="675" t="str">
        <f>"Afbouw oudste openstaande regulatoir saldo vanaf boekjaar "&amp;F329-3&amp;" en vroeger, door aanwending van compensatie met regulatoir saldo ontstaan over boekjaar "&amp;F329-2</f>
        <v>Afbouw oudste openstaande regulatoir saldo vanaf boekjaar 2017 en vroeger, door aanwending van compensatie met regulatoir saldo ontstaan over boekjaar 2018</v>
      </c>
      <c r="I331" s="675" t="str">
        <f>"Nog af te bouwen regulatoir saldo na compensatie einde "&amp;F329-1</f>
        <v>Nog af te bouwen regulatoir saldo na compensatie einde 2019</v>
      </c>
      <c r="J331" s="675" t="str">
        <f>"60% van het geaccumuleerd regulatoir saldo door te rekenen volgens de tariefmethodologie in het boekjaar "&amp;F329</f>
        <v>60% van het geaccumuleerd regulatoir saldo door te rekenen volgens de tariefmethodologie in het boekjaar 2020</v>
      </c>
      <c r="K331" s="675" t="str">
        <f>"Aanwending van het 60% van het geaccumuleerd regulatoir saldo door te rekenen volgens de tariefmethodologie in het boekjaar "&amp;F329</f>
        <v>Aanwending van het 60% van het geaccumuleerd regulatoir saldo door te rekenen volgens de tariefmethodologie in het boekjaar 2020</v>
      </c>
      <c r="L331" s="675" t="str">
        <f>"Totale afbouw over "&amp;F329</f>
        <v>Totale afbouw over 2020</v>
      </c>
      <c r="M331" s="20"/>
      <c r="N331" s="675" t="str">
        <f>"Nog af te bouwen regulatoir saldo einde "&amp;F329</f>
        <v>Nog af te bouwen regulatoir saldo einde 2020</v>
      </c>
      <c r="O331" s="610"/>
    </row>
    <row r="332" spans="2:15" ht="13" x14ac:dyDescent="0.25">
      <c r="B332" s="1057">
        <v>2015</v>
      </c>
      <c r="C332" s="1058"/>
      <c r="D332" s="1058"/>
      <c r="E332" s="1059"/>
      <c r="F332" s="896"/>
      <c r="G332" s="839">
        <f>+N324</f>
        <v>0</v>
      </c>
      <c r="H332" s="898">
        <f>IF(SIGN(G335*N327)&lt;0,IF(G332&lt;&gt;0,-SIGN(G332)*MIN(ABS(G335),ABS(G332)),0),0)</f>
        <v>0</v>
      </c>
      <c r="I332" s="839">
        <f>+G332+H332</f>
        <v>0</v>
      </c>
      <c r="J332" s="698"/>
      <c r="K332" s="897">
        <f>-MIN(ABS(I332),ABS(J336))*SIGN(I332)</f>
        <v>0</v>
      </c>
      <c r="L332" s="898">
        <f>+K332+H332</f>
        <v>0</v>
      </c>
      <c r="M332" s="20"/>
      <c r="N332" s="839">
        <f>+I332+K332</f>
        <v>0</v>
      </c>
      <c r="O332" s="610"/>
    </row>
    <row r="333" spans="2:15" ht="13" x14ac:dyDescent="0.25">
      <c r="B333" s="1057">
        <v>2016</v>
      </c>
      <c r="C333" s="1058"/>
      <c r="D333" s="1058"/>
      <c r="E333" s="1059"/>
      <c r="F333" s="896"/>
      <c r="G333" s="839">
        <f>+N325</f>
        <v>0</v>
      </c>
      <c r="H333" s="898">
        <f>IF(SIGN(G335*N327)&lt;0,IF(G333&lt;&gt;0,-SIGN(G333)*MIN(ABS(G335-H332),ABS(G333)),0),0)</f>
        <v>0</v>
      </c>
      <c r="I333" s="839">
        <f>+G333+H333</f>
        <v>0</v>
      </c>
      <c r="J333" s="698"/>
      <c r="K333" s="897">
        <f>-MIN(ABS(I333),ABS(J336-K332))*SIGN(I333)</f>
        <v>0</v>
      </c>
      <c r="L333" s="898">
        <f>+K333+H333</f>
        <v>0</v>
      </c>
      <c r="M333" s="20"/>
      <c r="N333" s="839">
        <f>+I333+K333</f>
        <v>0</v>
      </c>
      <c r="O333" s="610"/>
    </row>
    <row r="334" spans="2:15" ht="13" x14ac:dyDescent="0.25">
      <c r="B334" s="1057">
        <v>2017</v>
      </c>
      <c r="C334" s="1058"/>
      <c r="D334" s="1058">
        <v>2016</v>
      </c>
      <c r="E334" s="1059"/>
      <c r="F334" s="896"/>
      <c r="G334" s="839">
        <f>+N326</f>
        <v>0</v>
      </c>
      <c r="H334" s="898">
        <f>IF(SIGN(G335*N327)&lt;0,IF(G334&lt;&gt;0,-SIGN(G334)*MIN(ABS(G335-H332-H333),ABS(G334)),0),0)</f>
        <v>0</v>
      </c>
      <c r="I334" s="839">
        <f>+G334+H334</f>
        <v>0</v>
      </c>
      <c r="J334" s="698"/>
      <c r="K334" s="897">
        <f>-MIN(ABS(I334),ABS(J336-K332-K333))*SIGN(I334)</f>
        <v>0</v>
      </c>
      <c r="L334" s="898">
        <f>+K334+H334</f>
        <v>0</v>
      </c>
      <c r="M334" s="20"/>
      <c r="N334" s="839">
        <f>+I334+K334</f>
        <v>0</v>
      </c>
      <c r="O334" s="610"/>
    </row>
    <row r="335" spans="2:15" ht="13" x14ac:dyDescent="0.25">
      <c r="B335" s="1057">
        <v>2018</v>
      </c>
      <c r="C335" s="1058"/>
      <c r="D335" s="1058"/>
      <c r="E335" s="1059"/>
      <c r="F335" s="896"/>
      <c r="G335" s="839">
        <f>J129</f>
        <v>0</v>
      </c>
      <c r="H335" s="898">
        <f>IF(SIGN(G335*N327)&lt;0,-SUM(H332:H334),0)</f>
        <v>0</v>
      </c>
      <c r="I335" s="839">
        <f>+G335+H335</f>
        <v>0</v>
      </c>
      <c r="J335" s="698"/>
      <c r="K335" s="897">
        <f>-MIN(ABS(I335),ABS(J336-K332-K333-K334))*SIGN(I335)</f>
        <v>0</v>
      </c>
      <c r="L335" s="898">
        <f>+K335+H335</f>
        <v>0</v>
      </c>
      <c r="M335" s="20"/>
      <c r="N335" s="839">
        <f>+I335+K335</f>
        <v>0</v>
      </c>
      <c r="O335" s="610"/>
    </row>
    <row r="336" spans="2:15" s="18" customFormat="1" ht="13" x14ac:dyDescent="0.3">
      <c r="G336" s="899">
        <f>SUM(G332:G335)</f>
        <v>0</v>
      </c>
      <c r="H336" s="899">
        <f>SUM(H332:H335)</f>
        <v>0</v>
      </c>
      <c r="I336" s="899">
        <f>SUM(I332:I335)</f>
        <v>0</v>
      </c>
      <c r="J336" s="899">
        <f>-I336*0.6</f>
        <v>0</v>
      </c>
      <c r="K336" s="900">
        <f>SUM(K332:K335)</f>
        <v>0</v>
      </c>
      <c r="L336" s="900"/>
      <c r="N336" s="899">
        <f>SUM(N332:N335)</f>
        <v>0</v>
      </c>
    </row>
    <row r="339" spans="2:14" ht="13" x14ac:dyDescent="0.3">
      <c r="B339" s="18" t="s">
        <v>364</v>
      </c>
      <c r="C339" s="381"/>
      <c r="D339" s="381"/>
      <c r="E339" s="381"/>
    </row>
    <row r="340" spans="2:14" ht="13" x14ac:dyDescent="0.3">
      <c r="B340" s="18"/>
      <c r="C340" s="381"/>
      <c r="D340" s="381"/>
      <c r="E340" s="381"/>
    </row>
    <row r="341" spans="2:14" ht="13" x14ac:dyDescent="0.3">
      <c r="B341" s="864">
        <f>F309</f>
        <v>2017</v>
      </c>
      <c r="C341" s="906">
        <f>J312</f>
        <v>0</v>
      </c>
      <c r="D341" s="381"/>
      <c r="E341" s="381"/>
    </row>
    <row r="342" spans="2:14" ht="13" x14ac:dyDescent="0.3">
      <c r="B342" s="864">
        <f>F314</f>
        <v>2018</v>
      </c>
      <c r="C342" s="906">
        <f>K319</f>
        <v>0</v>
      </c>
      <c r="D342" s="381"/>
      <c r="E342" s="381"/>
    </row>
    <row r="343" spans="2:14" ht="13" x14ac:dyDescent="0.3">
      <c r="B343" s="864">
        <f>F321</f>
        <v>2019</v>
      </c>
      <c r="C343" s="906">
        <f>K327</f>
        <v>0</v>
      </c>
      <c r="D343" s="381"/>
      <c r="E343" s="381"/>
    </row>
    <row r="344" spans="2:14" ht="13" x14ac:dyDescent="0.3">
      <c r="B344" s="864">
        <f>F329</f>
        <v>2020</v>
      </c>
      <c r="C344" s="906">
        <f>K336</f>
        <v>0</v>
      </c>
      <c r="D344" s="381"/>
      <c r="E344" s="381"/>
    </row>
    <row r="345" spans="2:14" x14ac:dyDescent="0.25">
      <c r="M345" s="610"/>
    </row>
    <row r="346" spans="2:14" x14ac:dyDescent="0.25">
      <c r="M346" s="610"/>
    </row>
    <row r="347" spans="2:14" ht="13" x14ac:dyDescent="0.3">
      <c r="B347" s="902" t="s">
        <v>239</v>
      </c>
      <c r="C347" s="903"/>
      <c r="D347" s="903"/>
      <c r="E347" s="903"/>
      <c r="F347" s="904"/>
      <c r="G347" s="904"/>
      <c r="H347" s="904"/>
      <c r="I347" s="904"/>
      <c r="J347" s="904"/>
      <c r="K347" s="904"/>
      <c r="L347" s="904"/>
      <c r="M347" s="905"/>
      <c r="N347" s="904"/>
    </row>
    <row r="348" spans="2:14" x14ac:dyDescent="0.25">
      <c r="M348" s="610"/>
    </row>
    <row r="349" spans="2:14" ht="13" x14ac:dyDescent="0.3">
      <c r="B349" s="18" t="s">
        <v>362</v>
      </c>
      <c r="F349" s="895">
        <v>2017</v>
      </c>
      <c r="M349" s="610"/>
    </row>
    <row r="350" spans="2:14" x14ac:dyDescent="0.25">
      <c r="L350" s="610"/>
      <c r="M350" s="20"/>
    </row>
    <row r="351" spans="2:14" ht="82.5" customHeight="1" x14ac:dyDescent="0.25">
      <c r="B351" s="1060" t="s">
        <v>363</v>
      </c>
      <c r="C351" s="1061"/>
      <c r="D351" s="1061"/>
      <c r="E351" s="1062"/>
      <c r="F351" s="599"/>
      <c r="G351" s="675" t="str">
        <f>"Nog af te bouwen regulatoir saldo einde "&amp;F349-1</f>
        <v>Nog af te bouwen regulatoir saldo einde 2016</v>
      </c>
      <c r="H351" s="675" t="str">
        <f>"Afbouw oudste openstaande regulatoir saldo vanaf boekjaar "&amp;F349-3&amp;" en vroeger, door aanwending van compensatie met regulatoir saldo ontstaan over boekjaar "&amp;F349-2</f>
        <v>Afbouw oudste openstaande regulatoir saldo vanaf boekjaar 2014 en vroeger, door aanwending van compensatie met regulatoir saldo ontstaan over boekjaar 2015</v>
      </c>
      <c r="I351" s="675" t="str">
        <f>"Nog af te bouwen regulatoir saldo na compensatie einde "&amp;F349-1</f>
        <v>Nog af te bouwen regulatoir saldo na compensatie einde 2016</v>
      </c>
      <c r="J351" s="675" t="str">
        <f>"Aanwending van 60% van het geaccumuleerd regulatoir saldo door te rekenen volgens de tariefmethodologie in het boekjaar "&amp;F349</f>
        <v>Aanwending van 60% van het geaccumuleerd regulatoir saldo door te rekenen volgens de tariefmethodologie in het boekjaar 2017</v>
      </c>
      <c r="K351" s="675" t="str">
        <f>"Nog af te bouwen regulatoir saldo einde "&amp;F349</f>
        <v>Nog af te bouwen regulatoir saldo einde 2017</v>
      </c>
      <c r="L351" s="610"/>
      <c r="M351" s="20"/>
    </row>
    <row r="352" spans="2:14" ht="13" x14ac:dyDescent="0.25">
      <c r="B352" s="1057">
        <v>2015</v>
      </c>
      <c r="C352" s="1058"/>
      <c r="D352" s="1058"/>
      <c r="E352" s="1059"/>
      <c r="F352" s="896"/>
      <c r="G352" s="839">
        <f>G133</f>
        <v>0</v>
      </c>
      <c r="H352" s="897">
        <v>0</v>
      </c>
      <c r="I352" s="839">
        <f>+G352+H352</f>
        <v>0</v>
      </c>
      <c r="J352" s="839">
        <f>-I352*0.6</f>
        <v>0</v>
      </c>
      <c r="K352" s="908">
        <f>+J352+G352</f>
        <v>0</v>
      </c>
      <c r="L352" s="610"/>
      <c r="M352" s="20"/>
    </row>
    <row r="353" spans="2:15" x14ac:dyDescent="0.25">
      <c r="L353" s="610"/>
      <c r="M353" s="20"/>
    </row>
    <row r="354" spans="2:15" ht="13" x14ac:dyDescent="0.3">
      <c r="B354" s="18" t="s">
        <v>362</v>
      </c>
      <c r="F354" s="895">
        <v>2018</v>
      </c>
      <c r="M354" s="610"/>
    </row>
    <row r="355" spans="2:15" x14ac:dyDescent="0.25">
      <c r="M355" s="610"/>
    </row>
    <row r="356" spans="2:15" ht="69.75" customHeight="1" x14ac:dyDescent="0.25">
      <c r="B356" s="1060" t="s">
        <v>363</v>
      </c>
      <c r="C356" s="1061"/>
      <c r="D356" s="1061"/>
      <c r="E356" s="1062"/>
      <c r="F356" s="599"/>
      <c r="G356" s="675" t="str">
        <f>"Nog af te bouwen regulatoir saldo einde "&amp;F354-1</f>
        <v>Nog af te bouwen regulatoir saldo einde 2017</v>
      </c>
      <c r="H356" s="675" t="str">
        <f>"Afbouw oudste openstaande regulatoir saldo vanaf boekjaar "&amp;F354-3&amp;" en vroeger, door aanwending van compensatie met regulatoir saldo ontstaan over boekjaar "&amp;F354-2</f>
        <v>Afbouw oudste openstaande regulatoir saldo vanaf boekjaar 2015 en vroeger, door aanwending van compensatie met regulatoir saldo ontstaan over boekjaar 2016</v>
      </c>
      <c r="I356" s="675" t="str">
        <f>"Nog af te bouwen regulatoir saldo na compensatie einde "&amp;F354-1</f>
        <v>Nog af te bouwen regulatoir saldo na compensatie einde 2017</v>
      </c>
      <c r="J356" s="675" t="str">
        <f>"60% van het geaccumuleerd regulatoir saldo door te rekenen volgens de tariefmethodologie in het boekjaar "&amp;F354</f>
        <v>60% van het geaccumuleerd regulatoir saldo door te rekenen volgens de tariefmethodologie in het boekjaar 2018</v>
      </c>
      <c r="K356" s="675" t="str">
        <f>"Aanwending van 60% van het geaccumuleerd regulatoir saldo door te rekenen volgens de tariefmethodologie in het boekjaar "&amp;F354</f>
        <v>Aanwending van 60% van het geaccumuleerd regulatoir saldo door te rekenen volgens de tariefmethodologie in het boekjaar 2018</v>
      </c>
      <c r="L356" s="675" t="str">
        <f>"Totale afbouw over "&amp;F354</f>
        <v>Totale afbouw over 2018</v>
      </c>
      <c r="M356" s="20"/>
      <c r="N356" s="675" t="str">
        <f>"Nog af te bouwen regulatoir saldo einde "&amp;F354</f>
        <v>Nog af te bouwen regulatoir saldo einde 2018</v>
      </c>
      <c r="O356" s="610"/>
    </row>
    <row r="357" spans="2:15" ht="13" x14ac:dyDescent="0.25">
      <c r="B357" s="1057">
        <v>2015</v>
      </c>
      <c r="C357" s="1058"/>
      <c r="D357" s="1058"/>
      <c r="E357" s="1059"/>
      <c r="F357" s="896"/>
      <c r="G357" s="839">
        <f>K352</f>
        <v>0</v>
      </c>
      <c r="H357" s="897">
        <f>IF(SIGN(G358*K352)&lt;0,IF(G357&lt;&gt;0,-SIGN(G357)*MIN(ABS(G358),ABS(G357)),0),0)</f>
        <v>0</v>
      </c>
      <c r="I357" s="839">
        <f>+G357+H357</f>
        <v>0</v>
      </c>
      <c r="J357" s="698"/>
      <c r="K357" s="897">
        <f>-MIN(ABS(I357),ABS(J359))*SIGN(I357)</f>
        <v>0</v>
      </c>
      <c r="L357" s="898">
        <f>+K357+H357</f>
        <v>0</v>
      </c>
      <c r="M357" s="20"/>
      <c r="N357" s="839">
        <f>+I357+K357</f>
        <v>0</v>
      </c>
      <c r="O357" s="610"/>
    </row>
    <row r="358" spans="2:15" ht="13" x14ac:dyDescent="0.25">
      <c r="B358" s="1057">
        <v>2016</v>
      </c>
      <c r="C358" s="1058"/>
      <c r="D358" s="1058"/>
      <c r="E358" s="1059"/>
      <c r="F358" s="896"/>
      <c r="G358" s="839">
        <f>H134</f>
        <v>0</v>
      </c>
      <c r="H358" s="898">
        <f>IF(SIGN(G358*K352)&lt;0,-H357,0)</f>
        <v>0</v>
      </c>
      <c r="I358" s="839">
        <f>+G358+H358</f>
        <v>0</v>
      </c>
      <c r="J358" s="698"/>
      <c r="K358" s="897">
        <f>-MIN(ABS(I358),ABS(J359-K357))*SIGN(I358)</f>
        <v>0</v>
      </c>
      <c r="L358" s="898">
        <f>+K358+H358</f>
        <v>0</v>
      </c>
      <c r="M358" s="20"/>
      <c r="N358" s="839">
        <f>+I358+K358</f>
        <v>0</v>
      </c>
      <c r="O358" s="610"/>
    </row>
    <row r="359" spans="2:15" s="18" customFormat="1" ht="13" x14ac:dyDescent="0.3">
      <c r="G359" s="899">
        <f>SUM(G357:G358)</f>
        <v>0</v>
      </c>
      <c r="H359" s="899">
        <f>SUM(H357:H358)</f>
        <v>0</v>
      </c>
      <c r="I359" s="899">
        <f>SUM(I357:I358)</f>
        <v>0</v>
      </c>
      <c r="J359" s="899">
        <f>-I359*0.6</f>
        <v>0</v>
      </c>
      <c r="K359" s="900">
        <f>SUM(K357:K358)</f>
        <v>0</v>
      </c>
      <c r="L359" s="901"/>
      <c r="N359" s="899">
        <f>SUM(N357:N358)</f>
        <v>0</v>
      </c>
    </row>
    <row r="360" spans="2:15" x14ac:dyDescent="0.25">
      <c r="M360" s="610"/>
    </row>
    <row r="361" spans="2:15" ht="13" x14ac:dyDescent="0.3">
      <c r="B361" s="18" t="s">
        <v>362</v>
      </c>
      <c r="F361" s="895">
        <v>2019</v>
      </c>
      <c r="M361" s="20"/>
    </row>
    <row r="362" spans="2:15" x14ac:dyDescent="0.25">
      <c r="M362" s="20"/>
    </row>
    <row r="363" spans="2:15" ht="75.75" customHeight="1" x14ac:dyDescent="0.25">
      <c r="B363" s="1060" t="s">
        <v>363</v>
      </c>
      <c r="C363" s="1061"/>
      <c r="D363" s="1061"/>
      <c r="E363" s="1062"/>
      <c r="F363" s="599"/>
      <c r="G363" s="675" t="str">
        <f>"Nog af te bouwen regulatoir saldo einde "&amp;F361-1</f>
        <v>Nog af te bouwen regulatoir saldo einde 2018</v>
      </c>
      <c r="H363" s="675" t="str">
        <f>"Afbouw oudste openstaande regulatoir saldo vanaf boekjaar "&amp;F361-3&amp;" en vroeger, door aanwending van compensatie met regulatoir saldo ontstaan over boekjaar "&amp;F361-2</f>
        <v>Afbouw oudste openstaande regulatoir saldo vanaf boekjaar 2016 en vroeger, door aanwending van compensatie met regulatoir saldo ontstaan over boekjaar 2017</v>
      </c>
      <c r="I363" s="675" t="str">
        <f>"Nog af te bouwen regulatoir saldo na compensatie einde "&amp;F361-1</f>
        <v>Nog af te bouwen regulatoir saldo na compensatie einde 2018</v>
      </c>
      <c r="J363" s="675" t="str">
        <f>"60% van het geaccumuleerd regulatoir saldo door te rekenen volgens de tariefmethodologie in het boekjaar "&amp;F361</f>
        <v>60% van het geaccumuleerd regulatoir saldo door te rekenen volgens de tariefmethodologie in het boekjaar 2019</v>
      </c>
      <c r="K363" s="675" t="str">
        <f>"Aanwending van het 60% van het geaccumuleerd regulatoir saldo door te rekenen volgens de tariefmethodologie in het boekjaar "&amp;F361</f>
        <v>Aanwending van het 60% van het geaccumuleerd regulatoir saldo door te rekenen volgens de tariefmethodologie in het boekjaar 2019</v>
      </c>
      <c r="L363" s="675" t="str">
        <f>"Totale afbouw over "&amp;F361</f>
        <v>Totale afbouw over 2019</v>
      </c>
      <c r="M363" s="20"/>
      <c r="N363" s="675" t="str">
        <f>"Nog af te bouwen regulatoir saldo einde "&amp;F361</f>
        <v>Nog af te bouwen regulatoir saldo einde 2019</v>
      </c>
      <c r="O363" s="610"/>
    </row>
    <row r="364" spans="2:15" ht="13" x14ac:dyDescent="0.25">
      <c r="B364" s="1057">
        <v>2015</v>
      </c>
      <c r="C364" s="1058"/>
      <c r="D364" s="1058"/>
      <c r="E364" s="1059"/>
      <c r="F364" s="896"/>
      <c r="G364" s="839">
        <f>+N357</f>
        <v>0</v>
      </c>
      <c r="H364" s="898">
        <f>IF(SIGN(G366*N359)&lt;0,IF(G364&lt;&gt;0,-SIGN(G364)*MIN(ABS(G366),ABS(G364)),0),0)</f>
        <v>0</v>
      </c>
      <c r="I364" s="839">
        <f>+G364+H364</f>
        <v>0</v>
      </c>
      <c r="J364" s="698"/>
      <c r="K364" s="897">
        <f>-MIN(ABS(I364),ABS(J367))*SIGN(I364)</f>
        <v>0</v>
      </c>
      <c r="L364" s="898">
        <f>+K364+H364</f>
        <v>0</v>
      </c>
      <c r="M364" s="20"/>
      <c r="N364" s="839">
        <f>+I364+K364</f>
        <v>0</v>
      </c>
      <c r="O364" s="610"/>
    </row>
    <row r="365" spans="2:15" ht="13" x14ac:dyDescent="0.25">
      <c r="B365" s="1057">
        <v>2016</v>
      </c>
      <c r="C365" s="1058"/>
      <c r="D365" s="1058">
        <v>2016</v>
      </c>
      <c r="E365" s="1059"/>
      <c r="F365" s="896"/>
      <c r="G365" s="839">
        <f>+N358</f>
        <v>0</v>
      </c>
      <c r="H365" s="898">
        <f>IF(SIGN(G366*N359)&lt;0,IF(G365&lt;&gt;0,-SIGN(G365)*MIN(ABS(G366-H364),ABS(G365)),0),0)</f>
        <v>0</v>
      </c>
      <c r="I365" s="839">
        <f>+G365+H365</f>
        <v>0</v>
      </c>
      <c r="J365" s="698"/>
      <c r="K365" s="897">
        <f>-MIN(ABS(I365),ABS(J367-K364))*SIGN(I365)</f>
        <v>0</v>
      </c>
      <c r="L365" s="898">
        <f>+K365+H365</f>
        <v>0</v>
      </c>
      <c r="M365" s="20"/>
      <c r="N365" s="839">
        <f>+I365+K365</f>
        <v>0</v>
      </c>
      <c r="O365" s="610"/>
    </row>
    <row r="366" spans="2:15" ht="13" x14ac:dyDescent="0.25">
      <c r="B366" s="1057">
        <v>2017</v>
      </c>
      <c r="C366" s="1058"/>
      <c r="D366" s="1058"/>
      <c r="E366" s="1059"/>
      <c r="F366" s="896"/>
      <c r="G366" s="839">
        <f>I135</f>
        <v>0</v>
      </c>
      <c r="H366" s="898">
        <f>IF(SIGN(G366*N359)&lt;0,-SUM(H364:H365),0)</f>
        <v>0</v>
      </c>
      <c r="I366" s="839">
        <f>+G366+H366</f>
        <v>0</v>
      </c>
      <c r="J366" s="698"/>
      <c r="K366" s="897">
        <f>-MIN(ABS(I366),ABS(J367-K364-K365))*SIGN(I366)</f>
        <v>0</v>
      </c>
      <c r="L366" s="898">
        <f>+K366+H366</f>
        <v>0</v>
      </c>
      <c r="M366" s="20"/>
      <c r="N366" s="839">
        <f>+I366+K366</f>
        <v>0</v>
      </c>
      <c r="O366" s="610"/>
    </row>
    <row r="367" spans="2:15" s="18" customFormat="1" ht="13" x14ac:dyDescent="0.3">
      <c r="G367" s="899">
        <f>SUM(G364:G366)</f>
        <v>0</v>
      </c>
      <c r="H367" s="899">
        <f>SUM(H364:H366)</f>
        <v>0</v>
      </c>
      <c r="I367" s="899">
        <f>SUM(I364:I366)</f>
        <v>0</v>
      </c>
      <c r="J367" s="899">
        <f>-I367*0.6</f>
        <v>0</v>
      </c>
      <c r="K367" s="900">
        <f>SUM(K364:K366)</f>
        <v>0</v>
      </c>
      <c r="L367" s="901"/>
      <c r="N367" s="899">
        <f>SUM(N364:N366)</f>
        <v>0</v>
      </c>
    </row>
    <row r="368" spans="2:15" x14ac:dyDescent="0.25">
      <c r="M368" s="610"/>
    </row>
    <row r="369" spans="2:15" ht="13" x14ac:dyDescent="0.3">
      <c r="B369" s="18" t="s">
        <v>362</v>
      </c>
      <c r="F369" s="895">
        <v>2020</v>
      </c>
      <c r="M369" s="20"/>
    </row>
    <row r="370" spans="2:15" x14ac:dyDescent="0.25">
      <c r="M370" s="20"/>
    </row>
    <row r="371" spans="2:15" ht="78" customHeight="1" x14ac:dyDescent="0.25">
      <c r="B371" s="1060" t="s">
        <v>363</v>
      </c>
      <c r="C371" s="1061"/>
      <c r="D371" s="1061"/>
      <c r="E371" s="1062"/>
      <c r="F371" s="599"/>
      <c r="G371" s="675" t="str">
        <f>"Nog af te bouwen regulatoir saldo einde "&amp;F369-1</f>
        <v>Nog af te bouwen regulatoir saldo einde 2019</v>
      </c>
      <c r="H371" s="675" t="str">
        <f>"Afbouw oudste openstaande regulatoir saldo vanaf boekjaar "&amp;F369-3&amp;" en vroeger, door aanwending van compensatie met regulatoir saldo ontstaan over boekjaar "&amp;F369-2</f>
        <v>Afbouw oudste openstaande regulatoir saldo vanaf boekjaar 2017 en vroeger, door aanwending van compensatie met regulatoir saldo ontstaan over boekjaar 2018</v>
      </c>
      <c r="I371" s="675" t="str">
        <f>"Nog af te bouwen regulatoir saldo na compensatie einde "&amp;F369-1</f>
        <v>Nog af te bouwen regulatoir saldo na compensatie einde 2019</v>
      </c>
      <c r="J371" s="675" t="str">
        <f>"60% van het geaccumuleerd regulatoir saldo door te rekenen volgens de tariefmethodologie in het boekjaar "&amp;F369</f>
        <v>60% van het geaccumuleerd regulatoir saldo door te rekenen volgens de tariefmethodologie in het boekjaar 2020</v>
      </c>
      <c r="K371" s="675" t="str">
        <f>"Aanwending van het 60% van het geaccumuleerd regulatoir saldo door te rekenen volgens de tariefmethodologie in het boekjaar "&amp;F369</f>
        <v>Aanwending van het 60% van het geaccumuleerd regulatoir saldo door te rekenen volgens de tariefmethodologie in het boekjaar 2020</v>
      </c>
      <c r="L371" s="675" t="str">
        <f>"Totale afbouw over "&amp;F369</f>
        <v>Totale afbouw over 2020</v>
      </c>
      <c r="M371" s="20"/>
      <c r="N371" s="675" t="str">
        <f>"Nog af te bouwen regulatoir saldo einde "&amp;F369</f>
        <v>Nog af te bouwen regulatoir saldo einde 2020</v>
      </c>
      <c r="O371" s="610"/>
    </row>
    <row r="372" spans="2:15" ht="13" x14ac:dyDescent="0.25">
      <c r="B372" s="1057">
        <v>2015</v>
      </c>
      <c r="C372" s="1058"/>
      <c r="D372" s="1058"/>
      <c r="E372" s="1059"/>
      <c r="F372" s="896"/>
      <c r="G372" s="839">
        <f>+N364</f>
        <v>0</v>
      </c>
      <c r="H372" s="898">
        <f>IF(SIGN(G375*N367)&lt;0,IF(G372&lt;&gt;0,-SIGN(G372)*MIN(ABS(G375),ABS(G372)),0),0)</f>
        <v>0</v>
      </c>
      <c r="I372" s="839">
        <f>+G372+H372</f>
        <v>0</v>
      </c>
      <c r="J372" s="698"/>
      <c r="K372" s="897">
        <f>-MIN(ABS(I372),ABS(J376))*SIGN(I372)</f>
        <v>0</v>
      </c>
      <c r="L372" s="898">
        <f>+K372+H372</f>
        <v>0</v>
      </c>
      <c r="M372" s="20"/>
      <c r="N372" s="839">
        <f>+I372+K372</f>
        <v>0</v>
      </c>
      <c r="O372" s="610"/>
    </row>
    <row r="373" spans="2:15" ht="13" x14ac:dyDescent="0.25">
      <c r="B373" s="1057">
        <v>2016</v>
      </c>
      <c r="C373" s="1058"/>
      <c r="D373" s="1058"/>
      <c r="E373" s="1059"/>
      <c r="F373" s="896"/>
      <c r="G373" s="839">
        <f>+N365</f>
        <v>0</v>
      </c>
      <c r="H373" s="898">
        <f>IF(SIGN(G375*N367)&lt;0,IF(G373&lt;&gt;0,-SIGN(G373)*MIN(ABS(G375-H372),ABS(G373)),0),0)</f>
        <v>0</v>
      </c>
      <c r="I373" s="839">
        <f>+G373+H373</f>
        <v>0</v>
      </c>
      <c r="J373" s="698"/>
      <c r="K373" s="897">
        <f>-MIN(ABS(I373),ABS(J376-K372))*SIGN(I373)</f>
        <v>0</v>
      </c>
      <c r="L373" s="898">
        <f>+K373+H373</f>
        <v>0</v>
      </c>
      <c r="M373" s="20"/>
      <c r="N373" s="839">
        <f>+I373+K373</f>
        <v>0</v>
      </c>
      <c r="O373" s="610"/>
    </row>
    <row r="374" spans="2:15" ht="13" x14ac:dyDescent="0.25">
      <c r="B374" s="1057">
        <v>2017</v>
      </c>
      <c r="C374" s="1058"/>
      <c r="D374" s="1058">
        <v>2016</v>
      </c>
      <c r="E374" s="1059"/>
      <c r="F374" s="896"/>
      <c r="G374" s="839">
        <f>+N366</f>
        <v>0</v>
      </c>
      <c r="H374" s="898">
        <f>IF(SIGN(G375*N367)&lt;0,IF(G374&lt;&gt;0,-SIGN(G374)*MIN(ABS(G375-H372-H373),ABS(G374)),0),0)</f>
        <v>0</v>
      </c>
      <c r="I374" s="839">
        <f>+G374+H374</f>
        <v>0</v>
      </c>
      <c r="J374" s="698"/>
      <c r="K374" s="897">
        <f>-MIN(ABS(I374),ABS(J376-K372-K373))*SIGN(I374)</f>
        <v>0</v>
      </c>
      <c r="L374" s="898">
        <f>+K374+H374</f>
        <v>0</v>
      </c>
      <c r="M374" s="20"/>
      <c r="N374" s="839">
        <f>+I374+K374</f>
        <v>0</v>
      </c>
      <c r="O374" s="610"/>
    </row>
    <row r="375" spans="2:15" ht="13" x14ac:dyDescent="0.25">
      <c r="B375" s="1057">
        <v>2018</v>
      </c>
      <c r="C375" s="1058"/>
      <c r="D375" s="1058"/>
      <c r="E375" s="1059"/>
      <c r="F375" s="896"/>
      <c r="G375" s="839">
        <f>J136</f>
        <v>0</v>
      </c>
      <c r="H375" s="898">
        <f>IF(SIGN(G375*N367)&lt;0,-SUM(H372:H374),0)</f>
        <v>0</v>
      </c>
      <c r="I375" s="839">
        <f>+G375+H375</f>
        <v>0</v>
      </c>
      <c r="J375" s="698"/>
      <c r="K375" s="897">
        <f>-MIN(ABS(I375),ABS(J376-K372-K373-K374))*SIGN(I375)</f>
        <v>0</v>
      </c>
      <c r="L375" s="898">
        <f>+K375+H375</f>
        <v>0</v>
      </c>
      <c r="M375" s="20"/>
      <c r="N375" s="839">
        <f>+I375+K375</f>
        <v>0</v>
      </c>
      <c r="O375" s="610"/>
    </row>
    <row r="376" spans="2:15" s="18" customFormat="1" ht="13" x14ac:dyDescent="0.3">
      <c r="G376" s="899">
        <f>SUM(G372:G375)</f>
        <v>0</v>
      </c>
      <c r="H376" s="899">
        <f>SUM(H372:H375)</f>
        <v>0</v>
      </c>
      <c r="I376" s="899">
        <f>SUM(I372:I375)</f>
        <v>0</v>
      </c>
      <c r="J376" s="899">
        <f>-I376*0.6</f>
        <v>0</v>
      </c>
      <c r="K376" s="900">
        <f>SUM(K372:K375)</f>
        <v>0</v>
      </c>
      <c r="L376" s="900"/>
      <c r="N376" s="899">
        <f>SUM(N372:N375)</f>
        <v>0</v>
      </c>
    </row>
    <row r="379" spans="2:15" ht="13" x14ac:dyDescent="0.3">
      <c r="B379" s="18" t="s">
        <v>364</v>
      </c>
      <c r="C379" s="381"/>
      <c r="D379" s="381"/>
      <c r="E379" s="381"/>
    </row>
    <row r="380" spans="2:15" ht="13" x14ac:dyDescent="0.3">
      <c r="B380" s="18"/>
      <c r="C380" s="381"/>
      <c r="D380" s="381"/>
      <c r="E380" s="381"/>
    </row>
    <row r="381" spans="2:15" ht="13" x14ac:dyDescent="0.3">
      <c r="B381" s="864">
        <f>F349</f>
        <v>2017</v>
      </c>
      <c r="C381" s="906">
        <f>J352</f>
        <v>0</v>
      </c>
      <c r="D381" s="381"/>
      <c r="E381" s="381"/>
    </row>
    <row r="382" spans="2:15" ht="13" x14ac:dyDescent="0.3">
      <c r="B382" s="864">
        <f>F354</f>
        <v>2018</v>
      </c>
      <c r="C382" s="906">
        <f>K359</f>
        <v>0</v>
      </c>
      <c r="D382" s="381"/>
      <c r="E382" s="381"/>
    </row>
    <row r="383" spans="2:15" ht="13" x14ac:dyDescent="0.3">
      <c r="B383" s="864">
        <f>F361</f>
        <v>2019</v>
      </c>
      <c r="C383" s="906">
        <f>K367</f>
        <v>0</v>
      </c>
      <c r="D383" s="381"/>
      <c r="E383" s="381"/>
    </row>
    <row r="384" spans="2:15" ht="13" x14ac:dyDescent="0.3">
      <c r="B384" s="864">
        <f>F369</f>
        <v>2020</v>
      </c>
      <c r="C384" s="906">
        <f>K376</f>
        <v>0</v>
      </c>
      <c r="D384" s="381"/>
      <c r="E384" s="381"/>
    </row>
    <row r="385" spans="2:15" x14ac:dyDescent="0.25">
      <c r="M385" s="610"/>
    </row>
    <row r="386" spans="2:15" x14ac:dyDescent="0.25">
      <c r="M386" s="610"/>
    </row>
    <row r="387" spans="2:15" ht="13" x14ac:dyDescent="0.3">
      <c r="B387" s="902" t="s">
        <v>237</v>
      </c>
      <c r="C387" s="903"/>
      <c r="D387" s="903"/>
      <c r="E387" s="903"/>
      <c r="F387" s="904"/>
      <c r="G387" s="904"/>
      <c r="H387" s="904"/>
      <c r="I387" s="904"/>
      <c r="J387" s="904"/>
      <c r="K387" s="904"/>
      <c r="L387" s="904"/>
      <c r="M387" s="905"/>
      <c r="N387" s="904"/>
    </row>
    <row r="388" spans="2:15" x14ac:dyDescent="0.25">
      <c r="M388" s="610"/>
    </row>
    <row r="389" spans="2:15" ht="13" x14ac:dyDescent="0.3">
      <c r="B389" s="18" t="s">
        <v>362</v>
      </c>
      <c r="F389" s="895">
        <v>2017</v>
      </c>
      <c r="M389" s="610"/>
    </row>
    <row r="390" spans="2:15" x14ac:dyDescent="0.25">
      <c r="L390" s="610"/>
      <c r="M390" s="20"/>
    </row>
    <row r="391" spans="2:15" ht="82.5" customHeight="1" x14ac:dyDescent="0.25">
      <c r="B391" s="1060" t="s">
        <v>363</v>
      </c>
      <c r="C391" s="1061"/>
      <c r="D391" s="1061"/>
      <c r="E391" s="1062"/>
      <c r="F391" s="599"/>
      <c r="G391" s="675" t="str">
        <f>"Nog af te bouwen regulatoir saldo einde "&amp;F389-1</f>
        <v>Nog af te bouwen regulatoir saldo einde 2016</v>
      </c>
      <c r="H391" s="675" t="str">
        <f>"Afbouw oudste openstaande regulatoir saldo vanaf boekjaar "&amp;F389-3&amp;" en vroeger, door aanwending van compensatie met regulatoir saldo ontstaan over boekjaar "&amp;F389-2</f>
        <v>Afbouw oudste openstaande regulatoir saldo vanaf boekjaar 2014 en vroeger, door aanwending van compensatie met regulatoir saldo ontstaan over boekjaar 2015</v>
      </c>
      <c r="I391" s="675" t="str">
        <f>"Nog af te bouwen regulatoir saldo na compensatie einde "&amp;F389-1</f>
        <v>Nog af te bouwen regulatoir saldo na compensatie einde 2016</v>
      </c>
      <c r="J391" s="675" t="str">
        <f>"Aanwending van 60% van het geaccumuleerd regulatoir saldo door te rekenen volgens de tariefmethodologie in het boekjaar "&amp;F389</f>
        <v>Aanwending van 60% van het geaccumuleerd regulatoir saldo door te rekenen volgens de tariefmethodologie in het boekjaar 2017</v>
      </c>
      <c r="K391" s="675" t="str">
        <f>"Nog af te bouwen regulatoir saldo einde "&amp;F389</f>
        <v>Nog af te bouwen regulatoir saldo einde 2017</v>
      </c>
      <c r="L391" s="610"/>
      <c r="M391" s="20"/>
    </row>
    <row r="392" spans="2:15" ht="13" x14ac:dyDescent="0.25">
      <c r="B392" s="1057">
        <v>2015</v>
      </c>
      <c r="C392" s="1058"/>
      <c r="D392" s="1058"/>
      <c r="E392" s="1059"/>
      <c r="F392" s="896"/>
      <c r="G392" s="839">
        <f>G140</f>
        <v>0</v>
      </c>
      <c r="H392" s="897">
        <v>0</v>
      </c>
      <c r="I392" s="839">
        <f>+G392+H392</f>
        <v>0</v>
      </c>
      <c r="J392" s="839">
        <f>-I392*0.6</f>
        <v>0</v>
      </c>
      <c r="K392" s="908">
        <f>+J392+G392</f>
        <v>0</v>
      </c>
      <c r="L392" s="610"/>
      <c r="M392" s="20"/>
    </row>
    <row r="393" spans="2:15" x14ac:dyDescent="0.25">
      <c r="L393" s="610"/>
      <c r="M393" s="20"/>
    </row>
    <row r="394" spans="2:15" ht="13" x14ac:dyDescent="0.3">
      <c r="B394" s="18" t="s">
        <v>362</v>
      </c>
      <c r="F394" s="895">
        <v>2018</v>
      </c>
      <c r="M394" s="610"/>
    </row>
    <row r="395" spans="2:15" x14ac:dyDescent="0.25">
      <c r="M395" s="610"/>
    </row>
    <row r="396" spans="2:15" ht="69.75" customHeight="1" x14ac:dyDescent="0.25">
      <c r="B396" s="1060" t="s">
        <v>363</v>
      </c>
      <c r="C396" s="1061"/>
      <c r="D396" s="1061"/>
      <c r="E396" s="1062"/>
      <c r="F396" s="599"/>
      <c r="G396" s="675" t="str">
        <f>"Nog af te bouwen regulatoir saldo einde "&amp;F394-1</f>
        <v>Nog af te bouwen regulatoir saldo einde 2017</v>
      </c>
      <c r="H396" s="675" t="str">
        <f>"Afbouw oudste openstaande regulatoir saldo vanaf boekjaar "&amp;F394-3&amp;" en vroeger, door aanwending van compensatie met regulatoir saldo ontstaan over boekjaar "&amp;F394-2</f>
        <v>Afbouw oudste openstaande regulatoir saldo vanaf boekjaar 2015 en vroeger, door aanwending van compensatie met regulatoir saldo ontstaan over boekjaar 2016</v>
      </c>
      <c r="I396" s="675" t="str">
        <f>"Nog af te bouwen regulatoir saldo na compensatie einde "&amp;F394-1</f>
        <v>Nog af te bouwen regulatoir saldo na compensatie einde 2017</v>
      </c>
      <c r="J396" s="675" t="str">
        <f>"60% van het geaccumuleerd regulatoir saldo door te rekenen volgens de tariefmethodologie in het boekjaar "&amp;F394</f>
        <v>60% van het geaccumuleerd regulatoir saldo door te rekenen volgens de tariefmethodologie in het boekjaar 2018</v>
      </c>
      <c r="K396" s="675" t="str">
        <f>"Aanwending van 60% van het geaccumuleerd regulatoir saldo door te rekenen volgens de tariefmethodologie in het boekjaar "&amp;F394</f>
        <v>Aanwending van 60% van het geaccumuleerd regulatoir saldo door te rekenen volgens de tariefmethodologie in het boekjaar 2018</v>
      </c>
      <c r="L396" s="675" t="str">
        <f>"Totale afbouw over "&amp;F394</f>
        <v>Totale afbouw over 2018</v>
      </c>
      <c r="M396" s="20"/>
      <c r="N396" s="675" t="str">
        <f>"Nog af te bouwen regulatoir saldo einde "&amp;F394</f>
        <v>Nog af te bouwen regulatoir saldo einde 2018</v>
      </c>
      <c r="O396" s="610"/>
    </row>
    <row r="397" spans="2:15" ht="13" x14ac:dyDescent="0.25">
      <c r="B397" s="1057">
        <v>2015</v>
      </c>
      <c r="C397" s="1058"/>
      <c r="D397" s="1058"/>
      <c r="E397" s="1059"/>
      <c r="F397" s="896"/>
      <c r="G397" s="839">
        <f>K392</f>
        <v>0</v>
      </c>
      <c r="H397" s="897">
        <f>IF(SIGN(G398*K392)&lt;0,IF(G397&lt;&gt;0,-SIGN(G397)*MIN(ABS(G398),ABS(G397)),0),0)</f>
        <v>0</v>
      </c>
      <c r="I397" s="839">
        <f>+G397+H397</f>
        <v>0</v>
      </c>
      <c r="J397" s="698"/>
      <c r="K397" s="897">
        <f>-MIN(ABS(I397),ABS(J399))*SIGN(I397)</f>
        <v>0</v>
      </c>
      <c r="L397" s="898">
        <f>+K397+H397</f>
        <v>0</v>
      </c>
      <c r="M397" s="20"/>
      <c r="N397" s="839">
        <f>+I397+K397</f>
        <v>0</v>
      </c>
      <c r="O397" s="610"/>
    </row>
    <row r="398" spans="2:15" ht="13" x14ac:dyDescent="0.25">
      <c r="B398" s="1057">
        <v>2016</v>
      </c>
      <c r="C398" s="1058"/>
      <c r="D398" s="1058"/>
      <c r="E398" s="1059"/>
      <c r="F398" s="896"/>
      <c r="G398" s="839">
        <f>H141</f>
        <v>0</v>
      </c>
      <c r="H398" s="898">
        <f>IF(SIGN(G398*K392)&lt;0,-H397,0)</f>
        <v>0</v>
      </c>
      <c r="I398" s="839">
        <f>+G398+H398</f>
        <v>0</v>
      </c>
      <c r="J398" s="698"/>
      <c r="K398" s="897">
        <f>-MIN(ABS(I398),ABS(J399-K397))*SIGN(I398)</f>
        <v>0</v>
      </c>
      <c r="L398" s="898">
        <f>+K398+H398</f>
        <v>0</v>
      </c>
      <c r="M398" s="20"/>
      <c r="N398" s="839">
        <f>+I398+K398</f>
        <v>0</v>
      </c>
      <c r="O398" s="610"/>
    </row>
    <row r="399" spans="2:15" s="18" customFormat="1" ht="13" x14ac:dyDescent="0.3">
      <c r="G399" s="899">
        <f>SUM(G397:G398)</f>
        <v>0</v>
      </c>
      <c r="H399" s="899">
        <f>SUM(H397:H398)</f>
        <v>0</v>
      </c>
      <c r="I399" s="899">
        <f>SUM(I397:I398)</f>
        <v>0</v>
      </c>
      <c r="J399" s="899">
        <f>-I399*0.6</f>
        <v>0</v>
      </c>
      <c r="K399" s="900">
        <f>SUM(K397:K398)</f>
        <v>0</v>
      </c>
      <c r="L399" s="901"/>
      <c r="N399" s="899">
        <f>SUM(N397:N398)</f>
        <v>0</v>
      </c>
    </row>
    <row r="400" spans="2:15" x14ac:dyDescent="0.25">
      <c r="M400" s="610"/>
    </row>
    <row r="401" spans="2:15" ht="13" x14ac:dyDescent="0.3">
      <c r="B401" s="18" t="s">
        <v>362</v>
      </c>
      <c r="F401" s="895">
        <v>2019</v>
      </c>
      <c r="M401" s="20"/>
    </row>
    <row r="402" spans="2:15" x14ac:dyDescent="0.25">
      <c r="M402" s="20"/>
    </row>
    <row r="403" spans="2:15" ht="75.75" customHeight="1" x14ac:dyDescent="0.25">
      <c r="B403" s="1060" t="s">
        <v>363</v>
      </c>
      <c r="C403" s="1061"/>
      <c r="D403" s="1061"/>
      <c r="E403" s="1062"/>
      <c r="F403" s="599"/>
      <c r="G403" s="675" t="str">
        <f>"Nog af te bouwen regulatoir saldo einde "&amp;F401-1</f>
        <v>Nog af te bouwen regulatoir saldo einde 2018</v>
      </c>
      <c r="H403" s="675" t="str">
        <f>"Afbouw oudste openstaande regulatoir saldo vanaf boekjaar "&amp;F401-3&amp;" en vroeger, door aanwending van compensatie met regulatoir saldo ontstaan over boekjaar "&amp;F401-2</f>
        <v>Afbouw oudste openstaande regulatoir saldo vanaf boekjaar 2016 en vroeger, door aanwending van compensatie met regulatoir saldo ontstaan over boekjaar 2017</v>
      </c>
      <c r="I403" s="675" t="str">
        <f>"Nog af te bouwen regulatoir saldo na compensatie einde "&amp;F401-1</f>
        <v>Nog af te bouwen regulatoir saldo na compensatie einde 2018</v>
      </c>
      <c r="J403" s="675" t="str">
        <f>"60% van het geaccumuleerd regulatoir saldo door te rekenen volgens de tariefmethodologie in het boekjaar "&amp;F401</f>
        <v>60% van het geaccumuleerd regulatoir saldo door te rekenen volgens de tariefmethodologie in het boekjaar 2019</v>
      </c>
      <c r="K403" s="675" t="str">
        <f>"Aanwending van het 60% van het geaccumuleerd regulatoir saldo door te rekenen volgens de tariefmethodologie in het boekjaar "&amp;F401</f>
        <v>Aanwending van het 60% van het geaccumuleerd regulatoir saldo door te rekenen volgens de tariefmethodologie in het boekjaar 2019</v>
      </c>
      <c r="L403" s="675" t="str">
        <f>"Totale afbouw over "&amp;F401</f>
        <v>Totale afbouw over 2019</v>
      </c>
      <c r="M403" s="20"/>
      <c r="N403" s="675" t="str">
        <f>"Nog af te bouwen regulatoir saldo einde "&amp;F401</f>
        <v>Nog af te bouwen regulatoir saldo einde 2019</v>
      </c>
      <c r="O403" s="610"/>
    </row>
    <row r="404" spans="2:15" ht="13" x14ac:dyDescent="0.25">
      <c r="B404" s="1057">
        <v>2015</v>
      </c>
      <c r="C404" s="1058"/>
      <c r="D404" s="1058"/>
      <c r="E404" s="1059"/>
      <c r="F404" s="896"/>
      <c r="G404" s="839">
        <f>+N397</f>
        <v>0</v>
      </c>
      <c r="H404" s="898">
        <f>IF(SIGN(G406*N399)&lt;0,IF(G404&lt;&gt;0,-SIGN(G404)*MIN(ABS(G406),ABS(G404)),0),0)</f>
        <v>0</v>
      </c>
      <c r="I404" s="839">
        <f>+G404+H404</f>
        <v>0</v>
      </c>
      <c r="J404" s="698"/>
      <c r="K404" s="897">
        <f>-MIN(ABS(I404),ABS(J407))*SIGN(I404)</f>
        <v>0</v>
      </c>
      <c r="L404" s="898">
        <f>+K404+H404</f>
        <v>0</v>
      </c>
      <c r="M404" s="20"/>
      <c r="N404" s="839">
        <f>+I404+K404</f>
        <v>0</v>
      </c>
      <c r="O404" s="610"/>
    </row>
    <row r="405" spans="2:15" ht="13" x14ac:dyDescent="0.25">
      <c r="B405" s="1057">
        <v>2016</v>
      </c>
      <c r="C405" s="1058"/>
      <c r="D405" s="1058">
        <v>2016</v>
      </c>
      <c r="E405" s="1059"/>
      <c r="F405" s="896"/>
      <c r="G405" s="839">
        <f>+N398</f>
        <v>0</v>
      </c>
      <c r="H405" s="898">
        <f>IF(SIGN(G406*N399)&lt;0,IF(G405&lt;&gt;0,-SIGN(G405)*MIN(ABS(G406-H404),ABS(G405)),0),0)</f>
        <v>0</v>
      </c>
      <c r="I405" s="839">
        <f>+G405+H405</f>
        <v>0</v>
      </c>
      <c r="J405" s="698"/>
      <c r="K405" s="897">
        <f>-MIN(ABS(I405),ABS(J407-K404))*SIGN(I405)</f>
        <v>0</v>
      </c>
      <c r="L405" s="898">
        <f>+K405+H405</f>
        <v>0</v>
      </c>
      <c r="M405" s="20"/>
      <c r="N405" s="839">
        <f>+I405+K405</f>
        <v>0</v>
      </c>
      <c r="O405" s="610"/>
    </row>
    <row r="406" spans="2:15" ht="13" x14ac:dyDescent="0.25">
      <c r="B406" s="1057">
        <v>2017</v>
      </c>
      <c r="C406" s="1058"/>
      <c r="D406" s="1058"/>
      <c r="E406" s="1059"/>
      <c r="F406" s="896"/>
      <c r="G406" s="839">
        <f>I142</f>
        <v>0</v>
      </c>
      <c r="H406" s="898">
        <f>IF(SIGN(G406*N399)&lt;0,-SUM(H404:H405),0)</f>
        <v>0</v>
      </c>
      <c r="I406" s="839">
        <f>+G406+H406</f>
        <v>0</v>
      </c>
      <c r="J406" s="698"/>
      <c r="K406" s="897">
        <f>-MIN(ABS(I406),ABS(J407-K404-K405))*SIGN(I406)</f>
        <v>0</v>
      </c>
      <c r="L406" s="898">
        <f>+K406+H406</f>
        <v>0</v>
      </c>
      <c r="M406" s="20"/>
      <c r="N406" s="839">
        <f>+I406+K406</f>
        <v>0</v>
      </c>
      <c r="O406" s="610"/>
    </row>
    <row r="407" spans="2:15" s="18" customFormat="1" ht="13" x14ac:dyDescent="0.3">
      <c r="G407" s="899">
        <f>SUM(G404:G406)</f>
        <v>0</v>
      </c>
      <c r="H407" s="899">
        <f>SUM(H404:H406)</f>
        <v>0</v>
      </c>
      <c r="I407" s="899">
        <f>SUM(I404:I406)</f>
        <v>0</v>
      </c>
      <c r="J407" s="899">
        <f>-I407*0.6</f>
        <v>0</v>
      </c>
      <c r="K407" s="900">
        <f>SUM(K404:K406)</f>
        <v>0</v>
      </c>
      <c r="L407" s="901"/>
      <c r="N407" s="899">
        <f>SUM(N404:N406)</f>
        <v>0</v>
      </c>
    </row>
    <row r="408" spans="2:15" x14ac:dyDescent="0.25">
      <c r="M408" s="610"/>
    </row>
    <row r="409" spans="2:15" ht="13" x14ac:dyDescent="0.3">
      <c r="B409" s="18" t="s">
        <v>362</v>
      </c>
      <c r="F409" s="895">
        <v>2020</v>
      </c>
      <c r="M409" s="20"/>
    </row>
    <row r="410" spans="2:15" x14ac:dyDescent="0.25">
      <c r="M410" s="20"/>
    </row>
    <row r="411" spans="2:15" ht="78" customHeight="1" x14ac:dyDescent="0.25">
      <c r="B411" s="1060" t="s">
        <v>363</v>
      </c>
      <c r="C411" s="1061"/>
      <c r="D411" s="1061"/>
      <c r="E411" s="1062"/>
      <c r="F411" s="599"/>
      <c r="G411" s="675" t="str">
        <f>"Nog af te bouwen regulatoir saldo einde "&amp;F409-1</f>
        <v>Nog af te bouwen regulatoir saldo einde 2019</v>
      </c>
      <c r="H411" s="675" t="str">
        <f>"Afbouw oudste openstaande regulatoir saldo vanaf boekjaar "&amp;F409-3&amp;" en vroeger, door aanwending van compensatie met regulatoir saldo ontstaan over boekjaar "&amp;F409-2</f>
        <v>Afbouw oudste openstaande regulatoir saldo vanaf boekjaar 2017 en vroeger, door aanwending van compensatie met regulatoir saldo ontstaan over boekjaar 2018</v>
      </c>
      <c r="I411" s="675" t="str">
        <f>"Nog af te bouwen regulatoir saldo na compensatie einde "&amp;F409-1</f>
        <v>Nog af te bouwen regulatoir saldo na compensatie einde 2019</v>
      </c>
      <c r="J411" s="675" t="str">
        <f>"60% van het geaccumuleerd regulatoir saldo door te rekenen volgens de tariefmethodologie in het boekjaar "&amp;F409</f>
        <v>60% van het geaccumuleerd regulatoir saldo door te rekenen volgens de tariefmethodologie in het boekjaar 2020</v>
      </c>
      <c r="K411" s="675" t="str">
        <f>"Aanwending van het 60% van het geaccumuleerd regulatoir saldo door te rekenen volgens de tariefmethodologie in het boekjaar "&amp;F409</f>
        <v>Aanwending van het 60% van het geaccumuleerd regulatoir saldo door te rekenen volgens de tariefmethodologie in het boekjaar 2020</v>
      </c>
      <c r="L411" s="675" t="str">
        <f>"Totale afbouw over "&amp;F409</f>
        <v>Totale afbouw over 2020</v>
      </c>
      <c r="M411" s="20"/>
      <c r="N411" s="675" t="str">
        <f>"Nog af te bouwen regulatoir saldo einde "&amp;F409</f>
        <v>Nog af te bouwen regulatoir saldo einde 2020</v>
      </c>
      <c r="O411" s="610"/>
    </row>
    <row r="412" spans="2:15" ht="13" x14ac:dyDescent="0.25">
      <c r="B412" s="1057">
        <v>2015</v>
      </c>
      <c r="C412" s="1058"/>
      <c r="D412" s="1058"/>
      <c r="E412" s="1059"/>
      <c r="F412" s="896"/>
      <c r="G412" s="839">
        <f>+N404</f>
        <v>0</v>
      </c>
      <c r="H412" s="898">
        <f>IF(SIGN(G415*N407)&lt;0,IF(G412&lt;&gt;0,-SIGN(G412)*MIN(ABS(G415),ABS(G412)),0),0)</f>
        <v>0</v>
      </c>
      <c r="I412" s="839">
        <f>+G412+H412</f>
        <v>0</v>
      </c>
      <c r="J412" s="698"/>
      <c r="K412" s="897">
        <f>-MIN(ABS(I412),ABS(J416))*SIGN(I412)</f>
        <v>0</v>
      </c>
      <c r="L412" s="898">
        <f>+K412+H412</f>
        <v>0</v>
      </c>
      <c r="M412" s="20"/>
      <c r="N412" s="839">
        <f>+I412+K412</f>
        <v>0</v>
      </c>
      <c r="O412" s="610"/>
    </row>
    <row r="413" spans="2:15" ht="13" x14ac:dyDescent="0.25">
      <c r="B413" s="1057">
        <v>2016</v>
      </c>
      <c r="C413" s="1058"/>
      <c r="D413" s="1058"/>
      <c r="E413" s="1059"/>
      <c r="F413" s="896"/>
      <c r="G413" s="839">
        <f>+N405</f>
        <v>0</v>
      </c>
      <c r="H413" s="898">
        <f>IF(SIGN(G415*N407)&lt;0,IF(G413&lt;&gt;0,-SIGN(G413)*MIN(ABS(G415-H412),ABS(G413)),0),0)</f>
        <v>0</v>
      </c>
      <c r="I413" s="839">
        <f>+G413+H413</f>
        <v>0</v>
      </c>
      <c r="J413" s="698"/>
      <c r="K413" s="897">
        <f>-MIN(ABS(I413),ABS(J416-K412))*SIGN(I413)</f>
        <v>0</v>
      </c>
      <c r="L413" s="898">
        <f>+K413+H413</f>
        <v>0</v>
      </c>
      <c r="M413" s="20"/>
      <c r="N413" s="839">
        <f>+I413+K413</f>
        <v>0</v>
      </c>
      <c r="O413" s="610"/>
    </row>
    <row r="414" spans="2:15" ht="13" x14ac:dyDescent="0.25">
      <c r="B414" s="1057">
        <v>2017</v>
      </c>
      <c r="C414" s="1058"/>
      <c r="D414" s="1058">
        <v>2016</v>
      </c>
      <c r="E414" s="1059"/>
      <c r="F414" s="896"/>
      <c r="G414" s="839">
        <f>+N406</f>
        <v>0</v>
      </c>
      <c r="H414" s="898">
        <f>IF(SIGN(G415*N407)&lt;0,IF(G414&lt;&gt;0,-SIGN(G414)*MIN(ABS(G415-H412-H413),ABS(G414)),0),0)</f>
        <v>0</v>
      </c>
      <c r="I414" s="839">
        <f>+G414+H414</f>
        <v>0</v>
      </c>
      <c r="J414" s="698"/>
      <c r="K414" s="897">
        <f>-MIN(ABS(I414),ABS(J416-K412-K413))*SIGN(I414)</f>
        <v>0</v>
      </c>
      <c r="L414" s="898">
        <f>+K414+H414</f>
        <v>0</v>
      </c>
      <c r="M414" s="20"/>
      <c r="N414" s="839">
        <f>+I414+K414</f>
        <v>0</v>
      </c>
      <c r="O414" s="610"/>
    </row>
    <row r="415" spans="2:15" ht="13" x14ac:dyDescent="0.25">
      <c r="B415" s="1057">
        <v>2018</v>
      </c>
      <c r="C415" s="1058"/>
      <c r="D415" s="1058"/>
      <c r="E415" s="1059"/>
      <c r="F415" s="896"/>
      <c r="G415" s="839">
        <f>J143</f>
        <v>0</v>
      </c>
      <c r="H415" s="898">
        <f>IF(SIGN(G415*N407)&lt;0,-SUM(H412:H414),0)</f>
        <v>0</v>
      </c>
      <c r="I415" s="839">
        <f>+G415+H415</f>
        <v>0</v>
      </c>
      <c r="J415" s="698"/>
      <c r="K415" s="897">
        <f>-MIN(ABS(I415),ABS(J416-K412-K413-K414))*SIGN(I415)</f>
        <v>0</v>
      </c>
      <c r="L415" s="898">
        <f>+K415+H415</f>
        <v>0</v>
      </c>
      <c r="M415" s="20"/>
      <c r="N415" s="839">
        <f>+I415+K415</f>
        <v>0</v>
      </c>
      <c r="O415" s="610"/>
    </row>
    <row r="416" spans="2:15" s="18" customFormat="1" ht="13" x14ac:dyDescent="0.3">
      <c r="G416" s="899">
        <f>SUM(G412:G415)</f>
        <v>0</v>
      </c>
      <c r="H416" s="899">
        <f>SUM(H412:H415)</f>
        <v>0</v>
      </c>
      <c r="I416" s="899">
        <f>SUM(I412:I415)</f>
        <v>0</v>
      </c>
      <c r="J416" s="899">
        <f>-I416*0.6</f>
        <v>0</v>
      </c>
      <c r="K416" s="900">
        <f>SUM(K412:K415)</f>
        <v>0</v>
      </c>
      <c r="L416" s="900"/>
      <c r="N416" s="899">
        <f>SUM(N412:N415)</f>
        <v>0</v>
      </c>
    </row>
    <row r="419" spans="2:14" ht="13" x14ac:dyDescent="0.3">
      <c r="B419" s="18" t="s">
        <v>364</v>
      </c>
      <c r="C419" s="381"/>
      <c r="D419" s="381"/>
      <c r="E419" s="381"/>
    </row>
    <row r="420" spans="2:14" ht="13" x14ac:dyDescent="0.3">
      <c r="B420" s="18"/>
      <c r="C420" s="381"/>
      <c r="D420" s="381"/>
      <c r="E420" s="381"/>
    </row>
    <row r="421" spans="2:14" ht="13" x14ac:dyDescent="0.3">
      <c r="B421" s="864">
        <f>F389</f>
        <v>2017</v>
      </c>
      <c r="C421" s="906">
        <f>J392</f>
        <v>0</v>
      </c>
      <c r="D421" s="381"/>
      <c r="E421" s="381"/>
    </row>
    <row r="422" spans="2:14" ht="13" x14ac:dyDescent="0.3">
      <c r="B422" s="864">
        <f>F394</f>
        <v>2018</v>
      </c>
      <c r="C422" s="906">
        <f>K399</f>
        <v>0</v>
      </c>
      <c r="D422" s="381"/>
      <c r="E422" s="381"/>
    </row>
    <row r="423" spans="2:14" ht="13" x14ac:dyDescent="0.3">
      <c r="B423" s="864">
        <f>F401</f>
        <v>2019</v>
      </c>
      <c r="C423" s="906">
        <f>K407</f>
        <v>0</v>
      </c>
      <c r="D423" s="381"/>
      <c r="E423" s="381"/>
    </row>
    <row r="424" spans="2:14" ht="13" x14ac:dyDescent="0.3">
      <c r="B424" s="864">
        <f>F409</f>
        <v>2020</v>
      </c>
      <c r="C424" s="906">
        <f>K416</f>
        <v>0</v>
      </c>
      <c r="D424" s="381"/>
      <c r="E424" s="381"/>
    </row>
    <row r="425" spans="2:14" x14ac:dyDescent="0.25">
      <c r="M425" s="610"/>
    </row>
    <row r="426" spans="2:14" x14ac:dyDescent="0.25">
      <c r="M426" s="610"/>
    </row>
    <row r="427" spans="2:14" ht="13" x14ac:dyDescent="0.3">
      <c r="B427" s="902" t="s">
        <v>287</v>
      </c>
      <c r="C427" s="903"/>
      <c r="D427" s="903"/>
      <c r="E427" s="903"/>
      <c r="F427" s="904"/>
      <c r="G427" s="904"/>
      <c r="H427" s="904"/>
      <c r="I427" s="904"/>
      <c r="J427" s="904"/>
      <c r="K427" s="904"/>
      <c r="L427" s="904"/>
      <c r="M427" s="905"/>
      <c r="N427" s="904"/>
    </row>
    <row r="428" spans="2:14" x14ac:dyDescent="0.25">
      <c r="M428" s="610"/>
    </row>
    <row r="429" spans="2:14" ht="13" x14ac:dyDescent="0.3">
      <c r="B429" s="18" t="s">
        <v>362</v>
      </c>
      <c r="F429" s="895">
        <v>2017</v>
      </c>
      <c r="M429" s="610"/>
    </row>
    <row r="430" spans="2:14" x14ac:dyDescent="0.25">
      <c r="L430" s="610"/>
      <c r="M430" s="20"/>
    </row>
    <row r="431" spans="2:14" ht="82.5" customHeight="1" x14ac:dyDescent="0.25">
      <c r="B431" s="1060" t="s">
        <v>363</v>
      </c>
      <c r="C431" s="1061"/>
      <c r="D431" s="1061"/>
      <c r="E431" s="1062"/>
      <c r="F431" s="599"/>
      <c r="G431" s="675" t="str">
        <f>"Nog af te bouwen regulatoir saldo einde "&amp;F429-1</f>
        <v>Nog af te bouwen regulatoir saldo einde 2016</v>
      </c>
      <c r="H431" s="675" t="str">
        <f>"Afbouw oudste openstaande regulatoir saldo vanaf boekjaar "&amp;F429-3&amp;" en vroeger, door aanwending van compensatie met regulatoir saldo ontstaan over boekjaar "&amp;F429-2</f>
        <v>Afbouw oudste openstaande regulatoir saldo vanaf boekjaar 2014 en vroeger, door aanwending van compensatie met regulatoir saldo ontstaan over boekjaar 2015</v>
      </c>
      <c r="I431" s="675" t="str">
        <f>"Nog af te bouwen regulatoir saldo na compensatie einde "&amp;F429-1</f>
        <v>Nog af te bouwen regulatoir saldo na compensatie einde 2016</v>
      </c>
      <c r="J431" s="675" t="str">
        <f>"Aanwending van 60% van het geaccumuleerd regulatoir saldo door te rekenen volgens de tariefmethodologie in het boekjaar "&amp;F429</f>
        <v>Aanwending van 60% van het geaccumuleerd regulatoir saldo door te rekenen volgens de tariefmethodologie in het boekjaar 2017</v>
      </c>
      <c r="K431" s="675" t="str">
        <f>"Nog af te bouwen regulatoir saldo einde "&amp;F429</f>
        <v>Nog af te bouwen regulatoir saldo einde 2017</v>
      </c>
      <c r="L431" s="610"/>
      <c r="M431" s="20"/>
    </row>
    <row r="432" spans="2:14" ht="13" x14ac:dyDescent="0.25">
      <c r="B432" s="1057">
        <v>2015</v>
      </c>
      <c r="C432" s="1058"/>
      <c r="D432" s="1058"/>
      <c r="E432" s="1059"/>
      <c r="F432" s="896"/>
      <c r="G432" s="839">
        <f>G147</f>
        <v>0</v>
      </c>
      <c r="H432" s="897">
        <v>0</v>
      </c>
      <c r="I432" s="839">
        <f>+G432+H432</f>
        <v>0</v>
      </c>
      <c r="J432" s="839">
        <f>-I432*0.6</f>
        <v>0</v>
      </c>
      <c r="K432" s="908">
        <f>+J432+G432</f>
        <v>0</v>
      </c>
      <c r="L432" s="610"/>
      <c r="M432" s="20"/>
    </row>
    <row r="433" spans="2:15" x14ac:dyDescent="0.25">
      <c r="L433" s="610"/>
      <c r="M433" s="20"/>
    </row>
    <row r="434" spans="2:15" ht="13" x14ac:dyDescent="0.3">
      <c r="B434" s="18" t="s">
        <v>362</v>
      </c>
      <c r="F434" s="895">
        <v>2018</v>
      </c>
      <c r="M434" s="610"/>
    </row>
    <row r="435" spans="2:15" x14ac:dyDescent="0.25">
      <c r="M435" s="610"/>
    </row>
    <row r="436" spans="2:15" ht="69.75" customHeight="1" x14ac:dyDescent="0.25">
      <c r="B436" s="1060" t="s">
        <v>363</v>
      </c>
      <c r="C436" s="1061"/>
      <c r="D436" s="1061"/>
      <c r="E436" s="1062"/>
      <c r="F436" s="599"/>
      <c r="G436" s="675" t="str">
        <f>"Nog af te bouwen regulatoir saldo einde "&amp;F434-1</f>
        <v>Nog af te bouwen regulatoir saldo einde 2017</v>
      </c>
      <c r="H436" s="675" t="str">
        <f>"Afbouw oudste openstaande regulatoir saldo vanaf boekjaar "&amp;F434-3&amp;" en vroeger, door aanwending van compensatie met regulatoir saldo ontstaan over boekjaar "&amp;F434-2</f>
        <v>Afbouw oudste openstaande regulatoir saldo vanaf boekjaar 2015 en vroeger, door aanwending van compensatie met regulatoir saldo ontstaan over boekjaar 2016</v>
      </c>
      <c r="I436" s="675" t="str">
        <f>"Nog af te bouwen regulatoir saldo na compensatie einde "&amp;F434-1</f>
        <v>Nog af te bouwen regulatoir saldo na compensatie einde 2017</v>
      </c>
      <c r="J436" s="675" t="str">
        <f>"60% van het geaccumuleerd regulatoir saldo door te rekenen volgens de tariefmethodologie in het boekjaar "&amp;F434</f>
        <v>60% van het geaccumuleerd regulatoir saldo door te rekenen volgens de tariefmethodologie in het boekjaar 2018</v>
      </c>
      <c r="K436" s="675" t="str">
        <f>"Aanwending van 60% van het geaccumuleerd regulatoir saldo door te rekenen volgens de tariefmethodologie in het boekjaar "&amp;F434</f>
        <v>Aanwending van 60% van het geaccumuleerd regulatoir saldo door te rekenen volgens de tariefmethodologie in het boekjaar 2018</v>
      </c>
      <c r="L436" s="675" t="str">
        <f>"Totale afbouw over "&amp;F434</f>
        <v>Totale afbouw over 2018</v>
      </c>
      <c r="M436" s="20"/>
      <c r="N436" s="675" t="str">
        <f>"Nog af te bouwen regulatoir saldo einde "&amp;F434</f>
        <v>Nog af te bouwen regulatoir saldo einde 2018</v>
      </c>
      <c r="O436" s="610"/>
    </row>
    <row r="437" spans="2:15" ht="13" x14ac:dyDescent="0.25">
      <c r="B437" s="1057">
        <v>2015</v>
      </c>
      <c r="C437" s="1058"/>
      <c r="D437" s="1058"/>
      <c r="E437" s="1059"/>
      <c r="F437" s="896"/>
      <c r="G437" s="839">
        <f>K432</f>
        <v>0</v>
      </c>
      <c r="H437" s="897">
        <f>IF(SIGN(G438*K432)&lt;0,IF(G437&lt;&gt;0,-SIGN(G437)*MIN(ABS(G438),ABS(G437)),0),0)</f>
        <v>0</v>
      </c>
      <c r="I437" s="839">
        <f>+G437+H437</f>
        <v>0</v>
      </c>
      <c r="J437" s="698"/>
      <c r="K437" s="897">
        <f>-MIN(ABS(I437),ABS(J439))*SIGN(I437)</f>
        <v>0</v>
      </c>
      <c r="L437" s="898">
        <f>+K437+H437</f>
        <v>0</v>
      </c>
      <c r="M437" s="20"/>
      <c r="N437" s="839">
        <f>+I437+K437</f>
        <v>0</v>
      </c>
      <c r="O437" s="610"/>
    </row>
    <row r="438" spans="2:15" ht="13" x14ac:dyDescent="0.25">
      <c r="B438" s="1057">
        <v>2016</v>
      </c>
      <c r="C438" s="1058"/>
      <c r="D438" s="1058"/>
      <c r="E438" s="1059"/>
      <c r="F438" s="896"/>
      <c r="G438" s="839">
        <f>H148</f>
        <v>0</v>
      </c>
      <c r="H438" s="898">
        <f>IF(SIGN(G438*K432)&lt;0,-H437,0)</f>
        <v>0</v>
      </c>
      <c r="I438" s="839">
        <f>+G438+H438</f>
        <v>0</v>
      </c>
      <c r="J438" s="698"/>
      <c r="K438" s="897">
        <f>-MIN(ABS(I438),ABS(J439-K437))*SIGN(I438)</f>
        <v>0</v>
      </c>
      <c r="L438" s="898">
        <f>+K438+H438</f>
        <v>0</v>
      </c>
      <c r="M438" s="20"/>
      <c r="N438" s="839">
        <f>+I438+K438</f>
        <v>0</v>
      </c>
      <c r="O438" s="610"/>
    </row>
    <row r="439" spans="2:15" s="18" customFormat="1" ht="13" x14ac:dyDescent="0.3">
      <c r="G439" s="899">
        <f>SUM(G437:G438)</f>
        <v>0</v>
      </c>
      <c r="H439" s="899">
        <f>SUM(H437:H438)</f>
        <v>0</v>
      </c>
      <c r="I439" s="899">
        <f>SUM(I437:I438)</f>
        <v>0</v>
      </c>
      <c r="J439" s="899">
        <f>-I439*0.6</f>
        <v>0</v>
      </c>
      <c r="K439" s="900">
        <f>SUM(K437:K438)</f>
        <v>0</v>
      </c>
      <c r="L439" s="901"/>
      <c r="N439" s="899">
        <f>SUM(N437:N438)</f>
        <v>0</v>
      </c>
    </row>
    <row r="440" spans="2:15" x14ac:dyDescent="0.25">
      <c r="M440" s="610"/>
    </row>
    <row r="441" spans="2:15" ht="13" x14ac:dyDescent="0.3">
      <c r="B441" s="18" t="s">
        <v>362</v>
      </c>
      <c r="F441" s="895">
        <v>2019</v>
      </c>
      <c r="M441" s="20"/>
    </row>
    <row r="442" spans="2:15" x14ac:dyDescent="0.25">
      <c r="M442" s="20"/>
    </row>
    <row r="443" spans="2:15" ht="75.75" customHeight="1" x14ac:dyDescent="0.25">
      <c r="B443" s="1060" t="s">
        <v>363</v>
      </c>
      <c r="C443" s="1061"/>
      <c r="D443" s="1061"/>
      <c r="E443" s="1062"/>
      <c r="F443" s="599"/>
      <c r="G443" s="675" t="str">
        <f>"Nog af te bouwen regulatoir saldo einde "&amp;F441-1</f>
        <v>Nog af te bouwen regulatoir saldo einde 2018</v>
      </c>
      <c r="H443" s="675" t="str">
        <f>"Afbouw oudste openstaande regulatoir saldo vanaf boekjaar "&amp;F441-3&amp;" en vroeger, door aanwending van compensatie met regulatoir saldo ontstaan over boekjaar "&amp;F441-2</f>
        <v>Afbouw oudste openstaande regulatoir saldo vanaf boekjaar 2016 en vroeger, door aanwending van compensatie met regulatoir saldo ontstaan over boekjaar 2017</v>
      </c>
      <c r="I443" s="675" t="str">
        <f>"Nog af te bouwen regulatoir saldo na compensatie einde "&amp;F441-1</f>
        <v>Nog af te bouwen regulatoir saldo na compensatie einde 2018</v>
      </c>
      <c r="J443" s="675" t="str">
        <f>"60% van het geaccumuleerd regulatoir saldo door te rekenen volgens de tariefmethodologie in het boekjaar "&amp;F441</f>
        <v>60% van het geaccumuleerd regulatoir saldo door te rekenen volgens de tariefmethodologie in het boekjaar 2019</v>
      </c>
      <c r="K443" s="675" t="str">
        <f>"Aanwending van het 60% van het geaccumuleerd regulatoir saldo door te rekenen volgens de tariefmethodologie in het boekjaar "&amp;F441</f>
        <v>Aanwending van het 60% van het geaccumuleerd regulatoir saldo door te rekenen volgens de tariefmethodologie in het boekjaar 2019</v>
      </c>
      <c r="L443" s="675" t="str">
        <f>"Totale afbouw over "&amp;F441</f>
        <v>Totale afbouw over 2019</v>
      </c>
      <c r="M443" s="20"/>
      <c r="N443" s="675" t="str">
        <f>"Nog af te bouwen regulatoir saldo einde "&amp;F441</f>
        <v>Nog af te bouwen regulatoir saldo einde 2019</v>
      </c>
      <c r="O443" s="610"/>
    </row>
    <row r="444" spans="2:15" ht="13" x14ac:dyDescent="0.25">
      <c r="B444" s="1057">
        <v>2015</v>
      </c>
      <c r="C444" s="1058"/>
      <c r="D444" s="1058"/>
      <c r="E444" s="1059"/>
      <c r="F444" s="896"/>
      <c r="G444" s="839">
        <f>+N437</f>
        <v>0</v>
      </c>
      <c r="H444" s="898">
        <f>IF(SIGN(G446*N439)&lt;0,IF(G444&lt;&gt;0,-SIGN(G444)*MIN(ABS(G446),ABS(G444)),0),0)</f>
        <v>0</v>
      </c>
      <c r="I444" s="839">
        <f>+G444+H444</f>
        <v>0</v>
      </c>
      <c r="J444" s="698"/>
      <c r="K444" s="897">
        <f>-MIN(ABS(I444),ABS(J447))*SIGN(I444)</f>
        <v>0</v>
      </c>
      <c r="L444" s="898">
        <f>+K444+H444</f>
        <v>0</v>
      </c>
      <c r="M444" s="20"/>
      <c r="N444" s="839">
        <f>+I444+K444</f>
        <v>0</v>
      </c>
      <c r="O444" s="610"/>
    </row>
    <row r="445" spans="2:15" ht="13" x14ac:dyDescent="0.25">
      <c r="B445" s="1057">
        <v>2016</v>
      </c>
      <c r="C445" s="1058"/>
      <c r="D445" s="1058">
        <v>2016</v>
      </c>
      <c r="E445" s="1059"/>
      <c r="F445" s="896"/>
      <c r="G445" s="839">
        <f>+N438</f>
        <v>0</v>
      </c>
      <c r="H445" s="898">
        <f>IF(SIGN(G446*N439)&lt;0,IF(G445&lt;&gt;0,-SIGN(G445)*MIN(ABS(G446-H444),ABS(G445)),0),0)</f>
        <v>0</v>
      </c>
      <c r="I445" s="839">
        <f>+G445+H445</f>
        <v>0</v>
      </c>
      <c r="J445" s="698"/>
      <c r="K445" s="897">
        <f>-MIN(ABS(I445),ABS(J447-K444))*SIGN(I445)</f>
        <v>0</v>
      </c>
      <c r="L445" s="898">
        <f>+K445+H445</f>
        <v>0</v>
      </c>
      <c r="M445" s="20"/>
      <c r="N445" s="839">
        <f>+I445+K445</f>
        <v>0</v>
      </c>
      <c r="O445" s="610"/>
    </row>
    <row r="446" spans="2:15" ht="13" x14ac:dyDescent="0.25">
      <c r="B446" s="1057">
        <v>2017</v>
      </c>
      <c r="C446" s="1058"/>
      <c r="D446" s="1058"/>
      <c r="E446" s="1059"/>
      <c r="F446" s="896"/>
      <c r="G446" s="839">
        <f>I149</f>
        <v>0</v>
      </c>
      <c r="H446" s="898">
        <f>IF(SIGN(G446*N439)&lt;0,-SUM(H444:H445),0)</f>
        <v>0</v>
      </c>
      <c r="I446" s="839">
        <f>+G446+H446</f>
        <v>0</v>
      </c>
      <c r="J446" s="698"/>
      <c r="K446" s="897">
        <f>-MIN(ABS(I446),ABS(J447-K444-K445))*SIGN(I446)</f>
        <v>0</v>
      </c>
      <c r="L446" s="898">
        <f>+K446+H446</f>
        <v>0</v>
      </c>
      <c r="M446" s="20"/>
      <c r="N446" s="839">
        <f>+I446+K446</f>
        <v>0</v>
      </c>
      <c r="O446" s="610"/>
    </row>
    <row r="447" spans="2:15" s="18" customFormat="1" ht="13" x14ac:dyDescent="0.3">
      <c r="G447" s="899">
        <f>SUM(G444:G446)</f>
        <v>0</v>
      </c>
      <c r="H447" s="899">
        <f>SUM(H444:H446)</f>
        <v>0</v>
      </c>
      <c r="I447" s="899">
        <f>SUM(I444:I446)</f>
        <v>0</v>
      </c>
      <c r="J447" s="899">
        <f>-I447*0.6</f>
        <v>0</v>
      </c>
      <c r="K447" s="900">
        <f>SUM(K444:K446)</f>
        <v>0</v>
      </c>
      <c r="L447" s="901"/>
      <c r="N447" s="899">
        <f>SUM(N444:N446)</f>
        <v>0</v>
      </c>
    </row>
    <row r="448" spans="2:15" x14ac:dyDescent="0.25">
      <c r="M448" s="610"/>
    </row>
    <row r="449" spans="2:15" ht="13" x14ac:dyDescent="0.3">
      <c r="B449" s="18" t="s">
        <v>362</v>
      </c>
      <c r="F449" s="895">
        <v>2020</v>
      </c>
      <c r="M449" s="20"/>
    </row>
    <row r="450" spans="2:15" x14ac:dyDescent="0.25">
      <c r="M450" s="20"/>
    </row>
    <row r="451" spans="2:15" ht="78" customHeight="1" x14ac:dyDescent="0.25">
      <c r="B451" s="1060" t="s">
        <v>363</v>
      </c>
      <c r="C451" s="1061"/>
      <c r="D451" s="1061"/>
      <c r="E451" s="1062"/>
      <c r="F451" s="599"/>
      <c r="G451" s="675" t="str">
        <f>"Nog af te bouwen regulatoir saldo einde "&amp;F449-1</f>
        <v>Nog af te bouwen regulatoir saldo einde 2019</v>
      </c>
      <c r="H451" s="675" t="str">
        <f>"Afbouw oudste openstaande regulatoir saldo vanaf boekjaar "&amp;F449-3&amp;" en vroeger, door aanwending van compensatie met regulatoir saldo ontstaan over boekjaar "&amp;F449-2</f>
        <v>Afbouw oudste openstaande regulatoir saldo vanaf boekjaar 2017 en vroeger, door aanwending van compensatie met regulatoir saldo ontstaan over boekjaar 2018</v>
      </c>
      <c r="I451" s="675" t="str">
        <f>"Nog af te bouwen regulatoir saldo na compensatie einde "&amp;F449-1</f>
        <v>Nog af te bouwen regulatoir saldo na compensatie einde 2019</v>
      </c>
      <c r="J451" s="675" t="str">
        <f>"60% van het geaccumuleerd regulatoir saldo door te rekenen volgens de tariefmethodologie in het boekjaar "&amp;F449</f>
        <v>60% van het geaccumuleerd regulatoir saldo door te rekenen volgens de tariefmethodologie in het boekjaar 2020</v>
      </c>
      <c r="K451" s="675" t="str">
        <f>"Aanwending van het 60% van het geaccumuleerd regulatoir saldo door te rekenen volgens de tariefmethodologie in het boekjaar "&amp;F449</f>
        <v>Aanwending van het 60% van het geaccumuleerd regulatoir saldo door te rekenen volgens de tariefmethodologie in het boekjaar 2020</v>
      </c>
      <c r="L451" s="675" t="str">
        <f>"Totale afbouw over "&amp;F449</f>
        <v>Totale afbouw over 2020</v>
      </c>
      <c r="M451" s="20"/>
      <c r="N451" s="675" t="str">
        <f>"Nog af te bouwen regulatoir saldo einde "&amp;F449</f>
        <v>Nog af te bouwen regulatoir saldo einde 2020</v>
      </c>
      <c r="O451" s="610"/>
    </row>
    <row r="452" spans="2:15" ht="13" x14ac:dyDescent="0.25">
      <c r="B452" s="1057">
        <v>2015</v>
      </c>
      <c r="C452" s="1058"/>
      <c r="D452" s="1058"/>
      <c r="E452" s="1059"/>
      <c r="F452" s="896"/>
      <c r="G452" s="839">
        <f>+N444</f>
        <v>0</v>
      </c>
      <c r="H452" s="898">
        <f>IF(SIGN(G455*N447)&lt;0,IF(G452&lt;&gt;0,-SIGN(G452)*MIN(ABS(G455),ABS(G452)),0),0)</f>
        <v>0</v>
      </c>
      <c r="I452" s="839">
        <f>+G452+H452</f>
        <v>0</v>
      </c>
      <c r="J452" s="698"/>
      <c r="K452" s="897">
        <f>-MIN(ABS(I452),ABS(J456))*SIGN(I452)</f>
        <v>0</v>
      </c>
      <c r="L452" s="898">
        <f>+K452+H452</f>
        <v>0</v>
      </c>
      <c r="M452" s="20"/>
      <c r="N452" s="839">
        <f>+I452+K452</f>
        <v>0</v>
      </c>
      <c r="O452" s="610"/>
    </row>
    <row r="453" spans="2:15" ht="13" x14ac:dyDescent="0.25">
      <c r="B453" s="1057">
        <v>2016</v>
      </c>
      <c r="C453" s="1058"/>
      <c r="D453" s="1058"/>
      <c r="E453" s="1059"/>
      <c r="F453" s="896"/>
      <c r="G453" s="839">
        <f>+N445</f>
        <v>0</v>
      </c>
      <c r="H453" s="898">
        <f>IF(SIGN(G455*N447)&lt;0,IF(G453&lt;&gt;0,-SIGN(G453)*MIN(ABS(G455-H452),ABS(G453)),0),0)</f>
        <v>0</v>
      </c>
      <c r="I453" s="839">
        <f>+G453+H453</f>
        <v>0</v>
      </c>
      <c r="J453" s="698"/>
      <c r="K453" s="897">
        <f>-MIN(ABS(I453),ABS(J456-K452))*SIGN(I453)</f>
        <v>0</v>
      </c>
      <c r="L453" s="898">
        <f>+K453+H453</f>
        <v>0</v>
      </c>
      <c r="M453" s="20"/>
      <c r="N453" s="839">
        <f>+I453+K453</f>
        <v>0</v>
      </c>
      <c r="O453" s="610"/>
    </row>
    <row r="454" spans="2:15" ht="13" x14ac:dyDescent="0.25">
      <c r="B454" s="1057">
        <v>2017</v>
      </c>
      <c r="C454" s="1058"/>
      <c r="D454" s="1058">
        <v>2016</v>
      </c>
      <c r="E454" s="1059"/>
      <c r="F454" s="896"/>
      <c r="G454" s="839">
        <f>+N446</f>
        <v>0</v>
      </c>
      <c r="H454" s="898">
        <f>IF(SIGN(G455*N447)&lt;0,IF(G454&lt;&gt;0,-SIGN(G454)*MIN(ABS(G455-H452-H453),ABS(G454)),0),0)</f>
        <v>0</v>
      </c>
      <c r="I454" s="839">
        <f>+G454+H454</f>
        <v>0</v>
      </c>
      <c r="J454" s="698"/>
      <c r="K454" s="897">
        <f>-MIN(ABS(I454),ABS(J456-K452-K453))*SIGN(I454)</f>
        <v>0</v>
      </c>
      <c r="L454" s="898">
        <f>+K454+H454</f>
        <v>0</v>
      </c>
      <c r="M454" s="20"/>
      <c r="N454" s="839">
        <f>+I454+K454</f>
        <v>0</v>
      </c>
      <c r="O454" s="610"/>
    </row>
    <row r="455" spans="2:15" ht="13" x14ac:dyDescent="0.25">
      <c r="B455" s="1057">
        <v>2018</v>
      </c>
      <c r="C455" s="1058"/>
      <c r="D455" s="1058"/>
      <c r="E455" s="1059"/>
      <c r="F455" s="896"/>
      <c r="G455" s="839">
        <f>J149</f>
        <v>0</v>
      </c>
      <c r="H455" s="898">
        <f>IF(SIGN(G455*N447)&lt;0,-SUM(H452:H454),0)</f>
        <v>0</v>
      </c>
      <c r="I455" s="839">
        <f>+G455+H455</f>
        <v>0</v>
      </c>
      <c r="J455" s="698"/>
      <c r="K455" s="897">
        <f>-MIN(ABS(I455),ABS(J456-K452-K453-K454))*SIGN(I455)</f>
        <v>0</v>
      </c>
      <c r="L455" s="898">
        <f>+K455+H455</f>
        <v>0</v>
      </c>
      <c r="M455" s="20"/>
      <c r="N455" s="839">
        <f>+I455+K455</f>
        <v>0</v>
      </c>
      <c r="O455" s="610"/>
    </row>
    <row r="456" spans="2:15" s="18" customFormat="1" ht="13" x14ac:dyDescent="0.3">
      <c r="G456" s="899">
        <f>SUM(G452:G455)</f>
        <v>0</v>
      </c>
      <c r="H456" s="899">
        <f>SUM(H452:H455)</f>
        <v>0</v>
      </c>
      <c r="I456" s="899">
        <f>SUM(I452:I455)</f>
        <v>0</v>
      </c>
      <c r="J456" s="899">
        <f>-I456*0.6</f>
        <v>0</v>
      </c>
      <c r="K456" s="900">
        <f>SUM(K452:K455)</f>
        <v>0</v>
      </c>
      <c r="L456" s="900"/>
      <c r="N456" s="899">
        <f>SUM(N452:N455)</f>
        <v>0</v>
      </c>
    </row>
    <row r="459" spans="2:15" ht="13" x14ac:dyDescent="0.3">
      <c r="B459" s="18" t="s">
        <v>364</v>
      </c>
      <c r="C459" s="381"/>
      <c r="D459" s="381"/>
      <c r="E459" s="381"/>
    </row>
    <row r="460" spans="2:15" ht="13" x14ac:dyDescent="0.3">
      <c r="B460" s="18"/>
      <c r="C460" s="381"/>
      <c r="D460" s="381"/>
      <c r="E460" s="381"/>
    </row>
    <row r="461" spans="2:15" ht="13" x14ac:dyDescent="0.3">
      <c r="B461" s="864">
        <f>F429</f>
        <v>2017</v>
      </c>
      <c r="C461" s="906">
        <f>J432</f>
        <v>0</v>
      </c>
      <c r="D461" s="381"/>
      <c r="E461" s="381"/>
    </row>
    <row r="462" spans="2:15" ht="13" x14ac:dyDescent="0.3">
      <c r="B462" s="864">
        <f>F434</f>
        <v>2018</v>
      </c>
      <c r="C462" s="906">
        <f>K439</f>
        <v>0</v>
      </c>
      <c r="D462" s="381"/>
      <c r="E462" s="381"/>
    </row>
    <row r="463" spans="2:15" ht="13" x14ac:dyDescent="0.3">
      <c r="B463" s="864">
        <f>F441</f>
        <v>2019</v>
      </c>
      <c r="C463" s="906">
        <f>K447</f>
        <v>0</v>
      </c>
      <c r="D463" s="381"/>
      <c r="E463" s="381"/>
    </row>
    <row r="464" spans="2:15" ht="13" x14ac:dyDescent="0.3">
      <c r="B464" s="864">
        <f>F449</f>
        <v>2020</v>
      </c>
      <c r="C464" s="906">
        <f>K456</f>
        <v>0</v>
      </c>
      <c r="D464" s="381"/>
      <c r="E464" s="381"/>
    </row>
    <row r="465" spans="2:15" x14ac:dyDescent="0.25">
      <c r="M465" s="610"/>
    </row>
    <row r="466" spans="2:15" x14ac:dyDescent="0.25">
      <c r="M466" s="610"/>
    </row>
    <row r="467" spans="2:15" ht="12.75" customHeight="1" x14ac:dyDescent="0.3">
      <c r="B467" s="902" t="s">
        <v>134</v>
      </c>
      <c r="C467" s="903"/>
      <c r="D467" s="903"/>
      <c r="E467" s="903"/>
      <c r="F467" s="904"/>
      <c r="G467" s="904"/>
      <c r="H467" s="904"/>
      <c r="I467" s="904"/>
      <c r="J467" s="904"/>
      <c r="K467" s="904"/>
      <c r="L467" s="904"/>
      <c r="M467" s="905"/>
      <c r="N467" s="904"/>
    </row>
    <row r="468" spans="2:15" x14ac:dyDescent="0.25">
      <c r="M468" s="610"/>
    </row>
    <row r="469" spans="2:15" ht="13" x14ac:dyDescent="0.3">
      <c r="B469" s="18" t="s">
        <v>362</v>
      </c>
      <c r="F469" s="895">
        <v>2017</v>
      </c>
      <c r="M469" s="610"/>
    </row>
    <row r="470" spans="2:15" x14ac:dyDescent="0.25">
      <c r="L470" s="610"/>
      <c r="M470" s="20"/>
    </row>
    <row r="471" spans="2:15" ht="82.5" customHeight="1" x14ac:dyDescent="0.25">
      <c r="B471" s="1060" t="s">
        <v>363</v>
      </c>
      <c r="C471" s="1061"/>
      <c r="D471" s="1061"/>
      <c r="E471" s="1062"/>
      <c r="F471" s="599"/>
      <c r="G471" s="675" t="str">
        <f>"Nog af te bouwen regulatoir saldo einde "&amp;F469-1</f>
        <v>Nog af te bouwen regulatoir saldo einde 2016</v>
      </c>
      <c r="H471" s="675" t="str">
        <f>"Afbouw oudste openstaande regulatoir saldo vanaf boekjaar "&amp;F469-3&amp;" en vroeger, door aanwending van compensatie met regulatoir saldo ontstaan over boekjaar "&amp;F469-2</f>
        <v>Afbouw oudste openstaande regulatoir saldo vanaf boekjaar 2014 en vroeger, door aanwending van compensatie met regulatoir saldo ontstaan over boekjaar 2015</v>
      </c>
      <c r="I471" s="675" t="str">
        <f>"Nog af te bouwen regulatoir saldo na compensatie einde "&amp;F469-1</f>
        <v>Nog af te bouwen regulatoir saldo na compensatie einde 2016</v>
      </c>
      <c r="J471" s="675" t="str">
        <f>"Aanwending van 60% van het geaccumuleerd regulatoir saldo door te rekenen volgens de tariefmethodologie in het boekjaar "&amp;F469</f>
        <v>Aanwending van 60% van het geaccumuleerd regulatoir saldo door te rekenen volgens de tariefmethodologie in het boekjaar 2017</v>
      </c>
      <c r="K471" s="675" t="str">
        <f>"Nog af te bouwen regulatoir saldo einde "&amp;F469</f>
        <v>Nog af te bouwen regulatoir saldo einde 2017</v>
      </c>
      <c r="L471" s="610"/>
      <c r="M471" s="20"/>
    </row>
    <row r="472" spans="2:15" ht="13" x14ac:dyDescent="0.25">
      <c r="B472" s="1057">
        <v>2015</v>
      </c>
      <c r="C472" s="1058"/>
      <c r="D472" s="1058"/>
      <c r="E472" s="1059"/>
      <c r="F472" s="896"/>
      <c r="G472" s="839">
        <f>G154</f>
        <v>0</v>
      </c>
      <c r="H472" s="897">
        <v>0</v>
      </c>
      <c r="I472" s="839">
        <f>+G472+H472</f>
        <v>0</v>
      </c>
      <c r="J472" s="839">
        <f>-I472*0.6</f>
        <v>0</v>
      </c>
      <c r="K472" s="908">
        <f>+J472+G472</f>
        <v>0</v>
      </c>
      <c r="L472" s="610"/>
      <c r="M472" s="20"/>
    </row>
    <row r="473" spans="2:15" x14ac:dyDescent="0.25">
      <c r="L473" s="610"/>
      <c r="M473" s="20"/>
    </row>
    <row r="474" spans="2:15" ht="13" x14ac:dyDescent="0.3">
      <c r="B474" s="18" t="s">
        <v>362</v>
      </c>
      <c r="F474" s="895">
        <v>2018</v>
      </c>
      <c r="M474" s="610"/>
    </row>
    <row r="475" spans="2:15" x14ac:dyDescent="0.25">
      <c r="M475" s="610"/>
    </row>
    <row r="476" spans="2:15" ht="69.75" customHeight="1" x14ac:dyDescent="0.25">
      <c r="B476" s="1060" t="s">
        <v>363</v>
      </c>
      <c r="C476" s="1061"/>
      <c r="D476" s="1061"/>
      <c r="E476" s="1062"/>
      <c r="F476" s="599"/>
      <c r="G476" s="675" t="str">
        <f>"Nog af te bouwen regulatoir saldo einde "&amp;F474-1</f>
        <v>Nog af te bouwen regulatoir saldo einde 2017</v>
      </c>
      <c r="H476" s="675" t="str">
        <f>"Afbouw oudste openstaande regulatoir saldo vanaf boekjaar "&amp;F474-3&amp;" en vroeger, door aanwending van compensatie met regulatoir saldo ontstaan over boekjaar "&amp;F474-2</f>
        <v>Afbouw oudste openstaande regulatoir saldo vanaf boekjaar 2015 en vroeger, door aanwending van compensatie met regulatoir saldo ontstaan over boekjaar 2016</v>
      </c>
      <c r="I476" s="675" t="str">
        <f>"Nog af te bouwen regulatoir saldo na compensatie einde "&amp;F474-1</f>
        <v>Nog af te bouwen regulatoir saldo na compensatie einde 2017</v>
      </c>
      <c r="J476" s="675" t="str">
        <f>"60% van het geaccumuleerd regulatoir saldo door te rekenen volgens de tariefmethodologie in het boekjaar "&amp;F474</f>
        <v>60% van het geaccumuleerd regulatoir saldo door te rekenen volgens de tariefmethodologie in het boekjaar 2018</v>
      </c>
      <c r="K476" s="675" t="str">
        <f>"Aanwending van 60% van het geaccumuleerd regulatoir saldo door te rekenen volgens de tariefmethodologie in het boekjaar "&amp;F474</f>
        <v>Aanwending van 60% van het geaccumuleerd regulatoir saldo door te rekenen volgens de tariefmethodologie in het boekjaar 2018</v>
      </c>
      <c r="L476" s="675" t="str">
        <f>"Totale afbouw over "&amp;F474</f>
        <v>Totale afbouw over 2018</v>
      </c>
      <c r="M476" s="20"/>
      <c r="N476" s="675" t="str">
        <f>"Nog af te bouwen regulatoir saldo einde "&amp;F474</f>
        <v>Nog af te bouwen regulatoir saldo einde 2018</v>
      </c>
      <c r="O476" s="610"/>
    </row>
    <row r="477" spans="2:15" ht="13" x14ac:dyDescent="0.25">
      <c r="B477" s="1057">
        <v>2015</v>
      </c>
      <c r="C477" s="1058"/>
      <c r="D477" s="1058"/>
      <c r="E477" s="1059"/>
      <c r="F477" s="896"/>
      <c r="G477" s="839">
        <f>K472</f>
        <v>0</v>
      </c>
      <c r="H477" s="897">
        <f>IF(SIGN(G478*K472)&lt;0,IF(G477&lt;&gt;0,-SIGN(G477)*MIN(ABS(G478),ABS(G477)),0),0)</f>
        <v>0</v>
      </c>
      <c r="I477" s="839">
        <f>+G477+H477</f>
        <v>0</v>
      </c>
      <c r="J477" s="698"/>
      <c r="K477" s="897">
        <f>-MIN(ABS(I477),ABS(J479))*SIGN(I477)</f>
        <v>0</v>
      </c>
      <c r="L477" s="898">
        <f>+K477+H477</f>
        <v>0</v>
      </c>
      <c r="M477" s="20"/>
      <c r="N477" s="839">
        <f>+I477+K477</f>
        <v>0</v>
      </c>
      <c r="O477" s="610"/>
    </row>
    <row r="478" spans="2:15" ht="13" x14ac:dyDescent="0.25">
      <c r="B478" s="1057">
        <v>2016</v>
      </c>
      <c r="C478" s="1058"/>
      <c r="D478" s="1058"/>
      <c r="E478" s="1059"/>
      <c r="F478" s="896"/>
      <c r="G478" s="839">
        <f>H155</f>
        <v>0</v>
      </c>
      <c r="H478" s="898">
        <f>IF(SIGN(G478*K472)&lt;0,-H477,0)</f>
        <v>0</v>
      </c>
      <c r="I478" s="839">
        <f>+G478+H478</f>
        <v>0</v>
      </c>
      <c r="J478" s="698"/>
      <c r="K478" s="897">
        <f>-MIN(ABS(I478),ABS(J479-K477))*SIGN(I478)</f>
        <v>0</v>
      </c>
      <c r="L478" s="898">
        <f>+K478+H478</f>
        <v>0</v>
      </c>
      <c r="M478" s="20"/>
      <c r="N478" s="839">
        <f>+I478+K478</f>
        <v>0</v>
      </c>
      <c r="O478" s="610"/>
    </row>
    <row r="479" spans="2:15" s="18" customFormat="1" ht="13" x14ac:dyDescent="0.3">
      <c r="G479" s="899">
        <f>SUM(G477:G478)</f>
        <v>0</v>
      </c>
      <c r="H479" s="899">
        <f>SUM(H477:H478)</f>
        <v>0</v>
      </c>
      <c r="I479" s="899">
        <f>SUM(I477:I478)</f>
        <v>0</v>
      </c>
      <c r="J479" s="899">
        <f>-I479*0.6</f>
        <v>0</v>
      </c>
      <c r="K479" s="900">
        <f>SUM(K477:K478)</f>
        <v>0</v>
      </c>
      <c r="L479" s="901"/>
      <c r="N479" s="899">
        <f>SUM(N477:N478)</f>
        <v>0</v>
      </c>
    </row>
    <row r="480" spans="2:15" x14ac:dyDescent="0.25">
      <c r="M480" s="610"/>
    </row>
    <row r="481" spans="2:15" ht="13" x14ac:dyDescent="0.3">
      <c r="B481" s="18" t="s">
        <v>362</v>
      </c>
      <c r="F481" s="895">
        <v>2019</v>
      </c>
      <c r="M481" s="20"/>
    </row>
    <row r="482" spans="2:15" x14ac:dyDescent="0.25">
      <c r="M482" s="20"/>
    </row>
    <row r="483" spans="2:15" ht="75.75" customHeight="1" x14ac:dyDescent="0.25">
      <c r="B483" s="1060" t="s">
        <v>363</v>
      </c>
      <c r="C483" s="1061"/>
      <c r="D483" s="1061"/>
      <c r="E483" s="1062"/>
      <c r="F483" s="599"/>
      <c r="G483" s="675" t="str">
        <f>"Nog af te bouwen regulatoir saldo einde "&amp;F481-1</f>
        <v>Nog af te bouwen regulatoir saldo einde 2018</v>
      </c>
      <c r="H483" s="675" t="str">
        <f>"Afbouw oudste openstaande regulatoir saldo vanaf boekjaar "&amp;F481-3&amp;" en vroeger, door aanwending van compensatie met regulatoir saldo ontstaan over boekjaar "&amp;F481-2</f>
        <v>Afbouw oudste openstaande regulatoir saldo vanaf boekjaar 2016 en vroeger, door aanwending van compensatie met regulatoir saldo ontstaan over boekjaar 2017</v>
      </c>
      <c r="I483" s="675" t="str">
        <f>"Nog af te bouwen regulatoir saldo na compensatie einde "&amp;F481-1</f>
        <v>Nog af te bouwen regulatoir saldo na compensatie einde 2018</v>
      </c>
      <c r="J483" s="675" t="str">
        <f>"60% van het geaccumuleerd regulatoir saldo door te rekenen volgens de tariefmethodologie in het boekjaar "&amp;F481</f>
        <v>60% van het geaccumuleerd regulatoir saldo door te rekenen volgens de tariefmethodologie in het boekjaar 2019</v>
      </c>
      <c r="K483" s="675" t="str">
        <f>"Aanwending van het 60% van het geaccumuleerd regulatoir saldo door te rekenen volgens de tariefmethodologie in het boekjaar "&amp;F481</f>
        <v>Aanwending van het 60% van het geaccumuleerd regulatoir saldo door te rekenen volgens de tariefmethodologie in het boekjaar 2019</v>
      </c>
      <c r="L483" s="675" t="str">
        <f>"Totale afbouw over "&amp;F481</f>
        <v>Totale afbouw over 2019</v>
      </c>
      <c r="M483" s="20"/>
      <c r="N483" s="675" t="str">
        <f>"Nog af te bouwen regulatoir saldo einde "&amp;F481</f>
        <v>Nog af te bouwen regulatoir saldo einde 2019</v>
      </c>
      <c r="O483" s="610"/>
    </row>
    <row r="484" spans="2:15" ht="13" x14ac:dyDescent="0.25">
      <c r="B484" s="1057">
        <v>2015</v>
      </c>
      <c r="C484" s="1058"/>
      <c r="D484" s="1058"/>
      <c r="E484" s="1059"/>
      <c r="F484" s="896"/>
      <c r="G484" s="839">
        <f>+N477</f>
        <v>0</v>
      </c>
      <c r="H484" s="898">
        <f>IF(SIGN(G486*N479)&lt;0,IF(G484&lt;&gt;0,-SIGN(G484)*MIN(ABS(G486),ABS(G484)),0),0)</f>
        <v>0</v>
      </c>
      <c r="I484" s="839">
        <f>+G484+H484</f>
        <v>0</v>
      </c>
      <c r="J484" s="698"/>
      <c r="K484" s="897">
        <f>-MIN(ABS(I484),ABS(J487))*SIGN(I484)</f>
        <v>0</v>
      </c>
      <c r="L484" s="898">
        <f>+K484+H484</f>
        <v>0</v>
      </c>
      <c r="M484" s="20"/>
      <c r="N484" s="839">
        <f>+I484+K484</f>
        <v>0</v>
      </c>
      <c r="O484" s="610"/>
    </row>
    <row r="485" spans="2:15" ht="13" x14ac:dyDescent="0.25">
      <c r="B485" s="1057">
        <v>2016</v>
      </c>
      <c r="C485" s="1058"/>
      <c r="D485" s="1058">
        <v>2016</v>
      </c>
      <c r="E485" s="1059"/>
      <c r="F485" s="896"/>
      <c r="G485" s="839">
        <f>+N478</f>
        <v>0</v>
      </c>
      <c r="H485" s="898">
        <f>IF(SIGN(G486*N479)&lt;0,IF(G485&lt;&gt;0,-SIGN(G485)*MIN(ABS(G486-H484),ABS(G485)),0),0)</f>
        <v>0</v>
      </c>
      <c r="I485" s="839">
        <f>+G485+H485</f>
        <v>0</v>
      </c>
      <c r="J485" s="698"/>
      <c r="K485" s="897">
        <f>-MIN(ABS(I485),ABS(J487-K484))*SIGN(I485)</f>
        <v>0</v>
      </c>
      <c r="L485" s="898">
        <f>+K485+H485</f>
        <v>0</v>
      </c>
      <c r="M485" s="20"/>
      <c r="N485" s="839">
        <f>+I485+K485</f>
        <v>0</v>
      </c>
      <c r="O485" s="610"/>
    </row>
    <row r="486" spans="2:15" ht="13" x14ac:dyDescent="0.25">
      <c r="B486" s="1057">
        <v>2017</v>
      </c>
      <c r="C486" s="1058"/>
      <c r="D486" s="1058"/>
      <c r="E486" s="1059"/>
      <c r="F486" s="896"/>
      <c r="G486" s="839">
        <f>I156</f>
        <v>0</v>
      </c>
      <c r="H486" s="898">
        <f>IF(SIGN(G486*N479)&lt;0,-SUM(H484:H485),0)</f>
        <v>0</v>
      </c>
      <c r="I486" s="839">
        <f>+G486+H486</f>
        <v>0</v>
      </c>
      <c r="J486" s="698"/>
      <c r="K486" s="897">
        <f>-MIN(ABS(I486),ABS(J487-K484-K485))*SIGN(I486)</f>
        <v>0</v>
      </c>
      <c r="L486" s="898">
        <f>+K486+H486</f>
        <v>0</v>
      </c>
      <c r="M486" s="20"/>
      <c r="N486" s="839">
        <f>+I486+K486</f>
        <v>0</v>
      </c>
      <c r="O486" s="610"/>
    </row>
    <row r="487" spans="2:15" s="18" customFormat="1" ht="13" x14ac:dyDescent="0.3">
      <c r="G487" s="899">
        <f>SUM(G484:G486)</f>
        <v>0</v>
      </c>
      <c r="H487" s="899">
        <f>SUM(H484:H486)</f>
        <v>0</v>
      </c>
      <c r="I487" s="899">
        <f>SUM(I484:I486)</f>
        <v>0</v>
      </c>
      <c r="J487" s="899">
        <f>-I487*0.6</f>
        <v>0</v>
      </c>
      <c r="K487" s="900">
        <f>SUM(K484:K486)</f>
        <v>0</v>
      </c>
      <c r="L487" s="901"/>
      <c r="N487" s="899">
        <f>SUM(N484:N486)</f>
        <v>0</v>
      </c>
    </row>
    <row r="488" spans="2:15" x14ac:dyDescent="0.25">
      <c r="M488" s="610"/>
    </row>
    <row r="489" spans="2:15" ht="13" x14ac:dyDescent="0.3">
      <c r="B489" s="18" t="s">
        <v>362</v>
      </c>
      <c r="F489" s="895">
        <v>2020</v>
      </c>
      <c r="M489" s="20"/>
    </row>
    <row r="490" spans="2:15" x14ac:dyDescent="0.25">
      <c r="M490" s="20"/>
    </row>
    <row r="491" spans="2:15" ht="78" customHeight="1" x14ac:dyDescent="0.25">
      <c r="B491" s="1060" t="s">
        <v>363</v>
      </c>
      <c r="C491" s="1061"/>
      <c r="D491" s="1061"/>
      <c r="E491" s="1062"/>
      <c r="F491" s="599"/>
      <c r="G491" s="675" t="str">
        <f>"Nog af te bouwen regulatoir saldo einde "&amp;F489-1</f>
        <v>Nog af te bouwen regulatoir saldo einde 2019</v>
      </c>
      <c r="H491" s="675" t="str">
        <f>"Afbouw oudste openstaande regulatoir saldo vanaf boekjaar "&amp;F489-3&amp;" en vroeger, door aanwending van compensatie met regulatoir saldo ontstaan over boekjaar "&amp;F489-2</f>
        <v>Afbouw oudste openstaande regulatoir saldo vanaf boekjaar 2017 en vroeger, door aanwending van compensatie met regulatoir saldo ontstaan over boekjaar 2018</v>
      </c>
      <c r="I491" s="675" t="str">
        <f>"Nog af te bouwen regulatoir saldo na compensatie einde "&amp;F489-1</f>
        <v>Nog af te bouwen regulatoir saldo na compensatie einde 2019</v>
      </c>
      <c r="J491" s="675" t="str">
        <f>"60% van het geaccumuleerd regulatoir saldo door te rekenen volgens de tariefmethodologie in het boekjaar "&amp;F489</f>
        <v>60% van het geaccumuleerd regulatoir saldo door te rekenen volgens de tariefmethodologie in het boekjaar 2020</v>
      </c>
      <c r="K491" s="675" t="str">
        <f>"Aanwending van het 60% van het geaccumuleerd regulatoir saldo door te rekenen volgens de tariefmethodologie in het boekjaar "&amp;F489</f>
        <v>Aanwending van het 60% van het geaccumuleerd regulatoir saldo door te rekenen volgens de tariefmethodologie in het boekjaar 2020</v>
      </c>
      <c r="L491" s="675" t="str">
        <f>"Totale afbouw over "&amp;F489</f>
        <v>Totale afbouw over 2020</v>
      </c>
      <c r="M491" s="20"/>
      <c r="N491" s="675" t="str">
        <f>"Nog af te bouwen regulatoir saldo einde "&amp;F489</f>
        <v>Nog af te bouwen regulatoir saldo einde 2020</v>
      </c>
      <c r="O491" s="610"/>
    </row>
    <row r="492" spans="2:15" ht="13" x14ac:dyDescent="0.25">
      <c r="B492" s="1057">
        <v>2015</v>
      </c>
      <c r="C492" s="1058"/>
      <c r="D492" s="1058"/>
      <c r="E492" s="1059"/>
      <c r="F492" s="896"/>
      <c r="G492" s="839">
        <f>+N484</f>
        <v>0</v>
      </c>
      <c r="H492" s="898">
        <f>IF(SIGN(G495*N487)&lt;0,IF(G492&lt;&gt;0,-SIGN(G492)*MIN(ABS(G495),ABS(G492)),0),0)</f>
        <v>0</v>
      </c>
      <c r="I492" s="839">
        <f>+G492+H492</f>
        <v>0</v>
      </c>
      <c r="J492" s="698"/>
      <c r="K492" s="897">
        <f>-MIN(ABS(I492),ABS(J496))*SIGN(I492)</f>
        <v>0</v>
      </c>
      <c r="L492" s="898">
        <f>+K492+H492</f>
        <v>0</v>
      </c>
      <c r="M492" s="20"/>
      <c r="N492" s="839">
        <f>+I492+K492</f>
        <v>0</v>
      </c>
      <c r="O492" s="610"/>
    </row>
    <row r="493" spans="2:15" ht="13" x14ac:dyDescent="0.25">
      <c r="B493" s="1057">
        <v>2016</v>
      </c>
      <c r="C493" s="1058"/>
      <c r="D493" s="1058"/>
      <c r="E493" s="1059"/>
      <c r="F493" s="896"/>
      <c r="G493" s="839">
        <f>+N485</f>
        <v>0</v>
      </c>
      <c r="H493" s="898">
        <f>IF(SIGN(G495*N487)&lt;0,IF(G493&lt;&gt;0,-SIGN(G493)*MIN(ABS(G495-H492),ABS(G493)),0),0)</f>
        <v>0</v>
      </c>
      <c r="I493" s="839">
        <f>+G493+H493</f>
        <v>0</v>
      </c>
      <c r="J493" s="698"/>
      <c r="K493" s="897">
        <f>-MIN(ABS(I493),ABS(J496-K492))*SIGN(I493)</f>
        <v>0</v>
      </c>
      <c r="L493" s="898">
        <f>+K493+H493</f>
        <v>0</v>
      </c>
      <c r="M493" s="20"/>
      <c r="N493" s="839">
        <f>+I493+K493</f>
        <v>0</v>
      </c>
      <c r="O493" s="610"/>
    </row>
    <row r="494" spans="2:15" ht="13" x14ac:dyDescent="0.25">
      <c r="B494" s="1057">
        <v>2017</v>
      </c>
      <c r="C494" s="1058"/>
      <c r="D494" s="1058">
        <v>2016</v>
      </c>
      <c r="E494" s="1059"/>
      <c r="F494" s="896"/>
      <c r="G494" s="839">
        <f>+N486</f>
        <v>0</v>
      </c>
      <c r="H494" s="898">
        <f>IF(SIGN(G495*N487)&lt;0,IF(G494&lt;&gt;0,-SIGN(G494)*MIN(ABS(G495-H492-H493),ABS(G494)),0),0)</f>
        <v>0</v>
      </c>
      <c r="I494" s="839">
        <f>+G494+H494</f>
        <v>0</v>
      </c>
      <c r="J494" s="698"/>
      <c r="K494" s="897">
        <f>-MIN(ABS(I494),ABS(J496-K492-K493))*SIGN(I494)</f>
        <v>0</v>
      </c>
      <c r="L494" s="898">
        <f>+K494+H494</f>
        <v>0</v>
      </c>
      <c r="M494" s="20"/>
      <c r="N494" s="839">
        <f>+I494+K494</f>
        <v>0</v>
      </c>
      <c r="O494" s="610"/>
    </row>
    <row r="495" spans="2:15" ht="13" x14ac:dyDescent="0.25">
      <c r="B495" s="1057">
        <v>2018</v>
      </c>
      <c r="C495" s="1058"/>
      <c r="D495" s="1058"/>
      <c r="E495" s="1059"/>
      <c r="F495" s="896"/>
      <c r="G495" s="839">
        <f>J157</f>
        <v>0</v>
      </c>
      <c r="H495" s="898">
        <f>IF(SIGN(G495*N487)&lt;0,-SUM(H492:H494),0)</f>
        <v>0</v>
      </c>
      <c r="I495" s="839">
        <f>+G495+H495</f>
        <v>0</v>
      </c>
      <c r="J495" s="698"/>
      <c r="K495" s="897">
        <f>-MIN(ABS(I495),ABS(J496-K492-K493-K494))*SIGN(I495)</f>
        <v>0</v>
      </c>
      <c r="L495" s="898">
        <f>+K495+H495</f>
        <v>0</v>
      </c>
      <c r="M495" s="20"/>
      <c r="N495" s="839">
        <f>+I495+K495</f>
        <v>0</v>
      </c>
      <c r="O495" s="610"/>
    </row>
    <row r="496" spans="2:15" s="18" customFormat="1" ht="13" x14ac:dyDescent="0.3">
      <c r="G496" s="899">
        <f>SUM(G492:G495)</f>
        <v>0</v>
      </c>
      <c r="H496" s="899">
        <f>SUM(H492:H495)</f>
        <v>0</v>
      </c>
      <c r="I496" s="899">
        <f>SUM(I492:I495)</f>
        <v>0</v>
      </c>
      <c r="J496" s="899">
        <f>-I496*0.6</f>
        <v>0</v>
      </c>
      <c r="K496" s="900">
        <f>SUM(K492:K495)</f>
        <v>0</v>
      </c>
      <c r="L496" s="900"/>
      <c r="N496" s="899">
        <f>SUM(N492:N495)</f>
        <v>0</v>
      </c>
    </row>
    <row r="499" spans="2:13" ht="13" x14ac:dyDescent="0.3">
      <c r="B499" s="18" t="s">
        <v>364</v>
      </c>
      <c r="C499" s="381"/>
      <c r="D499" s="381"/>
      <c r="E499" s="381"/>
    </row>
    <row r="500" spans="2:13" ht="13" x14ac:dyDescent="0.3">
      <c r="B500" s="18"/>
      <c r="C500" s="381"/>
      <c r="D500" s="381"/>
      <c r="E500" s="381"/>
    </row>
    <row r="501" spans="2:13" ht="13" x14ac:dyDescent="0.3">
      <c r="B501" s="864">
        <f>F469</f>
        <v>2017</v>
      </c>
      <c r="C501" s="906">
        <f>J472</f>
        <v>0</v>
      </c>
      <c r="D501" s="381"/>
      <c r="E501" s="381"/>
    </row>
    <row r="502" spans="2:13" ht="13" x14ac:dyDescent="0.3">
      <c r="B502" s="864">
        <f>F474</f>
        <v>2018</v>
      </c>
      <c r="C502" s="906">
        <f>K479</f>
        <v>0</v>
      </c>
      <c r="D502" s="381"/>
      <c r="E502" s="381"/>
    </row>
    <row r="503" spans="2:13" ht="13" x14ac:dyDescent="0.3">
      <c r="B503" s="864">
        <f>F481</f>
        <v>2019</v>
      </c>
      <c r="C503" s="906">
        <f>K487</f>
        <v>0</v>
      </c>
      <c r="D503" s="381"/>
      <c r="E503" s="381"/>
    </row>
    <row r="504" spans="2:13" ht="13" x14ac:dyDescent="0.3">
      <c r="B504" s="864">
        <f>F489</f>
        <v>2020</v>
      </c>
      <c r="C504" s="906">
        <f>K496</f>
        <v>0</v>
      </c>
      <c r="D504" s="381"/>
      <c r="E504" s="381"/>
    </row>
    <row r="505" spans="2:13" x14ac:dyDescent="0.25">
      <c r="M505" s="610"/>
    </row>
    <row r="506" spans="2:13" x14ac:dyDescent="0.25">
      <c r="M506" s="610"/>
    </row>
  </sheetData>
  <mergeCells count="267">
    <mergeCell ref="B65:E65"/>
    <mergeCell ref="B101:E101"/>
    <mergeCell ref="B42:E42"/>
    <mergeCell ref="B43:E43"/>
    <mergeCell ref="B76:E76"/>
    <mergeCell ref="B77:E77"/>
    <mergeCell ref="B75:E75"/>
    <mergeCell ref="B74:E74"/>
    <mergeCell ref="B82:E82"/>
    <mergeCell ref="B83:E83"/>
    <mergeCell ref="B84:E84"/>
    <mergeCell ref="B72:E72"/>
    <mergeCell ref="B69:E69"/>
    <mergeCell ref="B70:E70"/>
    <mergeCell ref="B71:E71"/>
    <mergeCell ref="B80:E80"/>
    <mergeCell ref="B182:E182"/>
    <mergeCell ref="B184:E184"/>
    <mergeCell ref="B177:E177"/>
    <mergeCell ref="B178:E178"/>
    <mergeCell ref="B179:E179"/>
    <mergeCell ref="B180:E180"/>
    <mergeCell ref="B95:E95"/>
    <mergeCell ref="B96:E96"/>
    <mergeCell ref="B85:E85"/>
    <mergeCell ref="B86:E86"/>
    <mergeCell ref="B173:E173"/>
    <mergeCell ref="B110:E110"/>
    <mergeCell ref="B111:E111"/>
    <mergeCell ref="B112:E112"/>
    <mergeCell ref="B113:E113"/>
    <mergeCell ref="B114:E114"/>
    <mergeCell ref="B104:E104"/>
    <mergeCell ref="B103:E103"/>
    <mergeCell ref="B181:E181"/>
    <mergeCell ref="B93:E93"/>
    <mergeCell ref="B94:E94"/>
    <mergeCell ref="B92:E92"/>
    <mergeCell ref="B52:E52"/>
    <mergeCell ref="B59:E59"/>
    <mergeCell ref="B66:E66"/>
    <mergeCell ref="B73:E73"/>
    <mergeCell ref="B54:E54"/>
    <mergeCell ref="B53:E53"/>
    <mergeCell ref="B90:E90"/>
    <mergeCell ref="B81:E81"/>
    <mergeCell ref="B175:E175"/>
    <mergeCell ref="B176:E176"/>
    <mergeCell ref="B62:E62"/>
    <mergeCell ref="B63:E63"/>
    <mergeCell ref="B64:E64"/>
    <mergeCell ref="B109:E109"/>
    <mergeCell ref="B78:E78"/>
    <mergeCell ref="B79:E79"/>
    <mergeCell ref="B55:E55"/>
    <mergeCell ref="B58:E58"/>
    <mergeCell ref="B57:E57"/>
    <mergeCell ref="B61:E61"/>
    <mergeCell ref="A1:J1"/>
    <mergeCell ref="B4:E4"/>
    <mergeCell ref="B7:E7"/>
    <mergeCell ref="B13:E13"/>
    <mergeCell ref="B15:E15"/>
    <mergeCell ref="B16:E16"/>
    <mergeCell ref="B32:E32"/>
    <mergeCell ref="B37:E37"/>
    <mergeCell ref="B24:E24"/>
    <mergeCell ref="B29:E29"/>
    <mergeCell ref="B31:E31"/>
    <mergeCell ref="B17:E17"/>
    <mergeCell ref="B18:E18"/>
    <mergeCell ref="B19:E19"/>
    <mergeCell ref="B20:E20"/>
    <mergeCell ref="B21:E21"/>
    <mergeCell ref="B22:E22"/>
    <mergeCell ref="B33:E33"/>
    <mergeCell ref="B105:E105"/>
    <mergeCell ref="B106:E106"/>
    <mergeCell ref="B107:E107"/>
    <mergeCell ref="B108:E108"/>
    <mergeCell ref="B39:E39"/>
    <mergeCell ref="B34:E34"/>
    <mergeCell ref="B35:E35"/>
    <mergeCell ref="B36:E36"/>
    <mergeCell ref="B49:E49"/>
    <mergeCell ref="B40:E40"/>
    <mergeCell ref="B47:E47"/>
    <mergeCell ref="B46:E46"/>
    <mergeCell ref="B44:E44"/>
    <mergeCell ref="B91:E91"/>
    <mergeCell ref="B51:E51"/>
    <mergeCell ref="B56:E56"/>
    <mergeCell ref="B50:E50"/>
    <mergeCell ref="B48:E48"/>
    <mergeCell ref="B38:E38"/>
    <mergeCell ref="B60:E60"/>
    <mergeCell ref="B68:E68"/>
    <mergeCell ref="B67:E67"/>
    <mergeCell ref="B45:E45"/>
    <mergeCell ref="B41:E41"/>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33:E133"/>
    <mergeCell ref="B134:E134"/>
    <mergeCell ref="B135:E135"/>
    <mergeCell ref="B136:E136"/>
    <mergeCell ref="B137:E137"/>
    <mergeCell ref="B138:E138"/>
    <mergeCell ref="B127:E127"/>
    <mergeCell ref="B128:E128"/>
    <mergeCell ref="B129:E129"/>
    <mergeCell ref="B130:E130"/>
    <mergeCell ref="B131:E131"/>
    <mergeCell ref="B132:E132"/>
    <mergeCell ref="B157:E157"/>
    <mergeCell ref="B145:E145"/>
    <mergeCell ref="B146:E146"/>
    <mergeCell ref="B147:E147"/>
    <mergeCell ref="B148:E148"/>
    <mergeCell ref="B149:E149"/>
    <mergeCell ref="B150:E150"/>
    <mergeCell ref="B139:E139"/>
    <mergeCell ref="B140:E140"/>
    <mergeCell ref="B141:E141"/>
    <mergeCell ref="B142:E142"/>
    <mergeCell ref="B143:E143"/>
    <mergeCell ref="B144:E144"/>
    <mergeCell ref="B191:E191"/>
    <mergeCell ref="B192:E192"/>
    <mergeCell ref="B196:E196"/>
    <mergeCell ref="B197:E197"/>
    <mergeCell ref="B198:E198"/>
    <mergeCell ref="B203:E203"/>
    <mergeCell ref="B166:E166"/>
    <mergeCell ref="B167:E167"/>
    <mergeCell ref="B25:E25"/>
    <mergeCell ref="B88:E88"/>
    <mergeCell ref="B97:E97"/>
    <mergeCell ref="B168:E168"/>
    <mergeCell ref="B158:E158"/>
    <mergeCell ref="B161:E161"/>
    <mergeCell ref="B162:E162"/>
    <mergeCell ref="B163:E163"/>
    <mergeCell ref="B151:E151"/>
    <mergeCell ref="B164:E164"/>
    <mergeCell ref="B165:E165"/>
    <mergeCell ref="B152:E152"/>
    <mergeCell ref="B153:E153"/>
    <mergeCell ref="B154:E154"/>
    <mergeCell ref="B155:E155"/>
    <mergeCell ref="B156:E156"/>
    <mergeCell ref="B214:E214"/>
    <mergeCell ref="B215:E215"/>
    <mergeCell ref="B231:E231"/>
    <mergeCell ref="B232:E232"/>
    <mergeCell ref="B236:E236"/>
    <mergeCell ref="B237:E237"/>
    <mergeCell ref="B204:E204"/>
    <mergeCell ref="B205:E205"/>
    <mergeCell ref="B206:E206"/>
    <mergeCell ref="B211:E211"/>
    <mergeCell ref="B212:E212"/>
    <mergeCell ref="B213:E213"/>
    <mergeCell ref="B252:E252"/>
    <mergeCell ref="B253:E253"/>
    <mergeCell ref="B254:E254"/>
    <mergeCell ref="B255:E255"/>
    <mergeCell ref="B238:E238"/>
    <mergeCell ref="B243:E243"/>
    <mergeCell ref="B244:E244"/>
    <mergeCell ref="B245:E245"/>
    <mergeCell ref="B246:E246"/>
    <mergeCell ref="B251:E251"/>
    <mergeCell ref="B284:E284"/>
    <mergeCell ref="B285:E285"/>
    <mergeCell ref="B286:E286"/>
    <mergeCell ref="B291:E291"/>
    <mergeCell ref="B292:E292"/>
    <mergeCell ref="B293:E293"/>
    <mergeCell ref="B271:E271"/>
    <mergeCell ref="B272:E272"/>
    <mergeCell ref="B276:E276"/>
    <mergeCell ref="B277:E277"/>
    <mergeCell ref="B278:E278"/>
    <mergeCell ref="B283:E283"/>
    <mergeCell ref="B318:E318"/>
    <mergeCell ref="B323:E323"/>
    <mergeCell ref="B324:E324"/>
    <mergeCell ref="B325:E325"/>
    <mergeCell ref="B326:E326"/>
    <mergeCell ref="B331:E331"/>
    <mergeCell ref="B294:E294"/>
    <mergeCell ref="B295:E295"/>
    <mergeCell ref="B311:E311"/>
    <mergeCell ref="B312:E312"/>
    <mergeCell ref="B316:E316"/>
    <mergeCell ref="B317:E317"/>
    <mergeCell ref="B356:E356"/>
    <mergeCell ref="B357:E357"/>
    <mergeCell ref="B358:E358"/>
    <mergeCell ref="B363:E363"/>
    <mergeCell ref="B364:E364"/>
    <mergeCell ref="B365:E365"/>
    <mergeCell ref="B332:E332"/>
    <mergeCell ref="B333:E333"/>
    <mergeCell ref="B334:E334"/>
    <mergeCell ref="B335:E335"/>
    <mergeCell ref="B351:E351"/>
    <mergeCell ref="B352:E352"/>
    <mergeCell ref="B391:E391"/>
    <mergeCell ref="B392:E392"/>
    <mergeCell ref="B396:E396"/>
    <mergeCell ref="B397:E397"/>
    <mergeCell ref="B398:E398"/>
    <mergeCell ref="B403:E403"/>
    <mergeCell ref="B366:E366"/>
    <mergeCell ref="B371:E371"/>
    <mergeCell ref="B372:E372"/>
    <mergeCell ref="B373:E373"/>
    <mergeCell ref="B374:E374"/>
    <mergeCell ref="B375:E375"/>
    <mergeCell ref="B414:E414"/>
    <mergeCell ref="B415:E415"/>
    <mergeCell ref="B431:E431"/>
    <mergeCell ref="B432:E432"/>
    <mergeCell ref="B436:E436"/>
    <mergeCell ref="B437:E437"/>
    <mergeCell ref="B404:E404"/>
    <mergeCell ref="B405:E405"/>
    <mergeCell ref="B406:E406"/>
    <mergeCell ref="B411:E411"/>
    <mergeCell ref="B412:E412"/>
    <mergeCell ref="B413:E413"/>
    <mergeCell ref="B452:E452"/>
    <mergeCell ref="B453:E453"/>
    <mergeCell ref="B454:E454"/>
    <mergeCell ref="B455:E455"/>
    <mergeCell ref="B471:E471"/>
    <mergeCell ref="B472:E472"/>
    <mergeCell ref="B438:E438"/>
    <mergeCell ref="B443:E443"/>
    <mergeCell ref="B444:E444"/>
    <mergeCell ref="B445:E445"/>
    <mergeCell ref="B446:E446"/>
    <mergeCell ref="B451:E451"/>
    <mergeCell ref="B486:E486"/>
    <mergeCell ref="B491:E491"/>
    <mergeCell ref="B492:E492"/>
    <mergeCell ref="B493:E493"/>
    <mergeCell ref="B494:E494"/>
    <mergeCell ref="B495:E495"/>
    <mergeCell ref="B476:E476"/>
    <mergeCell ref="B477:E477"/>
    <mergeCell ref="B478:E478"/>
    <mergeCell ref="B483:E483"/>
    <mergeCell ref="B484:E484"/>
    <mergeCell ref="B485:E485"/>
  </mergeCells>
  <conditionalFormatting sqref="B19:L20 B59:L72 B131:L144 B179:G180">
    <cfRule type="expression" dxfId="71" priority="73" stopIfTrue="1">
      <formula>$B$7="gas"</formula>
    </cfRule>
  </conditionalFormatting>
  <conditionalFormatting sqref="B21:L21 B73:L79 B145:L151 B181:G181">
    <cfRule type="expression" dxfId="70" priority="72" stopIfTrue="1">
      <formula>$B$7="elektriciteit"</formula>
    </cfRule>
  </conditionalFormatting>
  <conditionalFormatting sqref="N19:N20 N59:N72 N131:N144">
    <cfRule type="expression" dxfId="69" priority="68" stopIfTrue="1">
      <formula>$B$7="gas"</formula>
    </cfRule>
  </conditionalFormatting>
  <conditionalFormatting sqref="N21 N73:N79 N145:N151">
    <cfRule type="expression" dxfId="68" priority="67" stopIfTrue="1">
      <formula>$B$7="elektriciteit"</formula>
    </cfRule>
  </conditionalFormatting>
  <conditionalFormatting sqref="B347:N424">
    <cfRule type="expression" dxfId="67" priority="4" stopIfTrue="1">
      <formula>$B$7="gas"</formula>
    </cfRule>
  </conditionalFormatting>
  <conditionalFormatting sqref="B427:N464">
    <cfRule type="expression" dxfId="66" priority="3" stopIfTrue="1">
      <formula>$B$7="elektriciteit"</formula>
    </cfRule>
  </conditionalFormatting>
  <pageMargins left="0.70866141732283472" right="0.70866141732283472" top="0.74803149606299213" bottom="0.74803149606299213" header="0.31496062992125984" footer="0.31496062992125984"/>
  <pageSetup paperSize="8" scale="27" fitToWidth="2" fitToHeight="2" orientation="portrait" r:id="rId1"/>
  <rowBreaks count="1" manualBreakCount="1">
    <brk id="97" max="13" man="1"/>
  </rowBreaks>
  <ignoredErrors>
    <ignoredError sqref="G104 G96:J96 G167:L167 N15:N22 N34:N37 N91:N96 N162:N167 N39:N44 N46:N51 N53:N58 N60:N65 N67:N72 N74:N79 N81:N86 N32:N33 G93 G94:H94 G95:I95 G153 G146 G139 G132 G118 G111 G125 G110 G131 G117 G124 G138 G145 G152 G158 G105 G106 G107 G108 G109 G112 G113 G114 G115 G116 G123 G130 G137 G144 G151 G119 G120 G121 G122 G126 G127 G128 G129 G133 G134 G135 G136 G140 G141 G142 G143 G147 G148 G149 G150 G154 G155 G156 G157 H157:J157 H156:I156 H155 H150:J150 H149:I149 H148 H143:J143 H142:I142 H141 H136:J136 H135:I135 H134 H129:J129 H128:I128 H127 H122:J122 H121:I121 H120 H151:K151 H144:K144 H137:K137 H130:K130 H123 H116:K116 H115:J115 H114:I114 H113 H109:K109 H108:J108 H107:I107 H106 H158:K158 H152:N152 H145:N145 H138:N138 H124:N124 H117:N117 H131:N131 H110:N110 L109 L116 K136:L136 K129:L129 H125:L125 N125 K122:L122 H111:L111 N111 H118:L118 N118 K143:L143 H132:L132 N132 K150:L150 H139:L139 N139 K157:L157 H146:L146 N146 L158 H153:L153 N153 H105:L105 N104:N105 I106:L106 N106 J107:L107 N107 K108:L108 N108 N109 H112:L112 N112 I113:L113 N113 J114:L114 N114 K115:L115 N115 N116 L123 L130 L137 L144 L151 H119:L119 N119 I120:L120 N120 J121:L121 N121 N122 N123 H126:L126 N126 I127:L127 N127 J128:L128 N128 N129 N130 H133:L133 N133 I134:L134 N134 J135:L135 N135 N136 N137 H140:L140 N140 I141:L141 N141 J142:L142 N142 N143 N144 H147:L147 N147 I148:L148 N148 J149:L149 N149 N150 N151 H154:L154 N154 I155:L155 N155 J156:L156 N156 N157 N158 G162 G163:H163 G164:I164 G165:J165 G166:K166 J123:K12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4"/>
  <sheetViews>
    <sheetView zoomScale="80" zoomScaleNormal="80" zoomScaleSheetLayoutView="80" workbookViewId="0">
      <selection activeCell="A34" sqref="A34:A40"/>
    </sheetView>
  </sheetViews>
  <sheetFormatPr defaultColWidth="11.453125" defaultRowHeight="12.5" x14ac:dyDescent="0.25"/>
  <cols>
    <col min="1" max="1" width="19.7265625" style="187" customWidth="1"/>
    <col min="2" max="2" width="14.81640625" style="187" customWidth="1"/>
    <col min="3" max="6" width="28.26953125" style="187" customWidth="1"/>
    <col min="7" max="7" width="33.81640625" style="187" customWidth="1"/>
    <col min="8" max="8" width="28.26953125" style="187" customWidth="1"/>
    <col min="9" max="9" width="24.26953125" style="187" customWidth="1"/>
    <col min="10" max="10" width="27.81640625" style="187" customWidth="1"/>
    <col min="11" max="11" width="17.81640625" style="187" customWidth="1"/>
    <col min="12" max="12" width="17.7265625" style="187" customWidth="1"/>
    <col min="13" max="13" width="26.7265625" style="187" bestFit="1" customWidth="1"/>
    <col min="14" max="14" width="14" style="187" customWidth="1"/>
    <col min="15" max="15" width="11.453125" style="187"/>
    <col min="16" max="16" width="12.26953125" style="187" bestFit="1" customWidth="1"/>
    <col min="17" max="16384" width="11.453125" style="187"/>
  </cols>
  <sheetData>
    <row r="1" spans="1:29" ht="38.25" customHeight="1" thickBot="1" x14ac:dyDescent="0.45">
      <c r="A1" s="1092" t="s">
        <v>313</v>
      </c>
      <c r="B1" s="1093"/>
      <c r="C1" s="1093"/>
      <c r="D1" s="1093"/>
      <c r="E1" s="1093"/>
      <c r="F1" s="1093"/>
      <c r="G1" s="1093"/>
      <c r="H1" s="1093"/>
      <c r="I1" s="1093"/>
      <c r="J1" s="1094"/>
      <c r="K1" s="46"/>
      <c r="L1" s="46"/>
      <c r="M1" s="46"/>
    </row>
    <row r="2" spans="1:29" x14ac:dyDescent="0.25">
      <c r="A2" s="233"/>
      <c r="B2" s="233"/>
      <c r="C2" s="233"/>
      <c r="D2" s="233"/>
      <c r="E2" s="233"/>
      <c r="F2" s="233"/>
      <c r="G2" s="233"/>
      <c r="H2" s="233"/>
      <c r="I2" s="233"/>
      <c r="J2" s="233"/>
      <c r="K2" s="188"/>
      <c r="L2" s="188"/>
      <c r="M2" s="188"/>
    </row>
    <row r="3" spans="1:29" ht="13" thickBot="1" x14ac:dyDescent="0.3">
      <c r="A3" s="233"/>
      <c r="B3" s="233"/>
      <c r="C3" s="233"/>
      <c r="D3" s="233"/>
      <c r="E3" s="233"/>
      <c r="F3" s="233"/>
      <c r="G3" s="233"/>
      <c r="H3" s="233"/>
      <c r="I3" s="233"/>
      <c r="J3" s="233"/>
      <c r="K3" s="188"/>
      <c r="L3" s="188"/>
      <c r="M3" s="188"/>
    </row>
    <row r="4" spans="1:29" s="190" customFormat="1" ht="16" thickBot="1" x14ac:dyDescent="0.4">
      <c r="A4" s="1095" t="s">
        <v>192</v>
      </c>
      <c r="B4" s="1096"/>
      <c r="C4" s="1096"/>
      <c r="D4" s="1096"/>
      <c r="E4" s="1096"/>
      <c r="F4" s="1096"/>
      <c r="G4" s="1096"/>
      <c r="H4" s="1096"/>
      <c r="I4" s="1096"/>
      <c r="J4" s="1097"/>
      <c r="K4" s="189"/>
      <c r="L4" s="487"/>
      <c r="M4" s="488" t="str">
        <f>+TITELBLAD!B18</f>
        <v>Rapportering over boekjaar:</v>
      </c>
      <c r="N4" s="488">
        <f>+TITELBLAD!E18</f>
        <v>2019</v>
      </c>
      <c r="O4" s="488" t="str">
        <f>+TITELBLAD!F18</f>
        <v>ex-ante</v>
      </c>
      <c r="P4" s="187"/>
      <c r="Q4" s="187"/>
      <c r="R4" s="187"/>
      <c r="S4" s="187"/>
      <c r="T4" s="187"/>
      <c r="U4" s="187"/>
      <c r="V4" s="187"/>
      <c r="W4" s="187"/>
      <c r="X4" s="187"/>
      <c r="Y4" s="187"/>
      <c r="Z4" s="187"/>
      <c r="AA4" s="187"/>
      <c r="AB4" s="187"/>
      <c r="AC4" s="187"/>
    </row>
    <row r="5" spans="1:29" ht="13" thickBot="1" x14ac:dyDescent="0.3">
      <c r="L5" s="488"/>
      <c r="M5" s="488"/>
      <c r="N5" s="488"/>
      <c r="O5" s="488"/>
    </row>
    <row r="6" spans="1:29" ht="17" thickBot="1" x14ac:dyDescent="0.4">
      <c r="C6" s="1054" t="str">
        <f>+TITELBLAD!C7</f>
        <v>Naam distributienetbeheerder</v>
      </c>
      <c r="D6" s="1055"/>
      <c r="E6" s="1055"/>
      <c r="F6" s="1055"/>
      <c r="G6" s="1055"/>
      <c r="H6" s="1056"/>
      <c r="L6" s="488"/>
      <c r="M6" s="488"/>
      <c r="N6" s="488"/>
      <c r="O6" s="488"/>
    </row>
    <row r="7" spans="1:29" ht="17" thickBot="1" x14ac:dyDescent="0.4">
      <c r="C7" s="1054" t="str">
        <f>+TITELBLAD!C12</f>
        <v>elektriciteit</v>
      </c>
      <c r="D7" s="1055"/>
      <c r="E7" s="1055"/>
      <c r="F7" s="1055"/>
      <c r="G7" s="1055"/>
      <c r="H7" s="1056"/>
      <c r="L7" s="488"/>
      <c r="M7" s="488"/>
      <c r="N7" s="488"/>
      <c r="O7" s="488"/>
    </row>
    <row r="8" spans="1:29" s="190" customFormat="1" ht="17" thickBot="1" x14ac:dyDescent="0.4">
      <c r="A8" s="187"/>
      <c r="B8" s="187"/>
      <c r="C8" s="1043" t="s">
        <v>43</v>
      </c>
      <c r="D8" s="1044"/>
      <c r="E8" s="1044"/>
      <c r="F8" s="1044"/>
      <c r="G8" s="1044"/>
      <c r="H8" s="1045"/>
      <c r="I8" s="187"/>
      <c r="J8" s="187"/>
      <c r="K8" s="187"/>
      <c r="L8" s="187"/>
      <c r="M8" s="187"/>
      <c r="N8" s="187"/>
      <c r="O8" s="187"/>
      <c r="P8" s="187"/>
      <c r="Q8" s="187"/>
      <c r="R8" s="187"/>
      <c r="S8" s="187"/>
      <c r="T8" s="187"/>
      <c r="U8" s="187"/>
      <c r="V8" s="187"/>
      <c r="W8" s="187"/>
      <c r="X8" s="187"/>
      <c r="Y8" s="187"/>
      <c r="Z8" s="187"/>
      <c r="AA8" s="187"/>
      <c r="AB8" s="187"/>
      <c r="AC8" s="187"/>
    </row>
    <row r="9" spans="1:29" s="190" customFormat="1" ht="13.5" thickBot="1" x14ac:dyDescent="0.35">
      <c r="A9" s="187"/>
      <c r="B9" s="187"/>
      <c r="C9" s="672">
        <v>2015</v>
      </c>
      <c r="D9" s="673">
        <v>2016</v>
      </c>
      <c r="E9" s="673">
        <v>2017</v>
      </c>
      <c r="F9" s="673">
        <v>2018</v>
      </c>
      <c r="G9" s="673">
        <v>2019</v>
      </c>
      <c r="H9" s="670">
        <v>2020</v>
      </c>
      <c r="I9" s="187"/>
      <c r="J9" s="187"/>
      <c r="K9" s="187"/>
      <c r="L9" s="187"/>
      <c r="M9" s="187"/>
      <c r="N9" s="187"/>
      <c r="O9" s="187"/>
      <c r="P9" s="187"/>
      <c r="Q9" s="187"/>
      <c r="R9" s="187"/>
      <c r="S9" s="187"/>
      <c r="T9" s="187"/>
      <c r="U9" s="187"/>
      <c r="V9" s="187"/>
      <c r="W9" s="187"/>
      <c r="X9" s="187"/>
      <c r="Y9" s="187"/>
      <c r="Z9" s="187"/>
      <c r="AA9" s="187"/>
      <c r="AB9" s="187"/>
      <c r="AC9" s="187"/>
    </row>
    <row r="10" spans="1:29" s="190" customFormat="1" x14ac:dyDescent="0.25">
      <c r="A10" s="187"/>
      <c r="B10" s="187"/>
      <c r="C10" s="467">
        <v>0</v>
      </c>
      <c r="D10" s="671">
        <v>0</v>
      </c>
      <c r="E10" s="671">
        <v>0</v>
      </c>
      <c r="F10" s="671">
        <v>0</v>
      </c>
      <c r="G10" s="671">
        <v>0</v>
      </c>
      <c r="H10" s="671">
        <v>0</v>
      </c>
      <c r="I10" s="187"/>
      <c r="J10" s="187"/>
      <c r="K10" s="187"/>
      <c r="L10" s="187"/>
      <c r="M10" s="187"/>
      <c r="N10" s="187"/>
      <c r="O10" s="187"/>
      <c r="P10" s="187"/>
      <c r="Q10" s="187"/>
      <c r="R10" s="187"/>
      <c r="S10" s="187"/>
      <c r="T10" s="187"/>
      <c r="U10" s="187"/>
      <c r="V10" s="187"/>
      <c r="W10" s="187"/>
      <c r="X10" s="187"/>
      <c r="Y10" s="187"/>
      <c r="Z10" s="187"/>
      <c r="AA10" s="187"/>
      <c r="AB10" s="187"/>
      <c r="AC10" s="187"/>
    </row>
    <row r="11" spans="1:29" s="193" customFormat="1" ht="13" x14ac:dyDescent="0.3">
      <c r="C11" s="194" t="s">
        <v>67</v>
      </c>
      <c r="F11" s="195"/>
      <c r="G11" s="195"/>
      <c r="H11" s="195"/>
    </row>
    <row r="12" spans="1:29" s="193" customFormat="1" ht="13" x14ac:dyDescent="0.3">
      <c r="C12" s="196" t="s">
        <v>344</v>
      </c>
    </row>
    <row r="13" spans="1:29" s="193" customFormat="1" ht="13" x14ac:dyDescent="0.3">
      <c r="C13" s="196"/>
    </row>
    <row r="14" spans="1:29" ht="13.5" thickBot="1" x14ac:dyDescent="0.35">
      <c r="C14" s="197"/>
    </row>
    <row r="15" spans="1:29" ht="21.75" customHeight="1" thickBot="1" x14ac:dyDescent="0.35">
      <c r="A15" s="1046" t="s">
        <v>29</v>
      </c>
      <c r="B15" s="1047"/>
      <c r="C15" s="1047"/>
      <c r="D15" s="1047"/>
      <c r="E15" s="1047"/>
      <c r="F15" s="1047"/>
      <c r="G15" s="1047"/>
      <c r="H15" s="1047"/>
      <c r="I15" s="1047"/>
      <c r="J15" s="1048"/>
      <c r="K15" s="1049"/>
      <c r="L15" s="1050"/>
    </row>
    <row r="17" spans="1:29" ht="13" x14ac:dyDescent="0.3">
      <c r="C17" s="194" t="s">
        <v>67</v>
      </c>
    </row>
    <row r="18" spans="1:29" ht="13" x14ac:dyDescent="0.3">
      <c r="C18" s="196" t="s">
        <v>344</v>
      </c>
    </row>
    <row r="19" spans="1:29" ht="16.5" x14ac:dyDescent="0.35">
      <c r="C19" s="1023" t="s">
        <v>30</v>
      </c>
      <c r="D19" s="1024"/>
      <c r="E19" s="1024"/>
      <c r="F19" s="1024"/>
      <c r="G19" s="1024"/>
      <c r="H19" s="1025"/>
      <c r="J19" s="200" t="s">
        <v>31</v>
      </c>
    </row>
    <row r="20" spans="1:29" ht="13.5" thickBot="1" x14ac:dyDescent="0.35">
      <c r="A20" s="1035"/>
      <c r="B20" s="1035"/>
      <c r="C20" s="201">
        <f t="shared" ref="C20:H20" si="0">C9</f>
        <v>2015</v>
      </c>
      <c r="D20" s="202">
        <f t="shared" si="0"/>
        <v>2016</v>
      </c>
      <c r="E20" s="202">
        <f t="shared" si="0"/>
        <v>2017</v>
      </c>
      <c r="F20" s="202">
        <f t="shared" si="0"/>
        <v>2018</v>
      </c>
      <c r="G20" s="202">
        <f t="shared" si="0"/>
        <v>2019</v>
      </c>
      <c r="H20" s="202">
        <f t="shared" si="0"/>
        <v>2020</v>
      </c>
      <c r="J20" s="203"/>
    </row>
    <row r="21" spans="1:29" s="190" customFormat="1" ht="12.75" customHeight="1" thickBot="1" x14ac:dyDescent="0.3">
      <c r="A21" s="1032" t="s">
        <v>32</v>
      </c>
      <c r="B21" s="204">
        <f>C9</f>
        <v>2015</v>
      </c>
      <c r="C21" s="669">
        <v>0</v>
      </c>
      <c r="D21" s="205"/>
      <c r="E21" s="205"/>
      <c r="F21" s="205"/>
      <c r="G21" s="205"/>
      <c r="H21" s="206"/>
      <c r="I21" s="207"/>
      <c r="J21" s="208">
        <f t="shared" ref="J21:J26" si="1">SUM(C21:H21)</f>
        <v>0</v>
      </c>
      <c r="K21" s="187"/>
      <c r="L21" s="187"/>
      <c r="M21" s="187"/>
      <c r="N21" s="187"/>
      <c r="O21" s="187"/>
      <c r="P21" s="187"/>
      <c r="Q21" s="187"/>
      <c r="R21" s="187"/>
      <c r="S21" s="187"/>
      <c r="T21" s="187"/>
      <c r="U21" s="187"/>
      <c r="V21" s="187"/>
      <c r="W21" s="187"/>
      <c r="X21" s="187"/>
      <c r="Y21" s="187"/>
      <c r="Z21" s="187"/>
      <c r="AA21" s="187"/>
      <c r="AB21" s="187"/>
      <c r="AC21" s="187"/>
    </row>
    <row r="22" spans="1:29" s="190" customFormat="1" ht="13.5" customHeight="1" thickBot="1" x14ac:dyDescent="0.3">
      <c r="A22" s="1033"/>
      <c r="B22" s="209">
        <f>D9</f>
        <v>2016</v>
      </c>
      <c r="C22" s="470">
        <f>C10-C21</f>
        <v>0</v>
      </c>
      <c r="D22" s="669">
        <v>0</v>
      </c>
      <c r="E22" s="210"/>
      <c r="F22" s="210"/>
      <c r="G22" s="210"/>
      <c r="H22" s="211"/>
      <c r="I22" s="207"/>
      <c r="J22" s="208">
        <f t="shared" si="1"/>
        <v>0</v>
      </c>
      <c r="K22" s="187"/>
      <c r="L22" s="187"/>
      <c r="M22" s="187"/>
      <c r="N22" s="187"/>
      <c r="O22" s="187"/>
      <c r="P22" s="187"/>
      <c r="Q22" s="187"/>
      <c r="R22" s="187"/>
      <c r="S22" s="187"/>
      <c r="T22" s="187"/>
      <c r="U22" s="187"/>
      <c r="V22" s="187"/>
      <c r="W22" s="187"/>
      <c r="X22" s="187"/>
      <c r="Y22" s="187"/>
      <c r="Z22" s="187"/>
      <c r="AA22" s="187"/>
      <c r="AB22" s="187"/>
      <c r="AC22" s="187"/>
    </row>
    <row r="23" spans="1:29" s="190" customFormat="1" ht="13.5" customHeight="1" thickBot="1" x14ac:dyDescent="0.3">
      <c r="A23" s="1033"/>
      <c r="B23" s="209">
        <f>E9</f>
        <v>2017</v>
      </c>
      <c r="C23" s="210"/>
      <c r="D23" s="470">
        <f>D10-D22</f>
        <v>0</v>
      </c>
      <c r="E23" s="669">
        <v>0</v>
      </c>
      <c r="F23" s="210"/>
      <c r="G23" s="210"/>
      <c r="H23" s="211"/>
      <c r="I23" s="207"/>
      <c r="J23" s="208">
        <f t="shared" si="1"/>
        <v>0</v>
      </c>
      <c r="K23" s="187"/>
      <c r="L23" s="187"/>
      <c r="M23" s="187"/>
      <c r="N23" s="187"/>
      <c r="O23" s="187"/>
      <c r="P23" s="187"/>
      <c r="Q23" s="187"/>
      <c r="R23" s="187"/>
      <c r="S23" s="187"/>
      <c r="T23" s="187"/>
      <c r="U23" s="187"/>
      <c r="V23" s="187"/>
      <c r="W23" s="187"/>
      <c r="X23" s="187"/>
      <c r="Y23" s="187"/>
      <c r="Z23" s="187"/>
      <c r="AA23" s="187"/>
      <c r="AB23" s="187"/>
      <c r="AC23" s="187"/>
    </row>
    <row r="24" spans="1:29" s="190" customFormat="1" ht="13.5" customHeight="1" thickBot="1" x14ac:dyDescent="0.3">
      <c r="A24" s="1033"/>
      <c r="B24" s="209">
        <f>F9</f>
        <v>2018</v>
      </c>
      <c r="C24" s="210"/>
      <c r="D24" s="210"/>
      <c r="E24" s="470">
        <f>E10-E23</f>
        <v>0</v>
      </c>
      <c r="F24" s="669">
        <v>0</v>
      </c>
      <c r="G24" s="210"/>
      <c r="H24" s="211"/>
      <c r="I24" s="207"/>
      <c r="J24" s="208">
        <f t="shared" si="1"/>
        <v>0</v>
      </c>
      <c r="K24" s="187"/>
      <c r="L24" s="187"/>
      <c r="M24" s="187"/>
      <c r="N24" s="187"/>
      <c r="O24" s="187"/>
      <c r="P24" s="187"/>
      <c r="Q24" s="187"/>
      <c r="R24" s="187"/>
      <c r="S24" s="187"/>
      <c r="T24" s="187"/>
      <c r="U24" s="187"/>
      <c r="V24" s="187"/>
      <c r="W24" s="187"/>
      <c r="X24" s="187"/>
      <c r="Y24" s="187"/>
      <c r="Z24" s="187"/>
      <c r="AA24" s="187"/>
      <c r="AB24" s="187"/>
      <c r="AC24" s="187"/>
    </row>
    <row r="25" spans="1:29" s="190" customFormat="1" ht="13.5" customHeight="1" thickBot="1" x14ac:dyDescent="0.3">
      <c r="A25" s="1033"/>
      <c r="B25" s="209">
        <f>G9</f>
        <v>2019</v>
      </c>
      <c r="C25" s="210"/>
      <c r="D25" s="210"/>
      <c r="E25" s="210"/>
      <c r="F25" s="470">
        <f>F10-F24</f>
        <v>0</v>
      </c>
      <c r="G25" s="669">
        <v>0</v>
      </c>
      <c r="H25" s="211"/>
      <c r="I25" s="207"/>
      <c r="J25" s="208">
        <f t="shared" si="1"/>
        <v>0</v>
      </c>
      <c r="K25" s="187"/>
      <c r="L25" s="187"/>
      <c r="M25" s="187"/>
      <c r="N25" s="187"/>
      <c r="O25" s="187"/>
      <c r="P25" s="187"/>
      <c r="Q25" s="187"/>
      <c r="R25" s="187"/>
      <c r="S25" s="187"/>
      <c r="T25" s="187"/>
      <c r="U25" s="187"/>
      <c r="V25" s="187"/>
      <c r="W25" s="187"/>
      <c r="X25" s="187"/>
      <c r="Y25" s="187"/>
      <c r="Z25" s="187"/>
      <c r="AA25" s="187"/>
      <c r="AB25" s="187"/>
      <c r="AC25" s="187"/>
    </row>
    <row r="26" spans="1:29" s="190" customFormat="1" ht="13.5" customHeight="1" thickBot="1" x14ac:dyDescent="0.3">
      <c r="A26" s="1033"/>
      <c r="B26" s="209">
        <f>H9</f>
        <v>2020</v>
      </c>
      <c r="C26" s="210"/>
      <c r="D26" s="210"/>
      <c r="E26" s="210"/>
      <c r="F26" s="210"/>
      <c r="G26" s="470">
        <f>G10-G25</f>
        <v>0</v>
      </c>
      <c r="H26" s="669">
        <v>0</v>
      </c>
      <c r="I26" s="207"/>
      <c r="J26" s="208">
        <f t="shared" si="1"/>
        <v>0</v>
      </c>
      <c r="K26" s="187"/>
      <c r="L26" s="187"/>
      <c r="M26" s="187"/>
      <c r="N26" s="187"/>
      <c r="O26" s="187"/>
      <c r="P26" s="187"/>
      <c r="Q26" s="187"/>
      <c r="R26" s="187"/>
      <c r="S26" s="187"/>
      <c r="T26" s="187"/>
      <c r="U26" s="187"/>
      <c r="V26" s="187"/>
      <c r="W26" s="187"/>
      <c r="X26" s="187"/>
      <c r="Y26" s="187"/>
      <c r="Z26" s="187"/>
      <c r="AA26" s="187"/>
      <c r="AB26" s="187"/>
      <c r="AC26" s="187"/>
    </row>
    <row r="27" spans="1:29" s="199" customFormat="1" ht="15.5" x14ac:dyDescent="0.35">
      <c r="A27" s="1036"/>
      <c r="B27" s="212" t="s">
        <v>33</v>
      </c>
      <c r="C27" s="213">
        <f t="shared" ref="C27:H27" si="2">SUM(C21:C26)</f>
        <v>0</v>
      </c>
      <c r="D27" s="213">
        <f t="shared" si="2"/>
        <v>0</v>
      </c>
      <c r="E27" s="213">
        <f t="shared" si="2"/>
        <v>0</v>
      </c>
      <c r="F27" s="213">
        <f t="shared" si="2"/>
        <v>0</v>
      </c>
      <c r="G27" s="213">
        <f t="shared" si="2"/>
        <v>0</v>
      </c>
      <c r="H27" s="214">
        <f t="shared" si="2"/>
        <v>0</v>
      </c>
      <c r="I27" s="215"/>
      <c r="J27" s="216">
        <f>SUM(J21:J26)</f>
        <v>0</v>
      </c>
      <c r="K27" s="198"/>
      <c r="L27" s="198"/>
      <c r="M27" s="198"/>
      <c r="N27" s="198"/>
      <c r="O27" s="198"/>
      <c r="P27" s="198"/>
      <c r="Q27" s="198"/>
      <c r="R27" s="198"/>
      <c r="S27" s="198"/>
      <c r="T27" s="198"/>
      <c r="U27" s="198"/>
      <c r="V27" s="198"/>
      <c r="W27" s="198"/>
      <c r="X27" s="198"/>
      <c r="Y27" s="198"/>
      <c r="Z27" s="198"/>
      <c r="AA27" s="198"/>
      <c r="AB27" s="198"/>
      <c r="AC27" s="198"/>
    </row>
    <row r="28" spans="1:29" s="196" customFormat="1" ht="15.75" customHeight="1" x14ac:dyDescent="0.3">
      <c r="A28" s="217" t="s">
        <v>58</v>
      </c>
      <c r="C28" s="218">
        <f t="shared" ref="C28:H28" si="3">+C27+C40</f>
        <v>0</v>
      </c>
      <c r="D28" s="218">
        <f t="shared" si="3"/>
        <v>0</v>
      </c>
      <c r="E28" s="218">
        <f t="shared" si="3"/>
        <v>0</v>
      </c>
      <c r="F28" s="218">
        <f t="shared" si="3"/>
        <v>0</v>
      </c>
      <c r="G28" s="218">
        <f t="shared" si="3"/>
        <v>0</v>
      </c>
      <c r="H28" s="218">
        <f t="shared" si="3"/>
        <v>0</v>
      </c>
      <c r="I28" s="218"/>
      <c r="J28" s="218">
        <f>+J27+J40</f>
        <v>0</v>
      </c>
      <c r="K28" s="218"/>
    </row>
    <row r="29" spans="1:29" s="219" customFormat="1" ht="13" x14ac:dyDescent="0.3">
      <c r="A29" s="196"/>
      <c r="B29" s="196"/>
      <c r="C29" s="218"/>
      <c r="D29" s="218"/>
      <c r="E29" s="218"/>
      <c r="F29" s="218"/>
      <c r="G29" s="218"/>
      <c r="H29" s="218"/>
      <c r="I29" s="196"/>
      <c r="J29" s="196"/>
      <c r="K29" s="196"/>
      <c r="L29" s="196"/>
      <c r="M29" s="196"/>
      <c r="N29" s="196"/>
      <c r="O29" s="196"/>
      <c r="P29" s="196"/>
      <c r="Q29" s="196"/>
      <c r="R29" s="196"/>
      <c r="S29" s="196"/>
      <c r="T29" s="196"/>
      <c r="U29" s="196"/>
      <c r="V29" s="196"/>
      <c r="W29" s="196"/>
      <c r="X29" s="196"/>
      <c r="Y29" s="196"/>
      <c r="Z29" s="196"/>
      <c r="AA29" s="196"/>
      <c r="AB29" s="196"/>
      <c r="AC29" s="196"/>
    </row>
    <row r="30" spans="1:29" s="219" customFormat="1" ht="13" x14ac:dyDescent="0.3">
      <c r="A30" s="196"/>
      <c r="B30" s="196"/>
      <c r="C30" s="194" t="s">
        <v>56</v>
      </c>
      <c r="D30" s="218"/>
      <c r="E30" s="218"/>
      <c r="F30" s="218"/>
      <c r="G30" s="218"/>
      <c r="H30" s="218"/>
      <c r="I30" s="196"/>
      <c r="J30" s="196"/>
      <c r="K30" s="196"/>
      <c r="L30" s="196"/>
      <c r="M30" s="196"/>
      <c r="N30" s="196"/>
      <c r="O30" s="196"/>
      <c r="P30" s="196"/>
      <c r="Q30" s="196"/>
      <c r="R30" s="196"/>
      <c r="S30" s="196"/>
      <c r="T30" s="196"/>
      <c r="U30" s="196"/>
      <c r="V30" s="196"/>
      <c r="W30" s="196"/>
      <c r="X30" s="196"/>
      <c r="Y30" s="196"/>
      <c r="Z30" s="196"/>
      <c r="AA30" s="196"/>
      <c r="AB30" s="196"/>
      <c r="AC30" s="196"/>
    </row>
    <row r="31" spans="1:29" s="219" customFormat="1" ht="13" x14ac:dyDescent="0.3">
      <c r="A31" s="196"/>
      <c r="B31" s="196"/>
      <c r="C31" s="194" t="s">
        <v>57</v>
      </c>
      <c r="D31" s="218"/>
      <c r="E31" s="218"/>
      <c r="F31" s="218"/>
      <c r="G31" s="218"/>
      <c r="H31" s="218"/>
      <c r="I31" s="196"/>
      <c r="J31" s="196"/>
      <c r="K31" s="196"/>
      <c r="L31" s="196"/>
      <c r="M31" s="196"/>
      <c r="N31" s="196"/>
      <c r="O31" s="196"/>
      <c r="P31" s="196"/>
      <c r="Q31" s="196"/>
      <c r="R31" s="196"/>
      <c r="S31" s="196"/>
      <c r="T31" s="196"/>
      <c r="U31" s="196"/>
      <c r="V31" s="196"/>
      <c r="W31" s="196"/>
      <c r="X31" s="196"/>
      <c r="Y31" s="196"/>
      <c r="Z31" s="196"/>
      <c r="AA31" s="196"/>
      <c r="AB31" s="196"/>
      <c r="AC31" s="196"/>
    </row>
    <row r="32" spans="1:29" s="190" customFormat="1" ht="16.5" x14ac:dyDescent="0.35">
      <c r="A32" s="187"/>
      <c r="B32" s="187"/>
      <c r="C32" s="1029" t="s">
        <v>30</v>
      </c>
      <c r="D32" s="1030"/>
      <c r="E32" s="1030"/>
      <c r="F32" s="1030"/>
      <c r="G32" s="1030"/>
      <c r="H32" s="1031"/>
      <c r="I32" s="187"/>
      <c r="J32" s="200" t="s">
        <v>31</v>
      </c>
      <c r="K32" s="187"/>
      <c r="L32" s="200" t="s">
        <v>31</v>
      </c>
      <c r="M32" s="187"/>
      <c r="N32" s="187"/>
      <c r="O32" s="187"/>
      <c r="P32" s="187"/>
      <c r="Q32" s="187"/>
      <c r="R32" s="187"/>
      <c r="S32" s="187"/>
      <c r="T32" s="187"/>
      <c r="U32" s="187"/>
      <c r="V32" s="187"/>
      <c r="W32" s="187"/>
      <c r="X32" s="187"/>
      <c r="Y32" s="187"/>
      <c r="Z32" s="187"/>
      <c r="AA32" s="187"/>
      <c r="AB32" s="187"/>
      <c r="AC32" s="187"/>
    </row>
    <row r="33" spans="1:29" s="190" customFormat="1" x14ac:dyDescent="0.25">
      <c r="A33" s="187"/>
      <c r="B33" s="187"/>
      <c r="C33" s="202">
        <f t="shared" ref="C33:H33" si="4">C20</f>
        <v>2015</v>
      </c>
      <c r="D33" s="202">
        <f t="shared" si="4"/>
        <v>2016</v>
      </c>
      <c r="E33" s="202">
        <f t="shared" si="4"/>
        <v>2017</v>
      </c>
      <c r="F33" s="202">
        <f t="shared" si="4"/>
        <v>2018</v>
      </c>
      <c r="G33" s="202">
        <f t="shared" si="4"/>
        <v>2019</v>
      </c>
      <c r="H33" s="202">
        <f t="shared" si="4"/>
        <v>2020</v>
      </c>
      <c r="I33" s="187"/>
      <c r="J33" s="203" t="s">
        <v>34</v>
      </c>
      <c r="K33" s="187"/>
      <c r="L33" s="203" t="s">
        <v>35</v>
      </c>
      <c r="M33" s="187"/>
      <c r="N33" s="187"/>
      <c r="O33" s="187"/>
      <c r="P33" s="187"/>
      <c r="Q33" s="187"/>
      <c r="R33" s="187"/>
      <c r="S33" s="187"/>
      <c r="T33" s="187"/>
      <c r="U33" s="187"/>
      <c r="V33" s="187"/>
      <c r="W33" s="187"/>
      <c r="X33" s="187"/>
      <c r="Y33" s="187"/>
      <c r="Z33" s="187"/>
      <c r="AA33" s="187"/>
      <c r="AB33" s="187"/>
      <c r="AC33" s="187"/>
    </row>
    <row r="34" spans="1:29" s="190" customFormat="1" ht="13" x14ac:dyDescent="0.3">
      <c r="A34" s="1032" t="s">
        <v>224</v>
      </c>
      <c r="B34" s="668">
        <f t="shared" ref="B34:B39" si="5">B21</f>
        <v>2015</v>
      </c>
      <c r="C34" s="221"/>
      <c r="D34" s="221"/>
      <c r="E34" s="221"/>
      <c r="F34" s="221"/>
      <c r="G34" s="221"/>
      <c r="H34" s="222"/>
      <c r="I34" s="207"/>
      <c r="J34" s="208">
        <f t="shared" ref="J34:J39" si="6">SUM(C34:H34)</f>
        <v>0</v>
      </c>
      <c r="K34" s="207"/>
      <c r="L34" s="223">
        <f t="shared" ref="L34:L39" si="7">SUM(J21,J34)</f>
        <v>0</v>
      </c>
      <c r="M34" s="187"/>
      <c r="N34" s="187"/>
      <c r="O34" s="187"/>
      <c r="P34" s="187"/>
      <c r="Q34" s="187"/>
      <c r="R34" s="187"/>
      <c r="S34" s="187"/>
      <c r="T34" s="187"/>
      <c r="U34" s="187"/>
      <c r="V34" s="187"/>
      <c r="W34" s="187"/>
      <c r="X34" s="187"/>
      <c r="Y34" s="187"/>
      <c r="Z34" s="187"/>
      <c r="AA34" s="187"/>
      <c r="AB34" s="187"/>
      <c r="AC34" s="187"/>
    </row>
    <row r="35" spans="1:29" s="190" customFormat="1" ht="13" x14ac:dyDescent="0.3">
      <c r="A35" s="1033"/>
      <c r="B35" s="220">
        <f t="shared" si="5"/>
        <v>2016</v>
      </c>
      <c r="C35" s="221"/>
      <c r="D35" s="221"/>
      <c r="E35" s="221"/>
      <c r="F35" s="221"/>
      <c r="G35" s="221"/>
      <c r="H35" s="224"/>
      <c r="I35" s="207"/>
      <c r="J35" s="208">
        <f t="shared" si="6"/>
        <v>0</v>
      </c>
      <c r="K35" s="207"/>
      <c r="L35" s="223">
        <f t="shared" si="7"/>
        <v>0</v>
      </c>
      <c r="M35" s="187"/>
      <c r="N35" s="187"/>
      <c r="O35" s="187"/>
      <c r="P35" s="187"/>
      <c r="Q35" s="187"/>
      <c r="R35" s="187"/>
      <c r="S35" s="187"/>
      <c r="T35" s="187"/>
      <c r="U35" s="187"/>
      <c r="V35" s="187"/>
      <c r="W35" s="187"/>
      <c r="X35" s="187"/>
      <c r="Y35" s="187"/>
      <c r="Z35" s="187"/>
      <c r="AA35" s="187"/>
      <c r="AB35" s="187"/>
      <c r="AC35" s="187"/>
    </row>
    <row r="36" spans="1:29" s="190" customFormat="1" ht="13" x14ac:dyDescent="0.3">
      <c r="A36" s="1033" t="s">
        <v>36</v>
      </c>
      <c r="B36" s="220">
        <f t="shared" si="5"/>
        <v>2017</v>
      </c>
      <c r="C36" s="470">
        <f>I62</f>
        <v>0</v>
      </c>
      <c r="D36" s="221"/>
      <c r="E36" s="221"/>
      <c r="F36" s="221"/>
      <c r="G36" s="221"/>
      <c r="H36" s="224"/>
      <c r="I36" s="207"/>
      <c r="J36" s="208">
        <f t="shared" si="6"/>
        <v>0</v>
      </c>
      <c r="K36" s="207"/>
      <c r="L36" s="223">
        <f t="shared" si="7"/>
        <v>0</v>
      </c>
      <c r="M36" s="187"/>
      <c r="N36" s="187"/>
      <c r="O36" s="187"/>
      <c r="P36" s="187"/>
      <c r="Q36" s="187"/>
      <c r="R36" s="187"/>
      <c r="S36" s="187"/>
      <c r="T36" s="187"/>
      <c r="U36" s="187"/>
      <c r="V36" s="187"/>
      <c r="W36" s="187"/>
      <c r="X36" s="187"/>
      <c r="Y36" s="187"/>
      <c r="Z36" s="187"/>
      <c r="AA36" s="187"/>
      <c r="AB36" s="187"/>
      <c r="AC36" s="187"/>
    </row>
    <row r="37" spans="1:29" s="190" customFormat="1" ht="13" x14ac:dyDescent="0.3">
      <c r="A37" s="1033"/>
      <c r="B37" s="220">
        <f t="shared" si="5"/>
        <v>2018</v>
      </c>
      <c r="C37" s="470">
        <f>K67</f>
        <v>0</v>
      </c>
      <c r="D37" s="470">
        <f>K68</f>
        <v>0</v>
      </c>
      <c r="E37" s="221"/>
      <c r="F37" s="221"/>
      <c r="G37" s="221"/>
      <c r="H37" s="224"/>
      <c r="I37" s="207"/>
      <c r="J37" s="208">
        <f t="shared" si="6"/>
        <v>0</v>
      </c>
      <c r="K37" s="207"/>
      <c r="L37" s="223">
        <f t="shared" si="7"/>
        <v>0</v>
      </c>
      <c r="M37" s="197" t="s">
        <v>38</v>
      </c>
      <c r="N37" s="187"/>
      <c r="O37" s="187"/>
      <c r="P37" s="187"/>
      <c r="Q37" s="187"/>
      <c r="R37" s="187"/>
      <c r="S37" s="187"/>
      <c r="T37" s="187"/>
      <c r="U37" s="187"/>
      <c r="V37" s="187"/>
      <c r="W37" s="187"/>
      <c r="X37" s="187"/>
      <c r="Y37" s="187"/>
      <c r="Z37" s="187"/>
      <c r="AA37" s="187"/>
      <c r="AB37" s="187"/>
      <c r="AC37" s="187"/>
    </row>
    <row r="38" spans="1:29" s="190" customFormat="1" ht="13" x14ac:dyDescent="0.3">
      <c r="A38" s="1033" t="s">
        <v>37</v>
      </c>
      <c r="B38" s="220">
        <f t="shared" si="5"/>
        <v>2019</v>
      </c>
      <c r="C38" s="470">
        <f>K74</f>
        <v>0</v>
      </c>
      <c r="D38" s="470">
        <f>K75</f>
        <v>0</v>
      </c>
      <c r="E38" s="470">
        <f>K76</f>
        <v>0</v>
      </c>
      <c r="F38" s="221"/>
      <c r="G38" s="221"/>
      <c r="H38" s="224"/>
      <c r="I38" s="207"/>
      <c r="J38" s="208">
        <f t="shared" si="6"/>
        <v>0</v>
      </c>
      <c r="K38" s="207"/>
      <c r="L38" s="223">
        <f t="shared" si="7"/>
        <v>0</v>
      </c>
      <c r="M38" s="197" t="s">
        <v>39</v>
      </c>
      <c r="N38" s="187"/>
      <c r="O38" s="187"/>
      <c r="P38" s="187"/>
      <c r="Q38" s="187"/>
      <c r="R38" s="187"/>
      <c r="S38" s="187"/>
      <c r="T38" s="187"/>
      <c r="U38" s="187"/>
      <c r="V38" s="187"/>
      <c r="W38" s="187"/>
      <c r="X38" s="187"/>
      <c r="Y38" s="187"/>
      <c r="Z38" s="187"/>
      <c r="AA38" s="187"/>
      <c r="AB38" s="187"/>
      <c r="AC38" s="187"/>
    </row>
    <row r="39" spans="1:29" s="190" customFormat="1" ht="13" x14ac:dyDescent="0.3">
      <c r="A39" s="1033"/>
      <c r="B39" s="220">
        <f t="shared" si="5"/>
        <v>2020</v>
      </c>
      <c r="C39" s="470">
        <f>K82</f>
        <v>0</v>
      </c>
      <c r="D39" s="470">
        <f>K83</f>
        <v>0</v>
      </c>
      <c r="E39" s="470">
        <f>K84</f>
        <v>0</v>
      </c>
      <c r="F39" s="470">
        <f>K85</f>
        <v>0</v>
      </c>
      <c r="G39" s="221"/>
      <c r="H39" s="224"/>
      <c r="I39" s="207"/>
      <c r="J39" s="208">
        <f t="shared" si="6"/>
        <v>0</v>
      </c>
      <c r="K39" s="207"/>
      <c r="L39" s="223">
        <f t="shared" si="7"/>
        <v>0</v>
      </c>
      <c r="M39" s="197"/>
      <c r="N39" s="187"/>
      <c r="O39" s="187"/>
      <c r="P39" s="187"/>
      <c r="Q39" s="187"/>
      <c r="R39" s="187"/>
      <c r="S39" s="187"/>
      <c r="T39" s="187"/>
      <c r="U39" s="187"/>
      <c r="V39" s="187"/>
      <c r="W39" s="187"/>
      <c r="X39" s="187"/>
      <c r="Y39" s="187"/>
      <c r="Z39" s="187"/>
      <c r="AA39" s="187"/>
      <c r="AB39" s="187"/>
      <c r="AC39" s="187"/>
    </row>
    <row r="40" spans="1:29" s="199" customFormat="1" ht="15.5" x14ac:dyDescent="0.35">
      <c r="A40" s="1034"/>
      <c r="B40" s="212" t="s">
        <v>33</v>
      </c>
      <c r="C40" s="225">
        <f t="shared" ref="C40:H40" si="8">SUM(C34:C39)</f>
        <v>0</v>
      </c>
      <c r="D40" s="225">
        <f t="shared" si="8"/>
        <v>0</v>
      </c>
      <c r="E40" s="225">
        <f t="shared" si="8"/>
        <v>0</v>
      </c>
      <c r="F40" s="225">
        <f>SUM(F34:F39)</f>
        <v>0</v>
      </c>
      <c r="G40" s="225">
        <f t="shared" si="8"/>
        <v>0</v>
      </c>
      <c r="H40" s="225">
        <f t="shared" si="8"/>
        <v>0</v>
      </c>
      <c r="I40" s="207"/>
      <c r="J40" s="216">
        <f>SUM(J34:J39)</f>
        <v>0</v>
      </c>
      <c r="K40" s="215"/>
      <c r="L40" s="216">
        <f>SUM(L34:L39)</f>
        <v>0</v>
      </c>
      <c r="M40" s="198"/>
      <c r="N40" s="198"/>
      <c r="O40" s="198"/>
      <c r="P40" s="198"/>
      <c r="Q40" s="198"/>
      <c r="R40" s="198"/>
      <c r="S40" s="198"/>
      <c r="T40" s="198"/>
      <c r="U40" s="198"/>
      <c r="V40" s="198"/>
      <c r="W40" s="198"/>
      <c r="X40" s="198"/>
      <c r="Y40" s="198"/>
      <c r="Z40" s="198"/>
      <c r="AA40" s="198"/>
      <c r="AB40" s="198"/>
      <c r="AC40" s="198"/>
    </row>
    <row r="41" spans="1:29" x14ac:dyDescent="0.25">
      <c r="I41" s="207"/>
    </row>
    <row r="42" spans="1:29" ht="13" thickBot="1" x14ac:dyDescent="0.3"/>
    <row r="43" spans="1:29" s="190" customFormat="1" ht="22.5" customHeight="1" thickBot="1" x14ac:dyDescent="0.3">
      <c r="A43" s="1037" t="s">
        <v>368</v>
      </c>
      <c r="B43" s="1038"/>
      <c r="C43" s="1038"/>
      <c r="D43" s="1038"/>
      <c r="E43" s="1038"/>
      <c r="F43" s="1038"/>
      <c r="G43" s="1038"/>
      <c r="H43" s="1038"/>
      <c r="I43" s="1038"/>
      <c r="J43" s="1039"/>
      <c r="L43" s="187"/>
      <c r="M43" s="187"/>
      <c r="N43" s="187"/>
      <c r="O43" s="187"/>
      <c r="P43" s="187"/>
      <c r="Q43" s="187"/>
      <c r="R43" s="187"/>
      <c r="S43" s="187"/>
      <c r="T43" s="187"/>
      <c r="U43" s="187"/>
      <c r="V43" s="187"/>
      <c r="W43" s="187"/>
      <c r="X43" s="187"/>
      <c r="Y43" s="187"/>
      <c r="Z43" s="187"/>
      <c r="AA43" s="187"/>
      <c r="AB43" s="187"/>
      <c r="AC43" s="187"/>
    </row>
    <row r="45" spans="1:29" ht="13" x14ac:dyDescent="0.3">
      <c r="C45" s="194" t="s">
        <v>342</v>
      </c>
    </row>
    <row r="46" spans="1:29" ht="13" x14ac:dyDescent="0.3">
      <c r="C46" s="194" t="s">
        <v>42</v>
      </c>
    </row>
    <row r="47" spans="1:29" ht="16.5" x14ac:dyDescent="0.35">
      <c r="C47" s="1023" t="s">
        <v>41</v>
      </c>
      <c r="D47" s="1024"/>
      <c r="E47" s="1024"/>
      <c r="F47" s="1024"/>
      <c r="G47" s="1024"/>
      <c r="H47" s="1025"/>
    </row>
    <row r="48" spans="1:29" x14ac:dyDescent="0.25">
      <c r="C48" s="202">
        <f t="shared" ref="C48:H48" si="9">C33</f>
        <v>2015</v>
      </c>
      <c r="D48" s="202">
        <f t="shared" si="9"/>
        <v>2016</v>
      </c>
      <c r="E48" s="202">
        <f t="shared" si="9"/>
        <v>2017</v>
      </c>
      <c r="F48" s="202">
        <f t="shared" si="9"/>
        <v>2018</v>
      </c>
      <c r="G48" s="202">
        <f t="shared" si="9"/>
        <v>2019</v>
      </c>
      <c r="H48" s="202">
        <f t="shared" si="9"/>
        <v>2020</v>
      </c>
      <c r="J48" s="226" t="s">
        <v>31</v>
      </c>
    </row>
    <row r="49" spans="1:29" x14ac:dyDescent="0.25">
      <c r="A49" s="1026" t="s">
        <v>295</v>
      </c>
      <c r="B49" s="674">
        <f t="shared" ref="B49:B54" si="10">B34</f>
        <v>2015</v>
      </c>
      <c r="C49" s="470">
        <f>+C21</f>
        <v>0</v>
      </c>
      <c r="D49" s="227"/>
      <c r="E49" s="221"/>
      <c r="F49" s="221"/>
      <c r="G49" s="221"/>
      <c r="H49" s="222"/>
      <c r="J49" s="228">
        <f t="shared" ref="J49:J54" si="11">SUM(C49:H49)</f>
        <v>0</v>
      </c>
    </row>
    <row r="50" spans="1:29" x14ac:dyDescent="0.25">
      <c r="A50" s="1027"/>
      <c r="B50" s="202">
        <f t="shared" si="10"/>
        <v>2016</v>
      </c>
      <c r="C50" s="470">
        <f>+C49+C35+C22</f>
        <v>0</v>
      </c>
      <c r="D50" s="470">
        <f>+D22</f>
        <v>0</v>
      </c>
      <c r="E50" s="229"/>
      <c r="F50" s="229"/>
      <c r="G50" s="229"/>
      <c r="H50" s="230"/>
      <c r="J50" s="228">
        <f t="shared" si="11"/>
        <v>0</v>
      </c>
    </row>
    <row r="51" spans="1:29" x14ac:dyDescent="0.25">
      <c r="A51" s="1027"/>
      <c r="B51" s="202">
        <f t="shared" si="10"/>
        <v>2017</v>
      </c>
      <c r="C51" s="470">
        <f>+C50+C36+C23</f>
        <v>0</v>
      </c>
      <c r="D51" s="470">
        <f>+D50+D36+D23</f>
        <v>0</v>
      </c>
      <c r="E51" s="470">
        <f>+E23</f>
        <v>0</v>
      </c>
      <c r="F51" s="229"/>
      <c r="G51" s="229"/>
      <c r="H51" s="230"/>
      <c r="J51" s="228">
        <f t="shared" si="11"/>
        <v>0</v>
      </c>
    </row>
    <row r="52" spans="1:29" x14ac:dyDescent="0.25">
      <c r="A52" s="1027"/>
      <c r="B52" s="202">
        <f t="shared" si="10"/>
        <v>2018</v>
      </c>
      <c r="C52" s="470">
        <f>+C51+C37+C24</f>
        <v>0</v>
      </c>
      <c r="D52" s="470">
        <f>+D51+D37+D24</f>
        <v>0</v>
      </c>
      <c r="E52" s="470">
        <f>+E51+E37+E24</f>
        <v>0</v>
      </c>
      <c r="F52" s="470">
        <f>+F24</f>
        <v>0</v>
      </c>
      <c r="G52" s="229"/>
      <c r="H52" s="230"/>
      <c r="J52" s="228">
        <f t="shared" si="11"/>
        <v>0</v>
      </c>
    </row>
    <row r="53" spans="1:29" x14ac:dyDescent="0.25">
      <c r="A53" s="1027"/>
      <c r="B53" s="202">
        <f t="shared" si="10"/>
        <v>2019</v>
      </c>
      <c r="C53" s="470">
        <f>+C52+C38+C25</f>
        <v>0</v>
      </c>
      <c r="D53" s="470">
        <f>+D52+D38+D25</f>
        <v>0</v>
      </c>
      <c r="E53" s="470">
        <f>+E52+E38+E25</f>
        <v>0</v>
      </c>
      <c r="F53" s="470">
        <f>+F52+F38+F25</f>
        <v>0</v>
      </c>
      <c r="G53" s="470">
        <f>+G25</f>
        <v>0</v>
      </c>
      <c r="H53" s="230"/>
      <c r="J53" s="228">
        <f t="shared" si="11"/>
        <v>0</v>
      </c>
    </row>
    <row r="54" spans="1:29" x14ac:dyDescent="0.25">
      <c r="A54" s="1028"/>
      <c r="B54" s="202">
        <f t="shared" si="10"/>
        <v>2020</v>
      </c>
      <c r="C54" s="470">
        <f>+C53+C39+C26</f>
        <v>0</v>
      </c>
      <c r="D54" s="470">
        <f>+D53+D39+D26</f>
        <v>0</v>
      </c>
      <c r="E54" s="470">
        <f>+E53+E39+E26</f>
        <v>0</v>
      </c>
      <c r="F54" s="470">
        <f>+F53+F39+F26</f>
        <v>0</v>
      </c>
      <c r="G54" s="470">
        <f>+G53+G39+G26</f>
        <v>0</v>
      </c>
      <c r="H54" s="470">
        <f>+H26</f>
        <v>0</v>
      </c>
      <c r="J54" s="228">
        <f t="shared" si="11"/>
        <v>0</v>
      </c>
    </row>
    <row r="55" spans="1:29" ht="13" x14ac:dyDescent="0.3">
      <c r="C55" s="194"/>
    </row>
    <row r="56" spans="1:29" ht="13.5" thickBot="1" x14ac:dyDescent="0.35">
      <c r="C56" s="194"/>
    </row>
    <row r="57" spans="1:29" s="190" customFormat="1" ht="22.5" customHeight="1" thickBot="1" x14ac:dyDescent="0.3">
      <c r="A57" s="1037" t="s">
        <v>369</v>
      </c>
      <c r="B57" s="1038"/>
      <c r="C57" s="1038"/>
      <c r="D57" s="1038"/>
      <c r="E57" s="1038"/>
      <c r="F57" s="1038"/>
      <c r="G57" s="1038"/>
      <c r="H57" s="1038"/>
      <c r="I57" s="1038"/>
      <c r="J57" s="1039"/>
      <c r="L57" s="187"/>
      <c r="M57" s="187"/>
      <c r="N57" s="187"/>
      <c r="O57" s="187"/>
      <c r="P57" s="187"/>
      <c r="Q57" s="187"/>
      <c r="R57" s="187"/>
      <c r="S57" s="187"/>
      <c r="T57" s="187"/>
      <c r="U57" s="187"/>
      <c r="V57" s="187"/>
      <c r="W57" s="187"/>
      <c r="X57" s="187"/>
      <c r="Y57" s="187"/>
      <c r="Z57" s="187"/>
      <c r="AA57" s="187"/>
      <c r="AB57" s="187"/>
      <c r="AC57" s="187"/>
    </row>
    <row r="58" spans="1:29" x14ac:dyDescent="0.25">
      <c r="A58" s="20"/>
      <c r="B58" s="20"/>
      <c r="C58" s="20"/>
      <c r="D58" s="20"/>
      <c r="E58" s="20"/>
      <c r="F58" s="20"/>
      <c r="G58" s="20"/>
      <c r="H58" s="20"/>
      <c r="I58" s="20"/>
      <c r="J58" s="20"/>
      <c r="K58" s="20"/>
      <c r="L58" s="610"/>
      <c r="M58" s="20"/>
    </row>
    <row r="59" spans="1:29" ht="13" x14ac:dyDescent="0.3">
      <c r="A59" s="18" t="s">
        <v>362</v>
      </c>
      <c r="B59" s="20"/>
      <c r="C59" s="20"/>
      <c r="D59" s="20"/>
      <c r="E59" s="895">
        <v>2017</v>
      </c>
      <c r="F59" s="20"/>
      <c r="G59" s="20"/>
      <c r="H59" s="20"/>
      <c r="I59" s="20"/>
      <c r="J59" s="20"/>
      <c r="K59" s="20"/>
      <c r="L59" s="610"/>
      <c r="M59" s="20"/>
    </row>
    <row r="60" spans="1:29" x14ac:dyDescent="0.25">
      <c r="A60" s="20"/>
      <c r="B60" s="20"/>
      <c r="C60" s="20"/>
      <c r="D60" s="20"/>
      <c r="E60" s="20"/>
      <c r="F60" s="20"/>
      <c r="G60" s="20"/>
      <c r="H60" s="20"/>
      <c r="I60" s="20"/>
      <c r="J60" s="20"/>
      <c r="K60" s="610"/>
      <c r="L60" s="20"/>
      <c r="M60" s="20"/>
    </row>
    <row r="61" spans="1:29" ht="102" customHeight="1" x14ac:dyDescent="0.25">
      <c r="A61" s="1060" t="s">
        <v>363</v>
      </c>
      <c r="B61" s="1061"/>
      <c r="C61" s="1061"/>
      <c r="D61" s="1062"/>
      <c r="E61" s="599"/>
      <c r="F61" s="675" t="str">
        <f>"Nog af te bouwen regulatoir saldo einde "&amp;E59-1</f>
        <v>Nog af te bouwen regulatoir saldo einde 2016</v>
      </c>
      <c r="G61" s="675" t="str">
        <f>"Afbouw oudste openstaande regulatoir saldo vanaf boekjaar "&amp;E59-3&amp;" en vroeger, door aanwending van compensatie met regulatoir saldo ontstaan over boekjaar "&amp;E59-2</f>
        <v>Afbouw oudste openstaande regulatoir saldo vanaf boekjaar 2014 en vroeger, door aanwending van compensatie met regulatoir saldo ontstaan over boekjaar 2015</v>
      </c>
      <c r="H61" s="675" t="str">
        <f>"Nog af te bouwen regulatoir saldo na compensatie einde "&amp;E59-1</f>
        <v>Nog af te bouwen regulatoir saldo na compensatie einde 2016</v>
      </c>
      <c r="I61" s="675" t="str">
        <f>"Aanwending van 60% van het geaccumuleerd regulatoir saldo door te rekenen volgens de tariefmethodologie in het boekjaar "&amp;E59</f>
        <v>Aanwending van 60% van het geaccumuleerd regulatoir saldo door te rekenen volgens de tariefmethodologie in het boekjaar 2017</v>
      </c>
      <c r="J61" s="675" t="str">
        <f>"Nog af te bouwen regulatoir saldo einde "&amp;E59</f>
        <v>Nog af te bouwen regulatoir saldo einde 2017</v>
      </c>
      <c r="K61" s="610"/>
      <c r="L61" s="20"/>
      <c r="M61" s="20"/>
    </row>
    <row r="62" spans="1:29" ht="13" x14ac:dyDescent="0.25">
      <c r="A62" s="1057">
        <v>2015</v>
      </c>
      <c r="B62" s="1058"/>
      <c r="C62" s="1058"/>
      <c r="D62" s="1059"/>
      <c r="E62" s="896"/>
      <c r="F62" s="839">
        <f>C21+C22</f>
        <v>0</v>
      </c>
      <c r="G62" s="897">
        <v>0</v>
      </c>
      <c r="H62" s="839">
        <f>+F62+G62</f>
        <v>0</v>
      </c>
      <c r="I62" s="839">
        <f>-H62*0.6</f>
        <v>0</v>
      </c>
      <c r="J62" s="908">
        <f>+I62+F62</f>
        <v>0</v>
      </c>
      <c r="K62" s="610"/>
      <c r="L62" s="20"/>
      <c r="M62" s="20"/>
    </row>
    <row r="63" spans="1:29" x14ac:dyDescent="0.25">
      <c r="A63" s="20"/>
      <c r="B63" s="20"/>
      <c r="C63" s="20"/>
      <c r="D63" s="20"/>
      <c r="E63" s="20"/>
      <c r="F63" s="20"/>
      <c r="G63" s="20"/>
      <c r="H63" s="20"/>
      <c r="I63" s="20"/>
      <c r="J63" s="20"/>
      <c r="K63" s="610"/>
      <c r="L63" s="20"/>
      <c r="M63" s="20"/>
    </row>
    <row r="64" spans="1:29" ht="13" x14ac:dyDescent="0.3">
      <c r="A64" s="18" t="s">
        <v>362</v>
      </c>
      <c r="B64" s="20"/>
      <c r="C64" s="20"/>
      <c r="D64" s="20"/>
      <c r="E64" s="895">
        <v>2018</v>
      </c>
      <c r="F64" s="20"/>
      <c r="G64" s="20"/>
      <c r="H64" s="20"/>
      <c r="I64" s="20"/>
      <c r="J64" s="20"/>
      <c r="K64" s="20"/>
      <c r="L64" s="610"/>
      <c r="M64" s="20"/>
    </row>
    <row r="65" spans="1:13" x14ac:dyDescent="0.25">
      <c r="A65" s="20"/>
      <c r="B65" s="20"/>
      <c r="C65" s="20"/>
      <c r="D65" s="20"/>
      <c r="E65" s="20"/>
      <c r="F65" s="20"/>
      <c r="G65" s="20"/>
      <c r="H65" s="20"/>
      <c r="I65" s="20"/>
      <c r="J65" s="20"/>
      <c r="K65" s="20"/>
      <c r="L65" s="610"/>
      <c r="M65" s="20"/>
    </row>
    <row r="66" spans="1:13" ht="109.5" customHeight="1" x14ac:dyDescent="0.25">
      <c r="A66" s="1060" t="s">
        <v>363</v>
      </c>
      <c r="B66" s="1061"/>
      <c r="C66" s="1061"/>
      <c r="D66" s="1062"/>
      <c r="E66" s="599"/>
      <c r="F66" s="675" t="str">
        <f>"Nog af te bouwen regulatoir saldo einde "&amp;E64-1</f>
        <v>Nog af te bouwen regulatoir saldo einde 2017</v>
      </c>
      <c r="G66" s="675" t="str">
        <f>"Afbouw oudste openstaande regulatoir saldo vanaf boekjaar "&amp;E64-3&amp;" en vroeger, door aanwending van compensatie met regulatoir saldo ontstaan over boekjaar "&amp;E64-2</f>
        <v>Afbouw oudste openstaande regulatoir saldo vanaf boekjaar 2015 en vroeger, door aanwending van compensatie met regulatoir saldo ontstaan over boekjaar 2016</v>
      </c>
      <c r="H66" s="675" t="str">
        <f>"Nog af te bouwen regulatoir saldo na compensatie einde "&amp;E64-1</f>
        <v>Nog af te bouwen regulatoir saldo na compensatie einde 2017</v>
      </c>
      <c r="I66" s="675" t="str">
        <f>"60% van het geaccumuleerd regulatoir saldo door te rekenen volgens de tariefmethodologie in het boekjaar "&amp;E64</f>
        <v>60% van het geaccumuleerd regulatoir saldo door te rekenen volgens de tariefmethodologie in het boekjaar 2018</v>
      </c>
      <c r="J66" s="675" t="str">
        <f>"Aanwending van 60% van het geaccumuleerd regulatoir saldo door te rekenen volgens de tariefmethodologie in het boekjaar "&amp;E64</f>
        <v>Aanwending van 60% van het geaccumuleerd regulatoir saldo door te rekenen volgens de tariefmethodologie in het boekjaar 2018</v>
      </c>
      <c r="K66" s="675" t="str">
        <f>"Totale afbouw over "&amp;E64</f>
        <v>Totale afbouw over 2018</v>
      </c>
      <c r="L66" s="20"/>
      <c r="M66" s="675" t="str">
        <f>"Nog af te bouwen regulatoir saldo einde "&amp;E64</f>
        <v>Nog af te bouwen regulatoir saldo einde 2018</v>
      </c>
    </row>
    <row r="67" spans="1:13" ht="13" x14ac:dyDescent="0.25">
      <c r="A67" s="1057">
        <v>2015</v>
      </c>
      <c r="B67" s="1058"/>
      <c r="C67" s="1058"/>
      <c r="D67" s="1059"/>
      <c r="E67" s="896"/>
      <c r="F67" s="839">
        <f>J62</f>
        <v>0</v>
      </c>
      <c r="G67" s="897">
        <f>IF(SIGN(F68*J62)&lt;0,IF(F67&lt;&gt;0,-SIGN(F67)*MIN(ABS(F68),ABS(F67)),0),0)</f>
        <v>0</v>
      </c>
      <c r="H67" s="839">
        <f>+F67+G67</f>
        <v>0</v>
      </c>
      <c r="I67" s="698"/>
      <c r="J67" s="897">
        <f>-MIN(ABS(H67),ABS(I69))*SIGN(H67)</f>
        <v>0</v>
      </c>
      <c r="K67" s="898">
        <f>+J67+G67</f>
        <v>0</v>
      </c>
      <c r="L67" s="20"/>
      <c r="M67" s="839">
        <f>+H67+J67</f>
        <v>0</v>
      </c>
    </row>
    <row r="68" spans="1:13" ht="13" x14ac:dyDescent="0.25">
      <c r="A68" s="1057">
        <v>2016</v>
      </c>
      <c r="B68" s="1058"/>
      <c r="C68" s="1058"/>
      <c r="D68" s="1059"/>
      <c r="E68" s="896"/>
      <c r="F68" s="839">
        <f>D22+D23</f>
        <v>0</v>
      </c>
      <c r="G68" s="898">
        <f>IF(SIGN(F68*J62)&lt;0,-G67,0)</f>
        <v>0</v>
      </c>
      <c r="H68" s="839">
        <f>+F68+G68</f>
        <v>0</v>
      </c>
      <c r="I68" s="698"/>
      <c r="J68" s="897">
        <f>-MIN(ABS(H68),ABS(I69-J67))*SIGN(H68)</f>
        <v>0</v>
      </c>
      <c r="K68" s="898">
        <f>+J68+G68</f>
        <v>0</v>
      </c>
      <c r="L68" s="20"/>
      <c r="M68" s="839">
        <f>+H68+J68</f>
        <v>0</v>
      </c>
    </row>
    <row r="69" spans="1:13" ht="13" x14ac:dyDescent="0.3">
      <c r="A69" s="18"/>
      <c r="B69" s="18"/>
      <c r="C69" s="18"/>
      <c r="D69" s="18"/>
      <c r="E69" s="18"/>
      <c r="F69" s="899">
        <f>SUM(F67:F68)</f>
        <v>0</v>
      </c>
      <c r="G69" s="899">
        <f>SUM(G67:G68)</f>
        <v>0</v>
      </c>
      <c r="H69" s="899">
        <f>SUM(H67:H68)</f>
        <v>0</v>
      </c>
      <c r="I69" s="899">
        <f>-H69*0.6</f>
        <v>0</v>
      </c>
      <c r="J69" s="900">
        <f>SUM(J67:J68)</f>
        <v>0</v>
      </c>
      <c r="K69" s="901"/>
      <c r="L69" s="18"/>
      <c r="M69" s="899">
        <f>SUM(M67:M68)</f>
        <v>0</v>
      </c>
    </row>
    <row r="70" spans="1:13" x14ac:dyDescent="0.25">
      <c r="A70" s="20"/>
      <c r="B70" s="20"/>
      <c r="C70" s="20"/>
      <c r="D70" s="20"/>
      <c r="E70" s="20"/>
      <c r="F70" s="20"/>
      <c r="G70" s="20"/>
      <c r="H70" s="20"/>
      <c r="I70" s="20"/>
      <c r="J70" s="20"/>
      <c r="K70" s="20"/>
      <c r="L70" s="610"/>
      <c r="M70" s="20"/>
    </row>
    <row r="71" spans="1:13" ht="13" x14ac:dyDescent="0.3">
      <c r="A71" s="18" t="s">
        <v>362</v>
      </c>
      <c r="B71" s="20"/>
      <c r="C71" s="20"/>
      <c r="D71" s="20"/>
      <c r="E71" s="895">
        <v>2019</v>
      </c>
      <c r="F71" s="20"/>
      <c r="G71" s="20"/>
      <c r="H71" s="20"/>
      <c r="I71" s="20"/>
      <c r="J71" s="20"/>
      <c r="K71" s="20"/>
      <c r="L71" s="20"/>
      <c r="M71" s="20"/>
    </row>
    <row r="72" spans="1:13" x14ac:dyDescent="0.25">
      <c r="A72" s="20"/>
      <c r="B72" s="20"/>
      <c r="C72" s="20"/>
      <c r="D72" s="20"/>
      <c r="E72" s="20"/>
      <c r="F72" s="20"/>
      <c r="G72" s="20"/>
      <c r="H72" s="20"/>
      <c r="I72" s="20"/>
      <c r="J72" s="20"/>
      <c r="K72" s="20"/>
      <c r="L72" s="20"/>
      <c r="M72" s="20"/>
    </row>
    <row r="73" spans="1:13" ht="90.75" customHeight="1" x14ac:dyDescent="0.25">
      <c r="A73" s="1060" t="s">
        <v>363</v>
      </c>
      <c r="B73" s="1061"/>
      <c r="C73" s="1061"/>
      <c r="D73" s="1062"/>
      <c r="E73" s="599"/>
      <c r="F73" s="675" t="str">
        <f>"Nog af te bouwen regulatoir saldo einde "&amp;E71-1</f>
        <v>Nog af te bouwen regulatoir saldo einde 2018</v>
      </c>
      <c r="G73" s="675" t="str">
        <f>"Afbouw oudste openstaande regulatoir saldo vanaf boekjaar "&amp;E71-3&amp;" en vroeger, door aanwending van compensatie met regulatoir saldo ontstaan over boekjaar "&amp;E71-2</f>
        <v>Afbouw oudste openstaande regulatoir saldo vanaf boekjaar 2016 en vroeger, door aanwending van compensatie met regulatoir saldo ontstaan over boekjaar 2017</v>
      </c>
      <c r="H73" s="675" t="str">
        <f>"Nog af te bouwen regulatoir saldo na compensatie einde "&amp;E71-1</f>
        <v>Nog af te bouwen regulatoir saldo na compensatie einde 2018</v>
      </c>
      <c r="I73" s="675" t="str">
        <f>"60% van het geaccumuleerd regulatoir saldo door te rekenen volgens de tariefmethodologie in het boekjaar "&amp;E71</f>
        <v>60% van het geaccumuleerd regulatoir saldo door te rekenen volgens de tariefmethodologie in het boekjaar 2019</v>
      </c>
      <c r="J73" s="675" t="str">
        <f>"Aanwending van het 60% van het geaccumuleerd regulatoir saldo door te rekenen volgens de tariefmethodologie in het boekjaar "&amp;E71</f>
        <v>Aanwending van het 60% van het geaccumuleerd regulatoir saldo door te rekenen volgens de tariefmethodologie in het boekjaar 2019</v>
      </c>
      <c r="K73" s="675" t="str">
        <f>"Totale afbouw over "&amp;E71</f>
        <v>Totale afbouw over 2019</v>
      </c>
      <c r="L73" s="20"/>
      <c r="M73" s="675" t="str">
        <f>"Nog af te bouwen regulatoir saldo einde "&amp;E71</f>
        <v>Nog af te bouwen regulatoir saldo einde 2019</v>
      </c>
    </row>
    <row r="74" spans="1:13" ht="13" x14ac:dyDescent="0.25">
      <c r="A74" s="1057">
        <v>2015</v>
      </c>
      <c r="B74" s="1058"/>
      <c r="C74" s="1058"/>
      <c r="D74" s="1059"/>
      <c r="E74" s="896"/>
      <c r="F74" s="839">
        <f>+M67</f>
        <v>0</v>
      </c>
      <c r="G74" s="898">
        <f>IF(SIGN(F76*M69)&lt;0,IF(F74&lt;&gt;0,-SIGN(F74)*MIN(ABS(F76),ABS(F74)),0),0)</f>
        <v>0</v>
      </c>
      <c r="H74" s="839">
        <f>+F74+G74</f>
        <v>0</v>
      </c>
      <c r="I74" s="698"/>
      <c r="J74" s="897">
        <f>-MIN(ABS(H74),ABS(I77))*SIGN(H74)</f>
        <v>0</v>
      </c>
      <c r="K74" s="898">
        <f>+J74+G74</f>
        <v>0</v>
      </c>
      <c r="L74" s="20"/>
      <c r="M74" s="839">
        <f>+H74+J74</f>
        <v>0</v>
      </c>
    </row>
    <row r="75" spans="1:13" ht="13" x14ac:dyDescent="0.25">
      <c r="A75" s="1057">
        <v>2016</v>
      </c>
      <c r="B75" s="1058"/>
      <c r="C75" s="1058">
        <v>2016</v>
      </c>
      <c r="D75" s="1059"/>
      <c r="E75" s="896"/>
      <c r="F75" s="839">
        <f>+M68</f>
        <v>0</v>
      </c>
      <c r="G75" s="898">
        <f>IF(SIGN(F76*M69)&lt;0,IF(F75&lt;&gt;0,-SIGN(F75)*MIN(ABS(F76-G74),ABS(F75)),0),0)</f>
        <v>0</v>
      </c>
      <c r="H75" s="839">
        <f>+F75+G75</f>
        <v>0</v>
      </c>
      <c r="I75" s="698"/>
      <c r="J75" s="897">
        <f>-MIN(ABS(H75),ABS(I77-J74))*SIGN(H75)</f>
        <v>0</v>
      </c>
      <c r="K75" s="898">
        <f>+J75+G75</f>
        <v>0</v>
      </c>
      <c r="L75" s="20"/>
      <c r="M75" s="839">
        <f>+H75+J75</f>
        <v>0</v>
      </c>
    </row>
    <row r="76" spans="1:13" ht="13" x14ac:dyDescent="0.25">
      <c r="A76" s="1057">
        <v>2017</v>
      </c>
      <c r="B76" s="1058"/>
      <c r="C76" s="1058"/>
      <c r="D76" s="1059"/>
      <c r="E76" s="896"/>
      <c r="F76" s="839">
        <f>E23+E24</f>
        <v>0</v>
      </c>
      <c r="G76" s="898">
        <f>IF(SIGN(F76*M69)&lt;0,-SUM(G74:G75),0)</f>
        <v>0</v>
      </c>
      <c r="H76" s="839">
        <f>+F76+G76</f>
        <v>0</v>
      </c>
      <c r="I76" s="698"/>
      <c r="J76" s="897">
        <f>-MIN(ABS(H76),ABS(I77-J74-J75))*SIGN(H76)</f>
        <v>0</v>
      </c>
      <c r="K76" s="898">
        <f>+J76+G76</f>
        <v>0</v>
      </c>
      <c r="L76" s="20"/>
      <c r="M76" s="839">
        <f>+H76+J76</f>
        <v>0</v>
      </c>
    </row>
    <row r="77" spans="1:13" ht="13" x14ac:dyDescent="0.3">
      <c r="A77" s="18"/>
      <c r="B77" s="18"/>
      <c r="C77" s="18"/>
      <c r="D77" s="18"/>
      <c r="E77" s="18"/>
      <c r="F77" s="899">
        <f>SUM(F74:F76)</f>
        <v>0</v>
      </c>
      <c r="G77" s="899">
        <f>SUM(G74:G76)</f>
        <v>0</v>
      </c>
      <c r="H77" s="899">
        <f>SUM(H74:H76)</f>
        <v>0</v>
      </c>
      <c r="I77" s="899">
        <f>-H77*0.6</f>
        <v>0</v>
      </c>
      <c r="J77" s="900">
        <f>SUM(J74:J76)</f>
        <v>0</v>
      </c>
      <c r="K77" s="901"/>
      <c r="L77" s="18"/>
      <c r="M77" s="899">
        <f>SUM(M74:M76)</f>
        <v>0</v>
      </c>
    </row>
    <row r="78" spans="1:13" x14ac:dyDescent="0.25">
      <c r="A78" s="20"/>
      <c r="B78" s="20"/>
      <c r="C78" s="20"/>
      <c r="D78" s="20"/>
      <c r="E78" s="20"/>
      <c r="F78" s="20"/>
      <c r="G78" s="20"/>
      <c r="H78" s="20"/>
      <c r="I78" s="20"/>
      <c r="J78" s="20"/>
      <c r="K78" s="20"/>
      <c r="L78" s="610"/>
      <c r="M78" s="20"/>
    </row>
    <row r="79" spans="1:13" ht="13" x14ac:dyDescent="0.3">
      <c r="A79" s="18" t="s">
        <v>362</v>
      </c>
      <c r="B79" s="20"/>
      <c r="C79" s="20"/>
      <c r="D79" s="20"/>
      <c r="E79" s="895">
        <v>2020</v>
      </c>
      <c r="F79" s="20"/>
      <c r="G79" s="20"/>
      <c r="H79" s="20"/>
      <c r="I79" s="20"/>
      <c r="J79" s="20"/>
      <c r="K79" s="20"/>
      <c r="L79" s="20"/>
      <c r="M79" s="20"/>
    </row>
    <row r="80" spans="1:13" x14ac:dyDescent="0.25">
      <c r="A80" s="20"/>
      <c r="B80" s="20"/>
      <c r="C80" s="20"/>
      <c r="D80" s="20"/>
      <c r="E80" s="20"/>
      <c r="F80" s="20"/>
      <c r="G80" s="20"/>
      <c r="H80" s="20"/>
      <c r="I80" s="20"/>
      <c r="J80" s="20"/>
      <c r="K80" s="20"/>
      <c r="L80" s="20"/>
      <c r="M80" s="20"/>
    </row>
    <row r="81" spans="1:13" ht="96" customHeight="1" x14ac:dyDescent="0.25">
      <c r="A81" s="1060" t="s">
        <v>363</v>
      </c>
      <c r="B81" s="1061"/>
      <c r="C81" s="1061"/>
      <c r="D81" s="1062"/>
      <c r="E81" s="599"/>
      <c r="F81" s="675" t="str">
        <f>"Nog af te bouwen regulatoir saldo einde "&amp;E79-1</f>
        <v>Nog af te bouwen regulatoir saldo einde 2019</v>
      </c>
      <c r="G81" s="675" t="str">
        <f>"Afbouw oudste openstaande regulatoir saldo vanaf boekjaar "&amp;E79-3&amp;" en vroeger, door aanwending van compensatie met regulatoir saldo ontstaan over boekjaar "&amp;E79-2</f>
        <v>Afbouw oudste openstaande regulatoir saldo vanaf boekjaar 2017 en vroeger, door aanwending van compensatie met regulatoir saldo ontstaan over boekjaar 2018</v>
      </c>
      <c r="H81" s="675" t="str">
        <f>"Nog af te bouwen regulatoir saldo na compensatie einde "&amp;E79-1</f>
        <v>Nog af te bouwen regulatoir saldo na compensatie einde 2019</v>
      </c>
      <c r="I81" s="675" t="str">
        <f>"60% van het geaccumuleerd regulatoir saldo door te rekenen volgens de tariefmethodologie in het boekjaar "&amp;E79</f>
        <v>60% van het geaccumuleerd regulatoir saldo door te rekenen volgens de tariefmethodologie in het boekjaar 2020</v>
      </c>
      <c r="J81" s="675" t="str">
        <f>"Aanwending van het 60% van het geaccumuleerd regulatoir saldo door te rekenen volgens de tariefmethodologie in het boekjaar "&amp;E79</f>
        <v>Aanwending van het 60% van het geaccumuleerd regulatoir saldo door te rekenen volgens de tariefmethodologie in het boekjaar 2020</v>
      </c>
      <c r="K81" s="675" t="str">
        <f>"Totale afbouw over "&amp;E79</f>
        <v>Totale afbouw over 2020</v>
      </c>
      <c r="L81" s="20"/>
      <c r="M81" s="675" t="str">
        <f>"Nog af te bouwen regulatoir saldo einde "&amp;E79</f>
        <v>Nog af te bouwen regulatoir saldo einde 2020</v>
      </c>
    </row>
    <row r="82" spans="1:13" ht="13" x14ac:dyDescent="0.25">
      <c r="A82" s="1057">
        <v>2015</v>
      </c>
      <c r="B82" s="1058"/>
      <c r="C82" s="1058"/>
      <c r="D82" s="1059"/>
      <c r="E82" s="896"/>
      <c r="F82" s="839">
        <f>+M74</f>
        <v>0</v>
      </c>
      <c r="G82" s="898">
        <f>IF(SIGN(F85*M77)&lt;0,IF(F82&lt;&gt;0,-SIGN(F82)*MIN(ABS(F85),ABS(F82)),0),0)</f>
        <v>0</v>
      </c>
      <c r="H82" s="839">
        <f>+F82+G82</f>
        <v>0</v>
      </c>
      <c r="I82" s="698"/>
      <c r="J82" s="897">
        <f>-MIN(ABS(H82),ABS(I86))*SIGN(H82)</f>
        <v>0</v>
      </c>
      <c r="K82" s="898">
        <f>+J82+G82</f>
        <v>0</v>
      </c>
      <c r="L82" s="20"/>
      <c r="M82" s="839">
        <f>+H82+J82</f>
        <v>0</v>
      </c>
    </row>
    <row r="83" spans="1:13" ht="13" x14ac:dyDescent="0.25">
      <c r="A83" s="1057">
        <v>2016</v>
      </c>
      <c r="B83" s="1058"/>
      <c r="C83" s="1058"/>
      <c r="D83" s="1059"/>
      <c r="E83" s="896"/>
      <c r="F83" s="839">
        <f>+M75</f>
        <v>0</v>
      </c>
      <c r="G83" s="898">
        <f>IF(SIGN(F85*M77)&lt;0,IF(F83&lt;&gt;0,-SIGN(F83)*MIN(ABS(F85-G82),ABS(F83)),0),0)</f>
        <v>0</v>
      </c>
      <c r="H83" s="839">
        <f>+F83+G83</f>
        <v>0</v>
      </c>
      <c r="I83" s="698"/>
      <c r="J83" s="897">
        <f>-MIN(ABS(H83),ABS(I86-J82))*SIGN(H83)</f>
        <v>0</v>
      </c>
      <c r="K83" s="898">
        <f>+J83+G83</f>
        <v>0</v>
      </c>
      <c r="L83" s="20"/>
      <c r="M83" s="839">
        <f>+H83+J83</f>
        <v>0</v>
      </c>
    </row>
    <row r="84" spans="1:13" ht="13" x14ac:dyDescent="0.25">
      <c r="A84" s="1057">
        <v>2017</v>
      </c>
      <c r="B84" s="1058"/>
      <c r="C84" s="1058">
        <v>2016</v>
      </c>
      <c r="D84" s="1059"/>
      <c r="E84" s="896"/>
      <c r="F84" s="839">
        <f>+M76</f>
        <v>0</v>
      </c>
      <c r="G84" s="898">
        <f>IF(SIGN(F85*M77)&lt;0,IF(F84&lt;&gt;0,-SIGN(F84)*MIN(ABS(F85-G82-G83),ABS(F84)),0),0)</f>
        <v>0</v>
      </c>
      <c r="H84" s="839">
        <f>+F84+G84</f>
        <v>0</v>
      </c>
      <c r="I84" s="698"/>
      <c r="J84" s="897">
        <f>-MIN(ABS(H84),ABS(I86-J82-J83))*SIGN(H84)</f>
        <v>0</v>
      </c>
      <c r="K84" s="898">
        <f>+J84+G84</f>
        <v>0</v>
      </c>
      <c r="L84" s="20"/>
      <c r="M84" s="839">
        <f>+H84+J84</f>
        <v>0</v>
      </c>
    </row>
    <row r="85" spans="1:13" ht="13" x14ac:dyDescent="0.25">
      <c r="A85" s="1057">
        <v>2018</v>
      </c>
      <c r="B85" s="1058"/>
      <c r="C85" s="1058"/>
      <c r="D85" s="1059"/>
      <c r="E85" s="896"/>
      <c r="F85" s="839">
        <f>F24+F25</f>
        <v>0</v>
      </c>
      <c r="G85" s="898">
        <f>IF(SIGN(F85*M77)&lt;0,-SUM(G82:G84),0)</f>
        <v>0</v>
      </c>
      <c r="H85" s="839">
        <f>+F85+G85</f>
        <v>0</v>
      </c>
      <c r="I85" s="698"/>
      <c r="J85" s="897">
        <f>-MIN(ABS(H85),ABS(I86-J82-J83-J84))*SIGN(H85)</f>
        <v>0</v>
      </c>
      <c r="K85" s="898">
        <f>+J85+G85</f>
        <v>0</v>
      </c>
      <c r="L85" s="20"/>
      <c r="M85" s="839">
        <f>+H85+J85</f>
        <v>0</v>
      </c>
    </row>
    <row r="86" spans="1:13" ht="13" x14ac:dyDescent="0.3">
      <c r="A86" s="18"/>
      <c r="B86" s="18"/>
      <c r="C86" s="18"/>
      <c r="D86" s="18"/>
      <c r="E86" s="18"/>
      <c r="F86" s="899">
        <f>SUM(F82:F85)</f>
        <v>0</v>
      </c>
      <c r="G86" s="899">
        <f>SUM(G82:G85)</f>
        <v>0</v>
      </c>
      <c r="H86" s="899">
        <f>SUM(H82:H85)</f>
        <v>0</v>
      </c>
      <c r="I86" s="899">
        <f>-H86*0.6</f>
        <v>0</v>
      </c>
      <c r="J86" s="900">
        <f>SUM(J82:J85)</f>
        <v>0</v>
      </c>
      <c r="K86" s="900"/>
      <c r="L86" s="18"/>
      <c r="M86" s="899">
        <f>SUM(M82:M85)</f>
        <v>0</v>
      </c>
    </row>
    <row r="87" spans="1:13" x14ac:dyDescent="0.25">
      <c r="A87" s="20"/>
      <c r="B87" s="20"/>
      <c r="C87" s="20"/>
      <c r="D87" s="20"/>
      <c r="E87" s="20"/>
      <c r="F87" s="20"/>
      <c r="G87" s="20"/>
      <c r="H87" s="20"/>
      <c r="I87" s="20"/>
      <c r="J87" s="20"/>
      <c r="K87" s="20"/>
      <c r="L87" s="394"/>
      <c r="M87" s="20"/>
    </row>
    <row r="88" spans="1:13" x14ac:dyDescent="0.25">
      <c r="A88" s="20"/>
      <c r="B88" s="20"/>
      <c r="C88" s="20"/>
      <c r="D88" s="20"/>
      <c r="E88" s="20"/>
      <c r="F88" s="20"/>
      <c r="G88" s="20"/>
      <c r="H88" s="20"/>
      <c r="I88" s="20"/>
      <c r="J88" s="20"/>
      <c r="K88" s="20"/>
      <c r="L88" s="394"/>
      <c r="M88" s="20"/>
    </row>
    <row r="89" spans="1:13" ht="13" x14ac:dyDescent="0.3">
      <c r="A89" s="18" t="s">
        <v>364</v>
      </c>
      <c r="B89" s="381"/>
      <c r="C89" s="381"/>
      <c r="D89" s="381"/>
      <c r="E89" s="20"/>
      <c r="F89" s="20"/>
      <c r="G89" s="20"/>
      <c r="H89" s="20"/>
      <c r="I89" s="20"/>
      <c r="J89" s="20"/>
      <c r="K89" s="20"/>
      <c r="L89" s="394"/>
      <c r="M89" s="20"/>
    </row>
    <row r="90" spans="1:13" ht="13" x14ac:dyDescent="0.3">
      <c r="A90" s="18"/>
      <c r="B90" s="381"/>
      <c r="C90" s="381"/>
      <c r="D90" s="381"/>
      <c r="E90" s="20"/>
      <c r="F90" s="20"/>
      <c r="G90" s="20"/>
      <c r="H90" s="20"/>
      <c r="I90" s="20"/>
      <c r="J90" s="20"/>
      <c r="K90" s="20"/>
      <c r="L90" s="394"/>
      <c r="M90" s="20"/>
    </row>
    <row r="91" spans="1:13" ht="13" x14ac:dyDescent="0.3">
      <c r="A91" s="864">
        <f>E59</f>
        <v>2017</v>
      </c>
      <c r="B91" s="906">
        <f>I62</f>
        <v>0</v>
      </c>
      <c r="C91" s="381"/>
      <c r="D91" s="381"/>
      <c r="E91" s="20"/>
      <c r="F91" s="20"/>
      <c r="G91" s="20"/>
      <c r="H91" s="20"/>
      <c r="I91" s="20"/>
      <c r="J91" s="20"/>
      <c r="K91" s="20"/>
      <c r="L91" s="394"/>
      <c r="M91" s="20"/>
    </row>
    <row r="92" spans="1:13" ht="13" x14ac:dyDescent="0.3">
      <c r="A92" s="864">
        <f>E64</f>
        <v>2018</v>
      </c>
      <c r="B92" s="906">
        <f>J69</f>
        <v>0</v>
      </c>
      <c r="C92" s="381"/>
      <c r="D92" s="381"/>
      <c r="E92" s="20"/>
      <c r="F92" s="20"/>
      <c r="G92" s="20"/>
      <c r="H92" s="20"/>
      <c r="I92" s="20"/>
      <c r="J92" s="20"/>
      <c r="K92" s="20"/>
      <c r="L92" s="394"/>
      <c r="M92" s="20"/>
    </row>
    <row r="93" spans="1:13" ht="13" x14ac:dyDescent="0.3">
      <c r="A93" s="864">
        <f>E71</f>
        <v>2019</v>
      </c>
      <c r="B93" s="906">
        <f>J77</f>
        <v>0</v>
      </c>
      <c r="C93" s="381"/>
      <c r="D93" s="381"/>
      <c r="E93" s="20"/>
      <c r="F93" s="20"/>
      <c r="G93" s="20"/>
      <c r="H93" s="20"/>
      <c r="I93" s="20"/>
      <c r="J93" s="20"/>
      <c r="K93" s="20"/>
      <c r="L93" s="394"/>
      <c r="M93" s="20"/>
    </row>
    <row r="94" spans="1:13" ht="13" x14ac:dyDescent="0.3">
      <c r="A94" s="864">
        <f>E79</f>
        <v>2020</v>
      </c>
      <c r="B94" s="906">
        <f>J86</f>
        <v>0</v>
      </c>
      <c r="C94" s="381"/>
      <c r="D94" s="381"/>
      <c r="E94" s="20"/>
      <c r="F94" s="20"/>
      <c r="G94" s="20"/>
      <c r="H94" s="20"/>
      <c r="I94" s="20"/>
      <c r="J94" s="20"/>
      <c r="K94" s="20"/>
      <c r="L94" s="394"/>
      <c r="M94" s="20"/>
    </row>
  </sheetData>
  <mergeCells count="30">
    <mergeCell ref="A68:D68"/>
    <mergeCell ref="A83:D83"/>
    <mergeCell ref="A84:D84"/>
    <mergeCell ref="A85:D85"/>
    <mergeCell ref="A73:D73"/>
    <mergeCell ref="A74:D74"/>
    <mergeCell ref="A75:D75"/>
    <mergeCell ref="A76:D76"/>
    <mergeCell ref="A81:D81"/>
    <mergeCell ref="A82:D82"/>
    <mergeCell ref="A57:J57"/>
    <mergeCell ref="A61:D61"/>
    <mergeCell ref="A62:D62"/>
    <mergeCell ref="A66:D66"/>
    <mergeCell ref="A67:D67"/>
    <mergeCell ref="A1:J1"/>
    <mergeCell ref="A4:J4"/>
    <mergeCell ref="C6:H6"/>
    <mergeCell ref="C7:H7"/>
    <mergeCell ref="C8:H8"/>
    <mergeCell ref="A43:J43"/>
    <mergeCell ref="C47:H47"/>
    <mergeCell ref="A49:A54"/>
    <mergeCell ref="K15:L15"/>
    <mergeCell ref="C19:H19"/>
    <mergeCell ref="A20:B20"/>
    <mergeCell ref="A21:A27"/>
    <mergeCell ref="C32:H32"/>
    <mergeCell ref="A34:A40"/>
    <mergeCell ref="A15:J15"/>
  </mergeCells>
  <conditionalFormatting sqref="A1:XFD1048576">
    <cfRule type="expression" dxfId="65" priority="3" stopIfTrue="1">
      <formula>$C$7="gas"</formula>
    </cfRule>
  </conditionalFormatting>
  <conditionalFormatting sqref="N58:IV94">
    <cfRule type="expression" dxfId="64" priority="2" stopIfTrue="1">
      <formula>$C$7="gas"</formula>
    </cfRule>
  </conditionalFormatting>
  <conditionalFormatting sqref="A57:XFD57">
    <cfRule type="expression" dxfId="63" priority="1" stopIfTrue="1">
      <formula>$C$7="gas"</formula>
    </cfRule>
  </conditionalFormatting>
  <pageMargins left="0.78740157480314965" right="0.78740157480314965" top="0.98425196850393704" bottom="0.98425196850393704" header="0.51181102362204722" footer="0.51181102362204722"/>
  <pageSetup paperSize="8" scale="43" orientation="landscape" r:id="rId1"/>
  <headerFooter alignWithMargins="0">
    <oddFooter>&amp;CPage &amp;P</oddFooter>
  </headerFooter>
  <ignoredErrors>
    <ignoredError sqref="J33 L33"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AC88"/>
  <sheetViews>
    <sheetView zoomScale="80" zoomScaleNormal="80" zoomScaleSheetLayoutView="80" workbookViewId="0">
      <selection activeCell="C19" sqref="C19"/>
    </sheetView>
  </sheetViews>
  <sheetFormatPr defaultColWidth="11.453125" defaultRowHeight="12.5" x14ac:dyDescent="0.25"/>
  <cols>
    <col min="1" max="1" width="24.26953125" style="187" customWidth="1"/>
    <col min="2" max="2" width="21.54296875" style="187" customWidth="1"/>
    <col min="3" max="8" width="17.7265625" style="187" customWidth="1"/>
    <col min="9" max="9" width="2.26953125" style="187" customWidth="1"/>
    <col min="10" max="10" width="17.7265625" style="187" customWidth="1"/>
    <col min="11" max="11" width="2" style="187" customWidth="1"/>
    <col min="12" max="12" width="17.7265625" style="187" customWidth="1"/>
    <col min="13" max="13" width="28.7265625" style="187" bestFit="1" customWidth="1"/>
    <col min="14" max="14" width="14" style="187" customWidth="1"/>
    <col min="15" max="15" width="11.453125" style="187"/>
    <col min="16" max="16" width="12.26953125" style="187" bestFit="1" customWidth="1"/>
    <col min="17" max="16384" width="11.453125" style="187"/>
  </cols>
  <sheetData>
    <row r="1" spans="1:18" ht="36" customHeight="1" thickBot="1" x14ac:dyDescent="0.45">
      <c r="A1" s="1092" t="s">
        <v>227</v>
      </c>
      <c r="B1" s="1093"/>
      <c r="C1" s="1093"/>
      <c r="D1" s="1093"/>
      <c r="E1" s="1093"/>
      <c r="F1" s="1093"/>
      <c r="G1" s="1093"/>
      <c r="H1" s="1093"/>
      <c r="I1" s="1093"/>
      <c r="J1" s="1094"/>
      <c r="K1" s="50"/>
      <c r="L1" s="48"/>
      <c r="M1" s="921"/>
      <c r="N1" s="919"/>
      <c r="O1" s="919"/>
      <c r="P1" s="919"/>
      <c r="Q1" s="919"/>
    </row>
    <row r="2" spans="1:18" x14ac:dyDescent="0.25">
      <c r="A2" s="188"/>
      <c r="B2" s="188"/>
      <c r="C2" s="188"/>
      <c r="D2" s="188"/>
      <c r="E2" s="188"/>
      <c r="F2" s="188"/>
      <c r="G2" s="188"/>
      <c r="H2" s="188"/>
      <c r="I2" s="188"/>
      <c r="J2" s="188"/>
      <c r="K2" s="50"/>
      <c r="L2" s="48"/>
      <c r="M2" s="918"/>
      <c r="N2" s="919"/>
      <c r="O2" s="919"/>
      <c r="P2" s="919"/>
      <c r="Q2" s="919"/>
    </row>
    <row r="3" spans="1:18" x14ac:dyDescent="0.25">
      <c r="A3" s="188"/>
      <c r="B3" s="188"/>
      <c r="C3" s="491">
        <f t="shared" ref="C3:H3" si="0">+C7+1</f>
        <v>2016</v>
      </c>
      <c r="D3" s="491">
        <f t="shared" si="0"/>
        <v>2017</v>
      </c>
      <c r="E3" s="491">
        <f t="shared" si="0"/>
        <v>2018</v>
      </c>
      <c r="F3" s="491">
        <f t="shared" si="0"/>
        <v>2019</v>
      </c>
      <c r="G3" s="491">
        <f t="shared" si="0"/>
        <v>2020</v>
      </c>
      <c r="H3" s="491">
        <f t="shared" si="0"/>
        <v>2021</v>
      </c>
      <c r="I3" s="491"/>
      <c r="J3" s="491"/>
      <c r="K3" s="922"/>
      <c r="L3" s="483"/>
      <c r="M3" s="491" t="str">
        <f>+TITELBLAD!B18</f>
        <v>Rapportering over boekjaar:</v>
      </c>
      <c r="N3" s="488">
        <f>+TITELBLAD!E18</f>
        <v>2019</v>
      </c>
      <c r="O3" s="488" t="str">
        <f>+TITELBLAD!F18</f>
        <v>ex-ante</v>
      </c>
      <c r="P3" s="488"/>
      <c r="Q3" s="488"/>
      <c r="R3" s="488"/>
    </row>
    <row r="4" spans="1:18" s="48" customFormat="1" ht="16.5" x14ac:dyDescent="0.35">
      <c r="A4" s="51"/>
      <c r="C4" s="1098" t="str">
        <f>+TITELBLAD!C7</f>
        <v>Naam distributienetbeheerder</v>
      </c>
      <c r="D4" s="1099"/>
      <c r="E4" s="1099"/>
      <c r="F4" s="1099"/>
      <c r="G4" s="1099"/>
      <c r="H4" s="1100"/>
      <c r="K4" s="50"/>
      <c r="M4" s="920"/>
      <c r="N4" s="919"/>
      <c r="O4" s="919"/>
      <c r="P4" s="920"/>
      <c r="Q4" s="920"/>
    </row>
    <row r="5" spans="1:18" s="48" customFormat="1" ht="16.5" x14ac:dyDescent="0.35">
      <c r="A5" s="51"/>
      <c r="C5" s="1098" t="str">
        <f>+TITELBLAD!C12</f>
        <v>elektriciteit</v>
      </c>
      <c r="D5" s="1099"/>
      <c r="E5" s="1099"/>
      <c r="F5" s="1099"/>
      <c r="G5" s="1099"/>
      <c r="H5" s="1100"/>
      <c r="K5" s="50"/>
      <c r="M5" s="920"/>
      <c r="N5" s="920"/>
      <c r="O5" s="920"/>
      <c r="P5" s="920"/>
      <c r="Q5" s="920"/>
    </row>
    <row r="6" spans="1:18" s="48" customFormat="1" ht="16.5" x14ac:dyDescent="0.35">
      <c r="A6" s="51"/>
      <c r="C6" s="1023" t="s">
        <v>30</v>
      </c>
      <c r="D6" s="1024"/>
      <c r="E6" s="1024"/>
      <c r="F6" s="1024"/>
      <c r="G6" s="1024"/>
      <c r="H6" s="1025"/>
      <c r="K6" s="50"/>
      <c r="M6" s="920"/>
      <c r="N6" s="920"/>
      <c r="O6" s="920"/>
      <c r="P6" s="920"/>
      <c r="Q6" s="920"/>
    </row>
    <row r="7" spans="1:18" s="48" customFormat="1" ht="52.5" customHeight="1" x14ac:dyDescent="0.25">
      <c r="A7" s="1103" t="s">
        <v>262</v>
      </c>
      <c r="B7" s="1104"/>
      <c r="C7" s="725">
        <v>2015</v>
      </c>
      <c r="D7" s="725">
        <v>2016</v>
      </c>
      <c r="E7" s="725">
        <v>2017</v>
      </c>
      <c r="F7" s="725">
        <v>2018</v>
      </c>
      <c r="G7" s="725">
        <v>2019</v>
      </c>
      <c r="H7" s="725">
        <v>2020</v>
      </c>
      <c r="K7" s="50"/>
      <c r="M7" s="920"/>
      <c r="N7" s="920"/>
      <c r="O7" s="920"/>
      <c r="P7" s="920"/>
      <c r="Q7" s="920"/>
    </row>
    <row r="8" spans="1:18" s="685" customFormat="1" ht="28.5" customHeight="1" x14ac:dyDescent="0.25">
      <c r="A8" s="1077" t="s">
        <v>327</v>
      </c>
      <c r="B8" s="1079"/>
      <c r="C8" s="736">
        <f t="shared" ref="C8:H8" si="1">SUM(C9:C15)</f>
        <v>0</v>
      </c>
      <c r="D8" s="736">
        <f t="shared" si="1"/>
        <v>0</v>
      </c>
      <c r="E8" s="736">
        <f t="shared" si="1"/>
        <v>0</v>
      </c>
      <c r="F8" s="736">
        <f t="shared" si="1"/>
        <v>0</v>
      </c>
      <c r="G8" s="736">
        <f t="shared" si="1"/>
        <v>0</v>
      </c>
      <c r="H8" s="736">
        <f t="shared" si="1"/>
        <v>0</v>
      </c>
      <c r="K8" s="747"/>
    </row>
    <row r="9" spans="1:18" s="48" customFormat="1" ht="38.25" customHeight="1" x14ac:dyDescent="0.25">
      <c r="A9" s="1101" t="s">
        <v>215</v>
      </c>
      <c r="B9" s="1102"/>
      <c r="C9" s="737">
        <v>0</v>
      </c>
      <c r="D9" s="737">
        <v>0</v>
      </c>
      <c r="E9" s="737">
        <v>0</v>
      </c>
      <c r="F9" s="737">
        <v>0</v>
      </c>
      <c r="G9" s="737">
        <v>0</v>
      </c>
      <c r="H9" s="737">
        <v>0</v>
      </c>
      <c r="K9" s="50"/>
    </row>
    <row r="10" spans="1:18" s="48" customFormat="1" ht="41.25" customHeight="1" x14ac:dyDescent="0.25">
      <c r="A10" s="1101" t="s">
        <v>216</v>
      </c>
      <c r="B10" s="1102"/>
      <c r="C10" s="737">
        <v>0</v>
      </c>
      <c r="D10" s="737">
        <v>0</v>
      </c>
      <c r="E10" s="737">
        <v>0</v>
      </c>
      <c r="F10" s="737">
        <v>0</v>
      </c>
      <c r="G10" s="737">
        <v>0</v>
      </c>
      <c r="H10" s="737">
        <v>0</v>
      </c>
      <c r="K10" s="50"/>
    </row>
    <row r="11" spans="1:18" s="48" customFormat="1" ht="37.5" customHeight="1" x14ac:dyDescent="0.25">
      <c r="A11" s="1101" t="s">
        <v>218</v>
      </c>
      <c r="B11" s="1102"/>
      <c r="C11" s="737">
        <v>0</v>
      </c>
      <c r="D11" s="737">
        <v>0</v>
      </c>
      <c r="E11" s="737">
        <v>0</v>
      </c>
      <c r="F11" s="737">
        <v>0</v>
      </c>
      <c r="G11" s="737">
        <v>0</v>
      </c>
      <c r="H11" s="737">
        <v>0</v>
      </c>
      <c r="K11" s="50"/>
    </row>
    <row r="12" spans="1:18" s="48" customFormat="1" ht="48" customHeight="1" x14ac:dyDescent="0.25">
      <c r="A12" s="1101" t="s">
        <v>219</v>
      </c>
      <c r="B12" s="1102"/>
      <c r="C12" s="737">
        <v>0</v>
      </c>
      <c r="D12" s="737">
        <v>0</v>
      </c>
      <c r="E12" s="737">
        <v>0</v>
      </c>
      <c r="F12" s="737">
        <v>0</v>
      </c>
      <c r="G12" s="737">
        <v>0</v>
      </c>
      <c r="H12" s="737">
        <v>0</v>
      </c>
      <c r="K12" s="50"/>
    </row>
    <row r="13" spans="1:18" s="48" customFormat="1" ht="34.5" customHeight="1" x14ac:dyDescent="0.25">
      <c r="A13" s="1101" t="s">
        <v>220</v>
      </c>
      <c r="B13" s="1102"/>
      <c r="C13" s="737">
        <v>0</v>
      </c>
      <c r="D13" s="737">
        <v>0</v>
      </c>
      <c r="E13" s="737">
        <v>0</v>
      </c>
      <c r="F13" s="737">
        <v>0</v>
      </c>
      <c r="G13" s="737">
        <v>0</v>
      </c>
      <c r="H13" s="737">
        <v>0</v>
      </c>
      <c r="K13" s="50"/>
    </row>
    <row r="14" spans="1:18" s="48" customFormat="1" ht="49.5" customHeight="1" x14ac:dyDescent="0.25">
      <c r="A14" s="1101" t="s">
        <v>221</v>
      </c>
      <c r="B14" s="1102"/>
      <c r="C14" s="737">
        <v>0</v>
      </c>
      <c r="D14" s="737">
        <v>0</v>
      </c>
      <c r="E14" s="737">
        <v>0</v>
      </c>
      <c r="F14" s="737">
        <v>0</v>
      </c>
      <c r="G14" s="737">
        <v>0</v>
      </c>
      <c r="H14" s="737">
        <v>0</v>
      </c>
      <c r="K14" s="50"/>
    </row>
    <row r="15" spans="1:18" s="48" customFormat="1" ht="46.5" customHeight="1" x14ac:dyDescent="0.25">
      <c r="A15" s="1101" t="s">
        <v>222</v>
      </c>
      <c r="B15" s="1102"/>
      <c r="C15" s="737">
        <v>0</v>
      </c>
      <c r="D15" s="737">
        <v>0</v>
      </c>
      <c r="E15" s="737">
        <v>0</v>
      </c>
      <c r="F15" s="737">
        <v>0</v>
      </c>
      <c r="G15" s="737">
        <v>0</v>
      </c>
      <c r="H15" s="737">
        <v>0</v>
      </c>
      <c r="K15" s="50"/>
    </row>
    <row r="16" spans="1:18" s="685" customFormat="1" ht="30" customHeight="1" x14ac:dyDescent="0.25">
      <c r="A16" s="1077" t="s">
        <v>348</v>
      </c>
      <c r="B16" s="1079"/>
      <c r="C16" s="736">
        <f t="shared" ref="C16:H16" si="2">SUM(C17:C23)</f>
        <v>0</v>
      </c>
      <c r="D16" s="736">
        <f t="shared" si="2"/>
        <v>0</v>
      </c>
      <c r="E16" s="736">
        <f t="shared" si="2"/>
        <v>0</v>
      </c>
      <c r="F16" s="736">
        <f t="shared" si="2"/>
        <v>0</v>
      </c>
      <c r="G16" s="736">
        <f t="shared" si="2"/>
        <v>0</v>
      </c>
      <c r="H16" s="736">
        <f t="shared" si="2"/>
        <v>0</v>
      </c>
      <c r="K16" s="747"/>
    </row>
    <row r="17" spans="1:11" s="48" customFormat="1" ht="38.25" customHeight="1" x14ac:dyDescent="0.25">
      <c r="A17" s="1101" t="s">
        <v>215</v>
      </c>
      <c r="B17" s="1102"/>
      <c r="C17" s="737">
        <v>0</v>
      </c>
      <c r="D17" s="737">
        <v>0</v>
      </c>
      <c r="E17" s="737">
        <v>0</v>
      </c>
      <c r="F17" s="737">
        <v>0</v>
      </c>
      <c r="G17" s="737">
        <v>0</v>
      </c>
      <c r="H17" s="737">
        <v>0</v>
      </c>
      <c r="K17" s="50"/>
    </row>
    <row r="18" spans="1:11" s="48" customFormat="1" ht="41.25" customHeight="1" x14ac:dyDescent="0.25">
      <c r="A18" s="1101" t="s">
        <v>216</v>
      </c>
      <c r="B18" s="1102"/>
      <c r="C18" s="737">
        <v>0</v>
      </c>
      <c r="D18" s="737">
        <v>0</v>
      </c>
      <c r="E18" s="737">
        <v>0</v>
      </c>
      <c r="F18" s="737">
        <v>0</v>
      </c>
      <c r="G18" s="737">
        <v>0</v>
      </c>
      <c r="H18" s="737">
        <v>0</v>
      </c>
      <c r="K18" s="50"/>
    </row>
    <row r="19" spans="1:11" s="48" customFormat="1" ht="37.5" customHeight="1" x14ac:dyDescent="0.25">
      <c r="A19" s="1101" t="s">
        <v>218</v>
      </c>
      <c r="B19" s="1102"/>
      <c r="C19" s="737">
        <v>0</v>
      </c>
      <c r="D19" s="737">
        <v>0</v>
      </c>
      <c r="E19" s="737">
        <v>0</v>
      </c>
      <c r="F19" s="737">
        <v>0</v>
      </c>
      <c r="G19" s="737">
        <v>0</v>
      </c>
      <c r="H19" s="737">
        <v>0</v>
      </c>
      <c r="K19" s="50"/>
    </row>
    <row r="20" spans="1:11" s="48" customFormat="1" ht="48" customHeight="1" x14ac:dyDescent="0.25">
      <c r="A20" s="1101" t="s">
        <v>219</v>
      </c>
      <c r="B20" s="1102"/>
      <c r="C20" s="737">
        <v>0</v>
      </c>
      <c r="D20" s="737">
        <v>0</v>
      </c>
      <c r="E20" s="737">
        <v>0</v>
      </c>
      <c r="F20" s="737">
        <v>0</v>
      </c>
      <c r="G20" s="737">
        <v>0</v>
      </c>
      <c r="H20" s="737">
        <v>0</v>
      </c>
      <c r="K20" s="50"/>
    </row>
    <row r="21" spans="1:11" s="48" customFormat="1" ht="34.5" customHeight="1" x14ac:dyDescent="0.25">
      <c r="A21" s="1101" t="s">
        <v>220</v>
      </c>
      <c r="B21" s="1102"/>
      <c r="C21" s="737">
        <v>0</v>
      </c>
      <c r="D21" s="737">
        <v>0</v>
      </c>
      <c r="E21" s="737">
        <v>0</v>
      </c>
      <c r="F21" s="737">
        <v>0</v>
      </c>
      <c r="G21" s="737">
        <v>0</v>
      </c>
      <c r="H21" s="737">
        <v>0</v>
      </c>
      <c r="K21" s="50"/>
    </row>
    <row r="22" spans="1:11" s="48" customFormat="1" ht="49.5" customHeight="1" x14ac:dyDescent="0.25">
      <c r="A22" s="1101" t="s">
        <v>221</v>
      </c>
      <c r="B22" s="1102"/>
      <c r="C22" s="737">
        <v>0</v>
      </c>
      <c r="D22" s="737">
        <v>0</v>
      </c>
      <c r="E22" s="737">
        <v>0</v>
      </c>
      <c r="F22" s="737">
        <v>0</v>
      </c>
      <c r="G22" s="737">
        <v>0</v>
      </c>
      <c r="H22" s="737">
        <v>0</v>
      </c>
      <c r="K22" s="50"/>
    </row>
    <row r="23" spans="1:11" s="48" customFormat="1" ht="46.5" customHeight="1" x14ac:dyDescent="0.25">
      <c r="A23" s="1101" t="s">
        <v>222</v>
      </c>
      <c r="B23" s="1102"/>
      <c r="C23" s="737">
        <v>0</v>
      </c>
      <c r="D23" s="737">
        <v>0</v>
      </c>
      <c r="E23" s="737">
        <v>0</v>
      </c>
      <c r="F23" s="737">
        <v>0</v>
      </c>
      <c r="G23" s="737">
        <v>0</v>
      </c>
      <c r="H23" s="737">
        <v>0</v>
      </c>
      <c r="K23" s="50"/>
    </row>
    <row r="24" spans="1:11" s="735" customFormat="1" ht="27.75" customHeight="1" x14ac:dyDescent="0.25">
      <c r="A24" s="1089" t="s">
        <v>332</v>
      </c>
      <c r="B24" s="1091"/>
      <c r="C24" s="736">
        <f t="shared" ref="C24:H24" si="3">SUM(C25:C31)</f>
        <v>0</v>
      </c>
      <c r="D24" s="736">
        <f t="shared" si="3"/>
        <v>0</v>
      </c>
      <c r="E24" s="736">
        <f t="shared" si="3"/>
        <v>0</v>
      </c>
      <c r="F24" s="736">
        <f t="shared" si="3"/>
        <v>0</v>
      </c>
      <c r="G24" s="736">
        <f t="shared" si="3"/>
        <v>0</v>
      </c>
      <c r="H24" s="736">
        <f t="shared" si="3"/>
        <v>0</v>
      </c>
    </row>
    <row r="25" spans="1:11" s="51" customFormat="1" ht="38.25" customHeight="1" x14ac:dyDescent="0.25">
      <c r="A25" s="1101" t="s">
        <v>215</v>
      </c>
      <c r="B25" s="1102"/>
      <c r="C25" s="738">
        <f t="shared" ref="C25:H25" si="4">+C9-C17</f>
        <v>0</v>
      </c>
      <c r="D25" s="738">
        <f t="shared" si="4"/>
        <v>0</v>
      </c>
      <c r="E25" s="738">
        <f t="shared" si="4"/>
        <v>0</v>
      </c>
      <c r="F25" s="738">
        <f t="shared" si="4"/>
        <v>0</v>
      </c>
      <c r="G25" s="738">
        <f t="shared" si="4"/>
        <v>0</v>
      </c>
      <c r="H25" s="738">
        <f t="shared" si="4"/>
        <v>0</v>
      </c>
      <c r="K25" s="178"/>
    </row>
    <row r="26" spans="1:11" s="51" customFormat="1" ht="41.25" customHeight="1" x14ac:dyDescent="0.25">
      <c r="A26" s="1101" t="s">
        <v>216</v>
      </c>
      <c r="B26" s="1102"/>
      <c r="C26" s="738">
        <f t="shared" ref="C26:C31" si="5">+C10-C18</f>
        <v>0</v>
      </c>
      <c r="D26" s="738">
        <f t="shared" ref="D26:H31" si="6">+D10-D18</f>
        <v>0</v>
      </c>
      <c r="E26" s="738">
        <f t="shared" si="6"/>
        <v>0</v>
      </c>
      <c r="F26" s="738">
        <f t="shared" si="6"/>
        <v>0</v>
      </c>
      <c r="G26" s="738">
        <f t="shared" si="6"/>
        <v>0</v>
      </c>
      <c r="H26" s="738">
        <f t="shared" si="6"/>
        <v>0</v>
      </c>
      <c r="K26" s="178"/>
    </row>
    <row r="27" spans="1:11" s="51" customFormat="1" ht="37.5" customHeight="1" x14ac:dyDescent="0.25">
      <c r="A27" s="1101" t="s">
        <v>218</v>
      </c>
      <c r="B27" s="1102"/>
      <c r="C27" s="738">
        <f t="shared" si="5"/>
        <v>0</v>
      </c>
      <c r="D27" s="738">
        <f t="shared" si="6"/>
        <v>0</v>
      </c>
      <c r="E27" s="738">
        <f t="shared" si="6"/>
        <v>0</v>
      </c>
      <c r="F27" s="738">
        <f t="shared" si="6"/>
        <v>0</v>
      </c>
      <c r="G27" s="738">
        <f t="shared" si="6"/>
        <v>0</v>
      </c>
      <c r="H27" s="738">
        <f t="shared" si="6"/>
        <v>0</v>
      </c>
      <c r="K27" s="178"/>
    </row>
    <row r="28" spans="1:11" s="51" customFormat="1" ht="48" customHeight="1" x14ac:dyDescent="0.25">
      <c r="A28" s="1101" t="s">
        <v>219</v>
      </c>
      <c r="B28" s="1102"/>
      <c r="C28" s="738">
        <f t="shared" si="5"/>
        <v>0</v>
      </c>
      <c r="D28" s="738">
        <f t="shared" si="6"/>
        <v>0</v>
      </c>
      <c r="E28" s="738">
        <f t="shared" si="6"/>
        <v>0</v>
      </c>
      <c r="F28" s="738">
        <f t="shared" si="6"/>
        <v>0</v>
      </c>
      <c r="G28" s="738">
        <f t="shared" si="6"/>
        <v>0</v>
      </c>
      <c r="H28" s="738">
        <f t="shared" si="6"/>
        <v>0</v>
      </c>
      <c r="K28" s="178"/>
    </row>
    <row r="29" spans="1:11" s="51" customFormat="1" ht="34.5" customHeight="1" x14ac:dyDescent="0.25">
      <c r="A29" s="1101" t="s">
        <v>220</v>
      </c>
      <c r="B29" s="1102"/>
      <c r="C29" s="738">
        <f t="shared" si="5"/>
        <v>0</v>
      </c>
      <c r="D29" s="738">
        <f t="shared" si="6"/>
        <v>0</v>
      </c>
      <c r="E29" s="738">
        <f t="shared" si="6"/>
        <v>0</v>
      </c>
      <c r="F29" s="738">
        <f t="shared" si="6"/>
        <v>0</v>
      </c>
      <c r="G29" s="738">
        <f t="shared" si="6"/>
        <v>0</v>
      </c>
      <c r="H29" s="738">
        <f t="shared" si="6"/>
        <v>0</v>
      </c>
      <c r="K29" s="178"/>
    </row>
    <row r="30" spans="1:11" s="51" customFormat="1" ht="49.5" customHeight="1" x14ac:dyDescent="0.25">
      <c r="A30" s="1101" t="s">
        <v>221</v>
      </c>
      <c r="B30" s="1102"/>
      <c r="C30" s="738">
        <f t="shared" si="5"/>
        <v>0</v>
      </c>
      <c r="D30" s="738">
        <f t="shared" si="6"/>
        <v>0</v>
      </c>
      <c r="E30" s="738">
        <f t="shared" si="6"/>
        <v>0</v>
      </c>
      <c r="F30" s="738">
        <f t="shared" si="6"/>
        <v>0</v>
      </c>
      <c r="G30" s="738">
        <f t="shared" si="6"/>
        <v>0</v>
      </c>
      <c r="H30" s="738">
        <f t="shared" si="6"/>
        <v>0</v>
      </c>
      <c r="K30" s="178"/>
    </row>
    <row r="31" spans="1:11" s="51" customFormat="1" ht="46.5" customHeight="1" x14ac:dyDescent="0.25">
      <c r="A31" s="1101" t="s">
        <v>222</v>
      </c>
      <c r="B31" s="1102"/>
      <c r="C31" s="738">
        <f t="shared" si="5"/>
        <v>0</v>
      </c>
      <c r="D31" s="738">
        <f t="shared" si="6"/>
        <v>0</v>
      </c>
      <c r="E31" s="738">
        <f t="shared" si="6"/>
        <v>0</v>
      </c>
      <c r="F31" s="738">
        <f t="shared" si="6"/>
        <v>0</v>
      </c>
      <c r="G31" s="738">
        <f t="shared" si="6"/>
        <v>0</v>
      </c>
      <c r="H31" s="738">
        <f t="shared" si="6"/>
        <v>0</v>
      </c>
      <c r="K31" s="178"/>
    </row>
    <row r="32" spans="1:11" s="48" customFormat="1" ht="13" x14ac:dyDescent="0.3">
      <c r="A32" s="51"/>
      <c r="C32" s="194" t="s">
        <v>257</v>
      </c>
      <c r="K32" s="50"/>
    </row>
    <row r="33" spans="1:29" s="48" customFormat="1" ht="13" x14ac:dyDescent="0.3">
      <c r="A33" s="51"/>
      <c r="C33" s="196" t="s">
        <v>258</v>
      </c>
      <c r="K33" s="50"/>
    </row>
    <row r="34" spans="1:29" s="48" customFormat="1" ht="13" x14ac:dyDescent="0.25">
      <c r="A34" s="51"/>
      <c r="C34" s="50"/>
      <c r="K34" s="50"/>
    </row>
    <row r="35" spans="1:29" ht="14.25" customHeight="1" thickBot="1" x14ac:dyDescent="0.45">
      <c r="A35" s="233"/>
      <c r="B35" s="234"/>
      <c r="C35" s="234"/>
      <c r="D35" s="234"/>
      <c r="E35" s="234"/>
      <c r="F35" s="234"/>
      <c r="G35" s="234"/>
      <c r="H35" s="234"/>
      <c r="I35" s="234"/>
      <c r="J35" s="234"/>
      <c r="K35" s="189"/>
      <c r="L35" s="189"/>
    </row>
    <row r="36" spans="1:29" s="190" customFormat="1" ht="16" thickBot="1" x14ac:dyDescent="0.4">
      <c r="A36" s="1095" t="s">
        <v>66</v>
      </c>
      <c r="B36" s="1096"/>
      <c r="C36" s="1096"/>
      <c r="D36" s="1096"/>
      <c r="E36" s="1096"/>
      <c r="F36" s="1096"/>
      <c r="G36" s="1096"/>
      <c r="H36" s="1096"/>
      <c r="I36" s="1096"/>
      <c r="J36" s="1097"/>
      <c r="K36" s="189"/>
      <c r="L36" s="189"/>
      <c r="M36" s="187"/>
      <c r="N36" s="187"/>
      <c r="O36" s="187"/>
      <c r="P36" s="187"/>
      <c r="Q36" s="187"/>
      <c r="R36" s="187"/>
      <c r="S36" s="187"/>
      <c r="T36" s="187"/>
      <c r="U36" s="187"/>
      <c r="V36" s="187"/>
      <c r="W36" s="187"/>
      <c r="X36" s="187"/>
      <c r="Y36" s="187"/>
      <c r="Z36" s="187"/>
      <c r="AA36" s="187"/>
      <c r="AB36" s="187"/>
      <c r="AC36" s="187"/>
    </row>
    <row r="37" spans="1:29" ht="13" thickBot="1" x14ac:dyDescent="0.3"/>
    <row r="38" spans="1:29" s="190" customFormat="1" ht="17" thickBot="1" x14ac:dyDescent="0.4">
      <c r="A38" s="187"/>
      <c r="B38" s="187"/>
      <c r="C38" s="1043" t="s">
        <v>43</v>
      </c>
      <c r="D38" s="1044"/>
      <c r="E38" s="1044"/>
      <c r="F38" s="1044"/>
      <c r="G38" s="1044"/>
      <c r="H38" s="1044"/>
      <c r="I38" s="187"/>
      <c r="J38" s="187"/>
      <c r="K38" s="187"/>
      <c r="L38" s="187"/>
      <c r="M38" s="187"/>
      <c r="N38" s="187"/>
      <c r="O38" s="187"/>
      <c r="P38" s="187"/>
      <c r="Q38" s="187"/>
      <c r="R38" s="187"/>
      <c r="S38" s="187"/>
      <c r="T38" s="187"/>
      <c r="U38" s="187"/>
      <c r="V38" s="187"/>
      <c r="W38" s="187"/>
      <c r="X38" s="187"/>
      <c r="Y38" s="187"/>
      <c r="Z38" s="187"/>
      <c r="AA38" s="187"/>
      <c r="AB38" s="187"/>
      <c r="AC38" s="187"/>
    </row>
    <row r="39" spans="1:29" s="190" customFormat="1" ht="13.5" thickBot="1" x14ac:dyDescent="0.35">
      <c r="A39" s="187"/>
      <c r="B39" s="187"/>
      <c r="C39" s="191">
        <f t="shared" ref="C39:H39" si="7">+C7</f>
        <v>2015</v>
      </c>
      <c r="D39" s="192">
        <f t="shared" si="7"/>
        <v>2016</v>
      </c>
      <c r="E39" s="192">
        <f t="shared" si="7"/>
        <v>2017</v>
      </c>
      <c r="F39" s="192">
        <f t="shared" si="7"/>
        <v>2018</v>
      </c>
      <c r="G39" s="192">
        <f t="shared" si="7"/>
        <v>2019</v>
      </c>
      <c r="H39" s="192">
        <f t="shared" si="7"/>
        <v>2020</v>
      </c>
      <c r="I39" s="187"/>
      <c r="J39" s="187"/>
      <c r="K39" s="187"/>
      <c r="L39" s="187"/>
      <c r="M39" s="187"/>
      <c r="N39" s="187"/>
      <c r="O39" s="187"/>
      <c r="P39" s="187"/>
      <c r="Q39" s="187"/>
      <c r="R39" s="187"/>
      <c r="S39" s="187"/>
      <c r="T39" s="187"/>
      <c r="U39" s="187"/>
      <c r="V39" s="187"/>
      <c r="W39" s="187"/>
      <c r="X39" s="187"/>
      <c r="Y39" s="187"/>
      <c r="Z39" s="187"/>
      <c r="AA39" s="187"/>
      <c r="AB39" s="187"/>
      <c r="AC39" s="187"/>
    </row>
    <row r="40" spans="1:29" s="190" customFormat="1" x14ac:dyDescent="0.25">
      <c r="A40" s="187"/>
      <c r="B40" s="187"/>
      <c r="C40" s="467">
        <v>0</v>
      </c>
      <c r="D40" s="467">
        <v>0</v>
      </c>
      <c r="E40" s="467">
        <v>0</v>
      </c>
      <c r="F40" s="467">
        <v>0</v>
      </c>
      <c r="G40" s="467">
        <v>0</v>
      </c>
      <c r="H40" s="467">
        <v>0</v>
      </c>
      <c r="I40" s="187"/>
      <c r="J40" s="187"/>
      <c r="K40" s="187"/>
      <c r="L40" s="187"/>
      <c r="M40" s="187"/>
      <c r="N40" s="187"/>
      <c r="O40" s="187"/>
      <c r="P40" s="187"/>
      <c r="Q40" s="187"/>
      <c r="R40" s="187"/>
      <c r="S40" s="187"/>
      <c r="T40" s="187"/>
      <c r="U40" s="187"/>
      <c r="V40" s="187"/>
      <c r="W40" s="187"/>
      <c r="X40" s="187"/>
      <c r="Y40" s="187"/>
      <c r="Z40" s="187"/>
      <c r="AA40" s="187"/>
      <c r="AB40" s="187"/>
      <c r="AC40" s="187"/>
    </row>
    <row r="41" spans="1:29" ht="13" x14ac:dyDescent="0.3">
      <c r="C41" s="194" t="s">
        <v>343</v>
      </c>
      <c r="F41" s="195"/>
      <c r="G41" s="195"/>
      <c r="H41" s="195"/>
    </row>
    <row r="42" spans="1:29" ht="13" x14ac:dyDescent="0.3">
      <c r="C42" s="196" t="s">
        <v>258</v>
      </c>
    </row>
    <row r="43" spans="1:29" ht="13" x14ac:dyDescent="0.3">
      <c r="C43" s="197"/>
    </row>
    <row r="44" spans="1:29" ht="13.5" thickBot="1" x14ac:dyDescent="0.35">
      <c r="C44" s="197"/>
    </row>
    <row r="45" spans="1:29" ht="16" thickBot="1" x14ac:dyDescent="0.4">
      <c r="A45" s="1105" t="s">
        <v>29</v>
      </c>
      <c r="B45" s="1106"/>
      <c r="C45" s="1106"/>
      <c r="D45" s="1106"/>
      <c r="E45" s="1106"/>
      <c r="F45" s="1106"/>
      <c r="G45" s="1106"/>
      <c r="H45" s="1106"/>
      <c r="I45" s="1106"/>
      <c r="J45" s="1107"/>
      <c r="K45" s="1050"/>
      <c r="L45" s="1050"/>
    </row>
    <row r="47" spans="1:29" ht="13" x14ac:dyDescent="0.3">
      <c r="C47" s="194" t="s">
        <v>343</v>
      </c>
    </row>
    <row r="48" spans="1:29" ht="13" x14ac:dyDescent="0.3">
      <c r="C48" s="196" t="s">
        <v>258</v>
      </c>
    </row>
    <row r="49" spans="1:29" ht="16.5" x14ac:dyDescent="0.35">
      <c r="C49" s="1023" t="s">
        <v>30</v>
      </c>
      <c r="D49" s="1024"/>
      <c r="E49" s="1024"/>
      <c r="F49" s="1024"/>
      <c r="G49" s="1024"/>
      <c r="H49" s="1025"/>
      <c r="J49" s="200" t="s">
        <v>31</v>
      </c>
    </row>
    <row r="50" spans="1:29" ht="13.5" thickBot="1" x14ac:dyDescent="0.35">
      <c r="A50" s="1035"/>
      <c r="B50" s="1035"/>
      <c r="C50" s="201">
        <f t="shared" ref="C50:H50" si="8">C39</f>
        <v>2015</v>
      </c>
      <c r="D50" s="202">
        <f t="shared" si="8"/>
        <v>2016</v>
      </c>
      <c r="E50" s="202">
        <f t="shared" si="8"/>
        <v>2017</v>
      </c>
      <c r="F50" s="202">
        <f t="shared" si="8"/>
        <v>2018</v>
      </c>
      <c r="G50" s="202">
        <f t="shared" si="8"/>
        <v>2019</v>
      </c>
      <c r="H50" s="202">
        <f t="shared" si="8"/>
        <v>2020</v>
      </c>
      <c r="J50" s="203"/>
    </row>
    <row r="51" spans="1:29" s="190" customFormat="1" ht="13" thickBot="1" x14ac:dyDescent="0.3">
      <c r="A51" s="1026" t="s">
        <v>32</v>
      </c>
      <c r="B51" s="204">
        <f>C39</f>
        <v>2015</v>
      </c>
      <c r="C51" s="669">
        <v>0</v>
      </c>
      <c r="D51" s="205"/>
      <c r="E51" s="205"/>
      <c r="F51" s="205"/>
      <c r="G51" s="205"/>
      <c r="H51" s="206"/>
      <c r="I51" s="207"/>
      <c r="J51" s="208">
        <f t="shared" ref="J51:J56" si="9">SUM(C51:H51)</f>
        <v>0</v>
      </c>
      <c r="K51" s="187"/>
      <c r="L51" s="187"/>
      <c r="M51" s="187"/>
      <c r="N51" s="187"/>
      <c r="O51" s="187"/>
      <c r="P51" s="187"/>
      <c r="Q51" s="187"/>
      <c r="R51" s="187"/>
      <c r="S51" s="187"/>
      <c r="T51" s="187"/>
      <c r="U51" s="187"/>
      <c r="V51" s="187"/>
      <c r="W51" s="187"/>
      <c r="X51" s="187"/>
      <c r="Y51" s="187"/>
      <c r="Z51" s="187"/>
      <c r="AA51" s="187"/>
      <c r="AB51" s="187"/>
      <c r="AC51" s="187"/>
    </row>
    <row r="52" spans="1:29" s="190" customFormat="1" ht="13" thickBot="1" x14ac:dyDescent="0.3">
      <c r="A52" s="1108"/>
      <c r="B52" s="209">
        <f>D39</f>
        <v>2016</v>
      </c>
      <c r="C52" s="468">
        <f>+C40-C51</f>
        <v>0</v>
      </c>
      <c r="D52" s="669">
        <v>0</v>
      </c>
      <c r="E52" s="210"/>
      <c r="F52" s="210"/>
      <c r="G52" s="210"/>
      <c r="H52" s="211"/>
      <c r="I52" s="207"/>
      <c r="J52" s="208">
        <f t="shared" si="9"/>
        <v>0</v>
      </c>
      <c r="K52" s="187"/>
      <c r="L52" s="187"/>
      <c r="M52" s="187"/>
      <c r="N52" s="187"/>
      <c r="O52" s="187"/>
      <c r="P52" s="187"/>
      <c r="Q52" s="187"/>
      <c r="R52" s="187"/>
      <c r="S52" s="187"/>
      <c r="T52" s="187"/>
      <c r="U52" s="187"/>
      <c r="V52" s="187"/>
      <c r="W52" s="187"/>
      <c r="X52" s="187"/>
      <c r="Y52" s="187"/>
      <c r="Z52" s="187"/>
      <c r="AA52" s="187"/>
      <c r="AB52" s="187"/>
      <c r="AC52" s="187"/>
    </row>
    <row r="53" spans="1:29" s="190" customFormat="1" ht="13" thickBot="1" x14ac:dyDescent="0.3">
      <c r="A53" s="1108"/>
      <c r="B53" s="209">
        <f>E39</f>
        <v>2017</v>
      </c>
      <c r="C53" s="210"/>
      <c r="D53" s="468">
        <f>+D40-D52</f>
        <v>0</v>
      </c>
      <c r="E53" s="669">
        <v>0</v>
      </c>
      <c r="F53" s="210"/>
      <c r="G53" s="210"/>
      <c r="H53" s="211"/>
      <c r="I53" s="207"/>
      <c r="J53" s="208">
        <f t="shared" si="9"/>
        <v>0</v>
      </c>
      <c r="K53" s="187"/>
      <c r="L53" s="187"/>
      <c r="M53" s="187"/>
      <c r="N53" s="187"/>
      <c r="O53" s="187"/>
      <c r="P53" s="187"/>
      <c r="Q53" s="187"/>
      <c r="R53" s="187"/>
      <c r="S53" s="187"/>
      <c r="T53" s="187"/>
      <c r="U53" s="187"/>
      <c r="V53" s="187"/>
      <c r="W53" s="187"/>
      <c r="X53" s="187"/>
      <c r="Y53" s="187"/>
      <c r="Z53" s="187"/>
      <c r="AA53" s="187"/>
      <c r="AB53" s="187"/>
      <c r="AC53" s="187"/>
    </row>
    <row r="54" spans="1:29" s="190" customFormat="1" ht="13" thickBot="1" x14ac:dyDescent="0.3">
      <c r="A54" s="1108"/>
      <c r="B54" s="209">
        <f>F39</f>
        <v>2018</v>
      </c>
      <c r="C54" s="210"/>
      <c r="D54" s="210"/>
      <c r="E54" s="468">
        <f>+E40-E53</f>
        <v>0</v>
      </c>
      <c r="F54" s="669">
        <v>0</v>
      </c>
      <c r="G54" s="210"/>
      <c r="H54" s="211"/>
      <c r="I54" s="207"/>
      <c r="J54" s="208">
        <f t="shared" si="9"/>
        <v>0</v>
      </c>
      <c r="K54" s="187"/>
      <c r="L54" s="187"/>
      <c r="M54" s="187"/>
      <c r="N54" s="187"/>
      <c r="O54" s="187"/>
      <c r="P54" s="187"/>
      <c r="Q54" s="187"/>
      <c r="R54" s="187"/>
      <c r="S54" s="187"/>
      <c r="T54" s="187"/>
      <c r="U54" s="187"/>
      <c r="V54" s="187"/>
      <c r="W54" s="187"/>
      <c r="X54" s="187"/>
      <c r="Y54" s="187"/>
      <c r="Z54" s="187"/>
      <c r="AA54" s="187"/>
      <c r="AB54" s="187"/>
      <c r="AC54" s="187"/>
    </row>
    <row r="55" spans="1:29" s="190" customFormat="1" ht="13" thickBot="1" x14ac:dyDescent="0.3">
      <c r="A55" s="1108"/>
      <c r="B55" s="209">
        <f>G39</f>
        <v>2019</v>
      </c>
      <c r="C55" s="210"/>
      <c r="D55" s="210"/>
      <c r="E55" s="210"/>
      <c r="F55" s="468">
        <f>+F40-F54</f>
        <v>0</v>
      </c>
      <c r="G55" s="669">
        <v>0</v>
      </c>
      <c r="H55" s="211"/>
      <c r="I55" s="207"/>
      <c r="J55" s="208">
        <f t="shared" si="9"/>
        <v>0</v>
      </c>
      <c r="K55" s="187"/>
      <c r="L55" s="187"/>
      <c r="M55" s="187"/>
      <c r="N55" s="187"/>
      <c r="O55" s="187"/>
      <c r="P55" s="187"/>
      <c r="Q55" s="187"/>
      <c r="R55" s="187"/>
      <c r="S55" s="187"/>
      <c r="T55" s="187"/>
      <c r="U55" s="187"/>
      <c r="V55" s="187"/>
      <c r="W55" s="187"/>
      <c r="X55" s="187"/>
      <c r="Y55" s="187"/>
      <c r="Z55" s="187"/>
      <c r="AA55" s="187"/>
      <c r="AB55" s="187"/>
      <c r="AC55" s="187"/>
    </row>
    <row r="56" spans="1:29" s="190" customFormat="1" ht="13" thickBot="1" x14ac:dyDescent="0.3">
      <c r="A56" s="1108"/>
      <c r="B56" s="209">
        <f>H39</f>
        <v>2020</v>
      </c>
      <c r="C56" s="210"/>
      <c r="D56" s="210"/>
      <c r="E56" s="210"/>
      <c r="F56" s="210"/>
      <c r="G56" s="468">
        <f>+G40-G55</f>
        <v>0</v>
      </c>
      <c r="H56" s="669">
        <v>0</v>
      </c>
      <c r="I56" s="207"/>
      <c r="J56" s="208">
        <f t="shared" si="9"/>
        <v>0</v>
      </c>
      <c r="K56" s="187"/>
      <c r="L56" s="187"/>
      <c r="M56" s="187"/>
      <c r="N56" s="187"/>
      <c r="O56" s="187"/>
      <c r="P56" s="187"/>
      <c r="Q56" s="187"/>
      <c r="R56" s="187"/>
      <c r="S56" s="187"/>
      <c r="T56" s="187"/>
      <c r="U56" s="187"/>
      <c r="V56" s="187"/>
      <c r="W56" s="187"/>
      <c r="X56" s="187"/>
      <c r="Y56" s="187"/>
      <c r="Z56" s="187"/>
      <c r="AA56" s="187"/>
      <c r="AB56" s="187"/>
      <c r="AC56" s="187"/>
    </row>
    <row r="57" spans="1:29" s="199" customFormat="1" ht="15.5" x14ac:dyDescent="0.35">
      <c r="A57" s="1109"/>
      <c r="B57" s="212" t="s">
        <v>33</v>
      </c>
      <c r="C57" s="213">
        <f t="shared" ref="C57:H57" si="10">SUM(C51:C56)</f>
        <v>0</v>
      </c>
      <c r="D57" s="213">
        <f t="shared" si="10"/>
        <v>0</v>
      </c>
      <c r="E57" s="213">
        <f t="shared" si="10"/>
        <v>0</v>
      </c>
      <c r="F57" s="213">
        <f t="shared" si="10"/>
        <v>0</v>
      </c>
      <c r="G57" s="213">
        <f t="shared" si="10"/>
        <v>0</v>
      </c>
      <c r="H57" s="214">
        <f t="shared" si="10"/>
        <v>0</v>
      </c>
      <c r="I57" s="215"/>
      <c r="J57" s="216">
        <f>SUM(J51:J56)</f>
        <v>0</v>
      </c>
      <c r="K57" s="198"/>
      <c r="L57" s="198"/>
      <c r="M57" s="198"/>
      <c r="N57" s="198"/>
      <c r="O57" s="198"/>
      <c r="P57" s="198"/>
      <c r="Q57" s="198"/>
      <c r="R57" s="198"/>
      <c r="S57" s="198"/>
      <c r="T57" s="198"/>
      <c r="U57" s="198"/>
      <c r="V57" s="198"/>
      <c r="W57" s="198"/>
      <c r="X57" s="198"/>
      <c r="Y57" s="198"/>
      <c r="Z57" s="198"/>
      <c r="AA57" s="198"/>
      <c r="AB57" s="198"/>
      <c r="AC57" s="198"/>
    </row>
    <row r="58" spans="1:29" s="196" customFormat="1" ht="13" x14ac:dyDescent="0.3">
      <c r="A58" s="217" t="s">
        <v>58</v>
      </c>
      <c r="C58" s="218">
        <f>+C57+C70</f>
        <v>0</v>
      </c>
      <c r="D58" s="218">
        <f t="shared" ref="D58:J58" si="11">+D57+D70</f>
        <v>0</v>
      </c>
      <c r="E58" s="218">
        <f t="shared" si="11"/>
        <v>0</v>
      </c>
      <c r="F58" s="218">
        <f t="shared" si="11"/>
        <v>0</v>
      </c>
      <c r="G58" s="218">
        <f t="shared" si="11"/>
        <v>0</v>
      </c>
      <c r="H58" s="218">
        <f t="shared" si="11"/>
        <v>0</v>
      </c>
      <c r="I58" s="218"/>
      <c r="J58" s="218">
        <f t="shared" si="11"/>
        <v>0</v>
      </c>
      <c r="K58" s="218"/>
    </row>
    <row r="59" spans="1:29" s="219" customFormat="1" ht="13" x14ac:dyDescent="0.3">
      <c r="A59" s="196"/>
      <c r="B59" s="196"/>
      <c r="C59" s="218"/>
      <c r="D59" s="218"/>
      <c r="E59" s="218"/>
      <c r="F59" s="218"/>
      <c r="G59" s="218"/>
      <c r="H59" s="218"/>
      <c r="I59" s="196"/>
      <c r="J59" s="196"/>
      <c r="K59" s="196"/>
      <c r="L59" s="196"/>
      <c r="M59" s="196"/>
      <c r="N59" s="196"/>
      <c r="O59" s="196"/>
      <c r="P59" s="196"/>
      <c r="Q59" s="196"/>
      <c r="R59" s="196"/>
      <c r="S59" s="196"/>
      <c r="T59" s="196"/>
      <c r="U59" s="196"/>
      <c r="V59" s="196"/>
      <c r="W59" s="196"/>
      <c r="X59" s="196"/>
      <c r="Y59" s="196"/>
      <c r="Z59" s="196"/>
      <c r="AA59" s="196"/>
      <c r="AB59" s="196"/>
      <c r="AC59" s="196"/>
    </row>
    <row r="60" spans="1:29" s="196" customFormat="1" ht="13" x14ac:dyDescent="0.3">
      <c r="C60" s="194" t="s">
        <v>340</v>
      </c>
      <c r="D60" s="218"/>
      <c r="E60" s="218"/>
      <c r="F60" s="218"/>
      <c r="G60" s="218"/>
      <c r="H60" s="218"/>
      <c r="I60" s="218"/>
      <c r="J60" s="218"/>
    </row>
    <row r="61" spans="1:29" ht="13" x14ac:dyDescent="0.3">
      <c r="C61" s="194" t="s">
        <v>341</v>
      </c>
    </row>
    <row r="62" spans="1:29" s="190" customFormat="1" ht="16.5" x14ac:dyDescent="0.35">
      <c r="A62" s="187"/>
      <c r="B62" s="187"/>
      <c r="C62" s="1029" t="s">
        <v>30</v>
      </c>
      <c r="D62" s="1030"/>
      <c r="E62" s="1030"/>
      <c r="F62" s="1030"/>
      <c r="G62" s="1030"/>
      <c r="H62" s="1031"/>
      <c r="I62" s="187"/>
      <c r="J62" s="200" t="s">
        <v>31</v>
      </c>
      <c r="K62" s="187"/>
      <c r="L62" s="200" t="s">
        <v>31</v>
      </c>
      <c r="M62" s="187"/>
      <c r="N62" s="187"/>
      <c r="O62" s="187"/>
      <c r="P62" s="187"/>
      <c r="Q62" s="187"/>
      <c r="R62" s="187"/>
      <c r="S62" s="187"/>
      <c r="T62" s="187"/>
      <c r="U62" s="187"/>
      <c r="V62" s="187"/>
      <c r="W62" s="187"/>
      <c r="X62" s="187"/>
      <c r="Y62" s="187"/>
      <c r="Z62" s="187"/>
      <c r="AA62" s="187"/>
      <c r="AB62" s="187"/>
      <c r="AC62" s="187"/>
    </row>
    <row r="63" spans="1:29" s="190" customFormat="1" x14ac:dyDescent="0.25">
      <c r="A63" s="187"/>
      <c r="B63" s="187"/>
      <c r="C63" s="202">
        <v>2015</v>
      </c>
      <c r="D63" s="202">
        <v>2016</v>
      </c>
      <c r="E63" s="202">
        <v>2017</v>
      </c>
      <c r="F63" s="202">
        <v>2018</v>
      </c>
      <c r="G63" s="202">
        <v>2019</v>
      </c>
      <c r="H63" s="202">
        <v>2020</v>
      </c>
      <c r="I63" s="187"/>
      <c r="J63" s="203" t="s">
        <v>34</v>
      </c>
      <c r="K63" s="187"/>
      <c r="L63" s="203" t="s">
        <v>35</v>
      </c>
      <c r="M63" s="187"/>
      <c r="N63" s="187"/>
      <c r="O63" s="187"/>
      <c r="P63" s="187"/>
      <c r="Q63" s="187"/>
      <c r="R63" s="187"/>
      <c r="S63" s="187"/>
      <c r="T63" s="187"/>
      <c r="U63" s="187"/>
      <c r="V63" s="187"/>
      <c r="W63" s="187"/>
      <c r="X63" s="187"/>
      <c r="Y63" s="187"/>
      <c r="Z63" s="187"/>
      <c r="AA63" s="187"/>
      <c r="AB63" s="187"/>
      <c r="AC63" s="187"/>
    </row>
    <row r="64" spans="1:29" s="190" customFormat="1" ht="12.75" customHeight="1" x14ac:dyDescent="0.3">
      <c r="A64" s="1032" t="s">
        <v>224</v>
      </c>
      <c r="B64" s="220">
        <v>2015</v>
      </c>
      <c r="C64" s="221"/>
      <c r="D64" s="221"/>
      <c r="E64" s="221"/>
      <c r="F64" s="221"/>
      <c r="G64" s="221"/>
      <c r="H64" s="222"/>
      <c r="I64" s="207"/>
      <c r="J64" s="208">
        <f t="shared" ref="J64:J69" si="12">SUM(C64:H64)</f>
        <v>0</v>
      </c>
      <c r="K64" s="207"/>
      <c r="L64" s="223">
        <f t="shared" ref="L64:L69" si="13">SUM(J51,J64)</f>
        <v>0</v>
      </c>
      <c r="M64" s="187"/>
      <c r="N64" s="187"/>
      <c r="O64" s="187"/>
      <c r="P64" s="187"/>
      <c r="Q64" s="187"/>
      <c r="R64" s="187"/>
      <c r="S64" s="187"/>
      <c r="T64" s="187"/>
      <c r="U64" s="187"/>
      <c r="V64" s="187"/>
      <c r="W64" s="187"/>
      <c r="X64" s="187"/>
      <c r="Y64" s="187"/>
      <c r="Z64" s="187"/>
      <c r="AA64" s="187"/>
      <c r="AB64" s="187"/>
      <c r="AC64" s="187"/>
    </row>
    <row r="65" spans="1:29" s="190" customFormat="1" ht="12.75" customHeight="1" x14ac:dyDescent="0.3">
      <c r="A65" s="1033"/>
      <c r="B65" s="220">
        <v>2016</v>
      </c>
      <c r="C65" s="221"/>
      <c r="D65" s="221"/>
      <c r="E65" s="221"/>
      <c r="F65" s="221"/>
      <c r="G65" s="221"/>
      <c r="H65" s="224"/>
      <c r="I65" s="207"/>
      <c r="J65" s="208">
        <f t="shared" si="12"/>
        <v>0</v>
      </c>
      <c r="K65" s="207"/>
      <c r="L65" s="223">
        <f t="shared" si="13"/>
        <v>0</v>
      </c>
      <c r="M65" s="187"/>
      <c r="N65" s="187"/>
      <c r="O65" s="187"/>
      <c r="P65" s="187"/>
      <c r="Q65" s="187"/>
      <c r="R65" s="187"/>
      <c r="S65" s="187"/>
      <c r="T65" s="187"/>
      <c r="U65" s="187"/>
      <c r="V65" s="187"/>
      <c r="W65" s="187"/>
      <c r="X65" s="187"/>
      <c r="Y65" s="187"/>
      <c r="Z65" s="187"/>
      <c r="AA65" s="187"/>
      <c r="AB65" s="187"/>
      <c r="AC65" s="187"/>
    </row>
    <row r="66" spans="1:29" s="190" customFormat="1" ht="12.75" customHeight="1" x14ac:dyDescent="0.3">
      <c r="A66" s="1033" t="s">
        <v>36</v>
      </c>
      <c r="B66" s="220">
        <v>2017</v>
      </c>
      <c r="C66" s="469">
        <v>0</v>
      </c>
      <c r="D66" s="221"/>
      <c r="E66" s="221"/>
      <c r="F66" s="221"/>
      <c r="G66" s="221"/>
      <c r="H66" s="224"/>
      <c r="I66" s="207"/>
      <c r="J66" s="208">
        <f t="shared" si="12"/>
        <v>0</v>
      </c>
      <c r="K66" s="207"/>
      <c r="L66" s="223">
        <f t="shared" si="13"/>
        <v>0</v>
      </c>
      <c r="M66" s="187"/>
      <c r="N66" s="187"/>
      <c r="O66" s="187"/>
      <c r="P66" s="187"/>
      <c r="Q66" s="187"/>
      <c r="R66" s="187"/>
      <c r="S66" s="187"/>
      <c r="T66" s="187"/>
      <c r="U66" s="187"/>
      <c r="V66" s="187"/>
      <c r="W66" s="187"/>
      <c r="X66" s="187"/>
      <c r="Y66" s="187"/>
      <c r="Z66" s="187"/>
      <c r="AA66" s="187"/>
      <c r="AB66" s="187"/>
      <c r="AC66" s="187"/>
    </row>
    <row r="67" spans="1:29" s="190" customFormat="1" ht="12.75" customHeight="1" x14ac:dyDescent="0.3">
      <c r="A67" s="1033"/>
      <c r="B67" s="220">
        <v>2018</v>
      </c>
      <c r="C67" s="469">
        <v>0</v>
      </c>
      <c r="D67" s="469">
        <v>0</v>
      </c>
      <c r="E67" s="221"/>
      <c r="F67" s="221"/>
      <c r="G67" s="221"/>
      <c r="H67" s="224"/>
      <c r="I67" s="207"/>
      <c r="J67" s="208">
        <f t="shared" si="12"/>
        <v>0</v>
      </c>
      <c r="K67" s="207"/>
      <c r="L67" s="223">
        <f t="shared" si="13"/>
        <v>0</v>
      </c>
      <c r="M67" s="197" t="s">
        <v>38</v>
      </c>
      <c r="N67" s="187"/>
      <c r="O67" s="187"/>
      <c r="P67" s="187"/>
      <c r="Q67" s="187"/>
      <c r="R67" s="187"/>
      <c r="S67" s="187"/>
      <c r="T67" s="187"/>
      <c r="U67" s="187"/>
      <c r="V67" s="187"/>
      <c r="W67" s="187"/>
      <c r="X67" s="187"/>
      <c r="Y67" s="187"/>
      <c r="Z67" s="187"/>
      <c r="AA67" s="187"/>
      <c r="AB67" s="187"/>
      <c r="AC67" s="187"/>
    </row>
    <row r="68" spans="1:29" s="190" customFormat="1" ht="12.75" customHeight="1" x14ac:dyDescent="0.3">
      <c r="A68" s="1033" t="s">
        <v>37</v>
      </c>
      <c r="B68" s="220">
        <v>2019</v>
      </c>
      <c r="C68" s="469">
        <v>0</v>
      </c>
      <c r="D68" s="469">
        <v>0</v>
      </c>
      <c r="E68" s="469">
        <v>0</v>
      </c>
      <c r="F68" s="221"/>
      <c r="G68" s="221"/>
      <c r="H68" s="224"/>
      <c r="I68" s="207"/>
      <c r="J68" s="208">
        <f t="shared" si="12"/>
        <v>0</v>
      </c>
      <c r="K68" s="207"/>
      <c r="L68" s="223">
        <f t="shared" si="13"/>
        <v>0</v>
      </c>
      <c r="M68" s="197" t="s">
        <v>39</v>
      </c>
      <c r="N68" s="187"/>
      <c r="O68" s="187"/>
      <c r="P68" s="187"/>
      <c r="Q68" s="187"/>
      <c r="R68" s="187"/>
      <c r="S68" s="187"/>
      <c r="T68" s="187"/>
      <c r="U68" s="187"/>
      <c r="V68" s="187"/>
      <c r="W68" s="187"/>
      <c r="X68" s="187"/>
      <c r="Y68" s="187"/>
      <c r="Z68" s="187"/>
      <c r="AA68" s="187"/>
      <c r="AB68" s="187"/>
      <c r="AC68" s="187"/>
    </row>
    <row r="69" spans="1:29" s="190" customFormat="1" ht="12.75" customHeight="1" x14ac:dyDescent="0.3">
      <c r="A69" s="1033"/>
      <c r="B69" s="220">
        <v>2020</v>
      </c>
      <c r="C69" s="469">
        <v>0</v>
      </c>
      <c r="D69" s="469">
        <v>0</v>
      </c>
      <c r="E69" s="469">
        <v>0</v>
      </c>
      <c r="F69" s="469">
        <v>0</v>
      </c>
      <c r="G69" s="221"/>
      <c r="H69" s="224"/>
      <c r="I69" s="207"/>
      <c r="J69" s="208">
        <f t="shared" si="12"/>
        <v>0</v>
      </c>
      <c r="K69" s="207"/>
      <c r="L69" s="223">
        <f t="shared" si="13"/>
        <v>0</v>
      </c>
      <c r="M69" s="197"/>
      <c r="N69" s="187"/>
      <c r="O69" s="187"/>
      <c r="P69" s="187"/>
      <c r="Q69" s="187"/>
      <c r="R69" s="187"/>
      <c r="S69" s="187"/>
      <c r="T69" s="187"/>
      <c r="U69" s="187"/>
      <c r="V69" s="187"/>
      <c r="W69" s="187"/>
      <c r="X69" s="187"/>
      <c r="Y69" s="187"/>
      <c r="Z69" s="187"/>
      <c r="AA69" s="187"/>
      <c r="AB69" s="187"/>
      <c r="AC69" s="187"/>
    </row>
    <row r="70" spans="1:29" s="199" customFormat="1" ht="15.5" x14ac:dyDescent="0.35">
      <c r="A70" s="1034"/>
      <c r="B70" s="212" t="s">
        <v>33</v>
      </c>
      <c r="C70" s="225">
        <f t="shared" ref="C70:H70" si="14">SUM(C64:C69)</f>
        <v>0</v>
      </c>
      <c r="D70" s="225">
        <f t="shared" si="14"/>
        <v>0</v>
      </c>
      <c r="E70" s="225">
        <f t="shared" si="14"/>
        <v>0</v>
      </c>
      <c r="F70" s="225">
        <f t="shared" si="14"/>
        <v>0</v>
      </c>
      <c r="G70" s="225">
        <f t="shared" si="14"/>
        <v>0</v>
      </c>
      <c r="H70" s="225">
        <f t="shared" si="14"/>
        <v>0</v>
      </c>
      <c r="I70" s="207"/>
      <c r="J70" s="216">
        <f>SUM(J64:J69)</f>
        <v>0</v>
      </c>
      <c r="K70" s="215"/>
      <c r="L70" s="216">
        <f>SUM(L64:L69)</f>
        <v>0</v>
      </c>
      <c r="M70" s="198"/>
      <c r="N70" s="198"/>
      <c r="O70" s="198"/>
      <c r="P70" s="198"/>
      <c r="Q70" s="198"/>
      <c r="R70" s="198"/>
      <c r="S70" s="198"/>
      <c r="T70" s="198"/>
      <c r="U70" s="198"/>
      <c r="V70" s="198"/>
      <c r="W70" s="198"/>
      <c r="X70" s="198"/>
      <c r="Y70" s="198"/>
      <c r="Z70" s="198"/>
      <c r="AA70" s="198"/>
      <c r="AB70" s="198"/>
      <c r="AC70" s="198"/>
    </row>
    <row r="71" spans="1:29" x14ac:dyDescent="0.25">
      <c r="I71" s="207"/>
    </row>
    <row r="73" spans="1:29" ht="13" thickBot="1" x14ac:dyDescent="0.3"/>
    <row r="74" spans="1:29" s="190" customFormat="1" ht="16" thickBot="1" x14ac:dyDescent="0.4">
      <c r="A74" s="1110" t="s">
        <v>40</v>
      </c>
      <c r="B74" s="1111"/>
      <c r="C74" s="1111"/>
      <c r="D74" s="1111"/>
      <c r="E74" s="1111"/>
      <c r="F74" s="1111"/>
      <c r="G74" s="1111"/>
      <c r="H74" s="1111"/>
      <c r="I74" s="1111"/>
      <c r="J74" s="1112"/>
      <c r="L74" s="187"/>
      <c r="M74" s="187"/>
      <c r="N74" s="187"/>
      <c r="O74" s="187"/>
      <c r="P74" s="187"/>
      <c r="Q74" s="187"/>
      <c r="R74" s="187"/>
      <c r="S74" s="187"/>
      <c r="T74" s="187"/>
      <c r="U74" s="187"/>
      <c r="V74" s="187"/>
      <c r="W74" s="187"/>
      <c r="X74" s="187"/>
      <c r="Y74" s="187"/>
      <c r="Z74" s="187"/>
      <c r="AA74" s="187"/>
      <c r="AB74" s="187"/>
      <c r="AC74" s="187"/>
    </row>
    <row r="76" spans="1:29" ht="13" x14ac:dyDescent="0.3">
      <c r="C76" s="194" t="s">
        <v>342</v>
      </c>
    </row>
    <row r="77" spans="1:29" ht="13" x14ac:dyDescent="0.3">
      <c r="C77" s="194" t="s">
        <v>42</v>
      </c>
    </row>
    <row r="78" spans="1:29" ht="16.5" x14ac:dyDescent="0.35">
      <c r="C78" s="1023" t="s">
        <v>41</v>
      </c>
      <c r="D78" s="1024"/>
      <c r="E78" s="1024"/>
      <c r="F78" s="1024"/>
      <c r="G78" s="1024"/>
      <c r="H78" s="1025"/>
    </row>
    <row r="79" spans="1:29" x14ac:dyDescent="0.25">
      <c r="C79" s="202">
        <v>2015</v>
      </c>
      <c r="D79" s="202">
        <v>2016</v>
      </c>
      <c r="E79" s="202">
        <v>2017</v>
      </c>
      <c r="F79" s="202">
        <v>2018</v>
      </c>
      <c r="G79" s="202">
        <v>2019</v>
      </c>
      <c r="H79" s="202">
        <v>2020</v>
      </c>
      <c r="J79" s="226" t="s">
        <v>31</v>
      </c>
    </row>
    <row r="80" spans="1:29" x14ac:dyDescent="0.25">
      <c r="A80" s="1026" t="s">
        <v>245</v>
      </c>
      <c r="B80" s="202">
        <v>2015</v>
      </c>
      <c r="C80" s="470">
        <f>+C51</f>
        <v>0</v>
      </c>
      <c r="D80" s="227"/>
      <c r="E80" s="221"/>
      <c r="F80" s="221"/>
      <c r="G80" s="221"/>
      <c r="H80" s="222"/>
      <c r="J80" s="228">
        <f t="shared" ref="J80:J85" si="15">SUM(C80:H80)</f>
        <v>0</v>
      </c>
    </row>
    <row r="81" spans="1:10" x14ac:dyDescent="0.25">
      <c r="A81" s="1027"/>
      <c r="B81" s="202">
        <v>2016</v>
      </c>
      <c r="C81" s="470">
        <f>+C80+C65+C52</f>
        <v>0</v>
      </c>
      <c r="D81" s="470">
        <f>+D52</f>
        <v>0</v>
      </c>
      <c r="E81" s="229"/>
      <c r="F81" s="229"/>
      <c r="G81" s="229"/>
      <c r="H81" s="230"/>
      <c r="J81" s="228">
        <f t="shared" si="15"/>
        <v>0</v>
      </c>
    </row>
    <row r="82" spans="1:10" x14ac:dyDescent="0.25">
      <c r="A82" s="1027"/>
      <c r="B82" s="202">
        <v>2017</v>
      </c>
      <c r="C82" s="470">
        <f>+C81+C66+C53</f>
        <v>0</v>
      </c>
      <c r="D82" s="470">
        <f>+D81+D66+D53</f>
        <v>0</v>
      </c>
      <c r="E82" s="470">
        <f>+E53</f>
        <v>0</v>
      </c>
      <c r="F82" s="229"/>
      <c r="G82" s="229"/>
      <c r="H82" s="230"/>
      <c r="J82" s="228">
        <f t="shared" si="15"/>
        <v>0</v>
      </c>
    </row>
    <row r="83" spans="1:10" x14ac:dyDescent="0.25">
      <c r="A83" s="1027"/>
      <c r="B83" s="202">
        <v>2018</v>
      </c>
      <c r="C83" s="470">
        <f>+C82+C67+C54</f>
        <v>0</v>
      </c>
      <c r="D83" s="470">
        <f>+D82+D67+D54</f>
        <v>0</v>
      </c>
      <c r="E83" s="470">
        <f>+E82+E67+E54</f>
        <v>0</v>
      </c>
      <c r="F83" s="470">
        <f>+F54</f>
        <v>0</v>
      </c>
      <c r="G83" s="229"/>
      <c r="H83" s="230"/>
      <c r="J83" s="228">
        <f t="shared" si="15"/>
        <v>0</v>
      </c>
    </row>
    <row r="84" spans="1:10" x14ac:dyDescent="0.25">
      <c r="A84" s="1027"/>
      <c r="B84" s="202">
        <v>2019</v>
      </c>
      <c r="C84" s="470">
        <f>+C83+C68+C55</f>
        <v>0</v>
      </c>
      <c r="D84" s="470">
        <f>+D83+D68+D55</f>
        <v>0</v>
      </c>
      <c r="E84" s="470">
        <f>+E83+E68+E55</f>
        <v>0</v>
      </c>
      <c r="F84" s="470">
        <f>+F83+F68+F55</f>
        <v>0</v>
      </c>
      <c r="G84" s="470">
        <f>+G55</f>
        <v>0</v>
      </c>
      <c r="H84" s="230"/>
      <c r="J84" s="228">
        <f t="shared" si="15"/>
        <v>0</v>
      </c>
    </row>
    <row r="85" spans="1:10" x14ac:dyDescent="0.25">
      <c r="A85" s="1028"/>
      <c r="B85" s="202">
        <v>2020</v>
      </c>
      <c r="C85" s="470">
        <f>+C84+C69+C56</f>
        <v>0</v>
      </c>
      <c r="D85" s="470">
        <f>+D84+D69+D56</f>
        <v>0</v>
      </c>
      <c r="E85" s="470">
        <f>+E84+E69+E56</f>
        <v>0</v>
      </c>
      <c r="F85" s="470">
        <f>+F84+F69+F56</f>
        <v>0</v>
      </c>
      <c r="G85" s="470">
        <f>+G84+G69+G56</f>
        <v>0</v>
      </c>
      <c r="H85" s="470">
        <f>+H56</f>
        <v>0</v>
      </c>
      <c r="J85" s="228">
        <f t="shared" si="15"/>
        <v>0</v>
      </c>
    </row>
    <row r="86" spans="1:10" ht="14.5" x14ac:dyDescent="0.35">
      <c r="A86" s="231"/>
      <c r="C86" s="194"/>
    </row>
    <row r="87" spans="1:10" ht="13" x14ac:dyDescent="0.3">
      <c r="C87" s="194"/>
    </row>
    <row r="88" spans="1:10" ht="13" x14ac:dyDescent="0.3">
      <c r="C88" s="194"/>
    </row>
  </sheetData>
  <customSheetViews>
    <customSheetView guid="{C8C7977F-B6BF-432B-A1A7-559450D521AF}" scale="80">
      <selection sqref="A1:J1"/>
      <pageMargins left="0.78740157480314965" right="0.78740157480314965" top="0.98425196850393704" bottom="0.98425196850393704" header="0.51181102362204722" footer="0.51181102362204722"/>
      <pageSetup paperSize="8" scale="70" orientation="landscape" r:id="rId1"/>
      <headerFooter alignWithMargins="0">
        <oddFooter>&amp;CPage &amp;P</oddFooter>
      </headerFooter>
    </customSheetView>
  </customSheetViews>
  <mergeCells count="41">
    <mergeCell ref="A80:A85"/>
    <mergeCell ref="A50:B50"/>
    <mergeCell ref="A51:A57"/>
    <mergeCell ref="C62:H62"/>
    <mergeCell ref="A64:A70"/>
    <mergeCell ref="C78:H78"/>
    <mergeCell ref="A74:J74"/>
    <mergeCell ref="K45:L45"/>
    <mergeCell ref="A45:J45"/>
    <mergeCell ref="A9:B9"/>
    <mergeCell ref="A10:B10"/>
    <mergeCell ref="A13:B13"/>
    <mergeCell ref="C49:H49"/>
    <mergeCell ref="A7:B7"/>
    <mergeCell ref="A8:B8"/>
    <mergeCell ref="A16:B16"/>
    <mergeCell ref="A24:B24"/>
    <mergeCell ref="C38:H38"/>
    <mergeCell ref="A25:B25"/>
    <mergeCell ref="A30:B30"/>
    <mergeCell ref="A11:B11"/>
    <mergeCell ref="A12:B12"/>
    <mergeCell ref="A23:B23"/>
    <mergeCell ref="A26:B26"/>
    <mergeCell ref="A28:B28"/>
    <mergeCell ref="A1:J1"/>
    <mergeCell ref="C5:H5"/>
    <mergeCell ref="C6:H6"/>
    <mergeCell ref="C4:H4"/>
    <mergeCell ref="A36:J36"/>
    <mergeCell ref="A14:B14"/>
    <mergeCell ref="A15:B15"/>
    <mergeCell ref="A17:B17"/>
    <mergeCell ref="A18:B18"/>
    <mergeCell ref="A27:B27"/>
    <mergeCell ref="A29:B29"/>
    <mergeCell ref="A31:B31"/>
    <mergeCell ref="A19:B19"/>
    <mergeCell ref="A20:B20"/>
    <mergeCell ref="A21:B21"/>
    <mergeCell ref="A22:B22"/>
  </mergeCells>
  <conditionalFormatting sqref="C12:H13 C20:H21 C28:H29">
    <cfRule type="expression" dxfId="62" priority="21" stopIfTrue="1">
      <formula>$C$5="gas"</formula>
    </cfRule>
  </conditionalFormatting>
  <conditionalFormatting sqref="C14:H14 C22:H22 C30:H30">
    <cfRule type="expression" dxfId="61" priority="20" stopIfTrue="1">
      <formula>$C$5="elektriciteit"</formula>
    </cfRule>
  </conditionalFormatting>
  <conditionalFormatting sqref="E7:E31">
    <cfRule type="expression" dxfId="60" priority="6" stopIfTrue="1">
      <formula>OR($E$7&gt;$N$3,$N$3&amp;$O$3=$E$7&amp;"ex-ante",$N$3&amp;$O$3=$E$3&amp;"ex-ante")</formula>
    </cfRule>
  </conditionalFormatting>
  <conditionalFormatting sqref="F7:F31">
    <cfRule type="expression" dxfId="59" priority="5" stopIfTrue="1">
      <formula>OR($F$7&gt;$N$3,$N$3&amp;$O$3=$F$7&amp;"ex-ante",$N$3&amp;$O$3=$F$3&amp;"ex-ante")</formula>
    </cfRule>
  </conditionalFormatting>
  <conditionalFormatting sqref="G7:G31">
    <cfRule type="expression" dxfId="58" priority="4" stopIfTrue="1">
      <formula>OR($G$7&gt;$N$3,$N$3&amp;$O$3=$G$7&amp;"ex-ante",$N$3&amp;$O$3=$G$3&amp;"ex-ante")</formula>
    </cfRule>
  </conditionalFormatting>
  <conditionalFormatting sqref="H7:H31">
    <cfRule type="expression" dxfId="57" priority="3" stopIfTrue="1">
      <formula>OR($H$7&gt;$N$3,$N$3&amp;$O$3=$H$7&amp;"ex-ante",$N$3&amp;$O$3=$H$3&amp;"ex-ante")</formula>
    </cfRule>
  </conditionalFormatting>
  <conditionalFormatting sqref="D7:D31">
    <cfRule type="expression" dxfId="56" priority="2" stopIfTrue="1">
      <formula>OR($D$7&gt;$N$3,$N$3&amp;$O$3=$D$7&amp;"ex-ante",$N$3&amp;$O$3=$D$3&amp;"ex-ante")</formula>
    </cfRule>
  </conditionalFormatting>
  <conditionalFormatting sqref="C7:C31">
    <cfRule type="expression" dxfId="55" priority="1" stopIfTrue="1">
      <formula>OR($C$7&gt;$N$3,$N$3&amp;$O$3=$C$7&amp;"ex-ante",$N$3&amp;$O$3=$C$3&amp;"ex-ante")</formula>
    </cfRule>
  </conditionalFormatting>
  <pageMargins left="0.78740157480314965" right="0.78740157480314965" top="0.98425196850393704" bottom="0.98425196850393704" header="0.51181102362204722" footer="0.51181102362204722"/>
  <pageSetup paperSize="8" scale="56" orientation="portrait" r:id="rId2"/>
  <headerFooter alignWithMargins="0">
    <oddFooter>&amp;CPage &amp;P</oddFooter>
  </headerFooter>
  <ignoredErrors>
    <ignoredError sqref="J63 L63" numberStoredAsText="1"/>
    <ignoredError sqref="J64:J69" numberStoredAsText="1" formulaRange="1"/>
    <ignoredError sqref="C70:H70"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19</vt:i4>
      </vt:variant>
      <vt:variant>
        <vt:lpstr>Benoemde bereiken</vt:lpstr>
      </vt:variant>
      <vt:variant>
        <vt:i4>26</vt:i4>
      </vt:variant>
    </vt:vector>
  </HeadingPairs>
  <TitlesOfParts>
    <vt:vector size="45" baseType="lpstr">
      <vt:lpstr>TITELBLAD</vt:lpstr>
      <vt:lpstr>T1</vt:lpstr>
      <vt:lpstr>T2</vt:lpstr>
      <vt:lpstr>T3A</vt:lpstr>
      <vt:lpstr>T3B</vt:lpstr>
      <vt:lpstr>T4A</vt:lpstr>
      <vt:lpstr>T4B</vt:lpstr>
      <vt:lpstr>T4C</vt:lpstr>
      <vt:lpstr>T5A</vt:lpstr>
      <vt:lpstr>T5B</vt:lpstr>
      <vt:lpstr>T5C</vt:lpstr>
      <vt:lpstr>T5D</vt:lpstr>
      <vt:lpstr>T5E</vt:lpstr>
      <vt:lpstr>T6A</vt:lpstr>
      <vt:lpstr>T6B</vt:lpstr>
      <vt:lpstr>T7</vt:lpstr>
      <vt:lpstr>T8</vt:lpstr>
      <vt:lpstr>T9</vt:lpstr>
      <vt:lpstr>T10</vt:lpstr>
      <vt:lpstr>TITELBLAD!_ftnref2</vt:lpstr>
      <vt:lpstr>TITELBLAD!_ftnref3</vt:lpstr>
      <vt:lpstr>'T1'!Afdrukbereik</vt:lpstr>
      <vt:lpstr>'T10'!Afdrukbereik</vt:lpstr>
      <vt:lpstr>'T2'!Afdrukbereik</vt:lpstr>
      <vt:lpstr>T3A!Afdrukbereik</vt:lpstr>
      <vt:lpstr>T3B!Afdrukbereik</vt:lpstr>
      <vt:lpstr>T4A!Afdrukbereik</vt:lpstr>
      <vt:lpstr>T4B!Afdrukbereik</vt:lpstr>
      <vt:lpstr>T4C!Afdrukbereik</vt:lpstr>
      <vt:lpstr>T5A!Afdrukbereik</vt:lpstr>
      <vt:lpstr>T5B!Afdrukbereik</vt:lpstr>
      <vt:lpstr>T5C!Afdrukbereik</vt:lpstr>
      <vt:lpstr>T5D!Afdrukbereik</vt:lpstr>
      <vt:lpstr>T5E!Afdrukbereik</vt:lpstr>
      <vt:lpstr>T6A!Afdrukbereik</vt:lpstr>
      <vt:lpstr>T6B!Afdrukbereik</vt:lpstr>
      <vt:lpstr>'T7'!Afdrukbereik</vt:lpstr>
      <vt:lpstr>'T8'!Afdrukbereik</vt:lpstr>
      <vt:lpstr>'T9'!Afdrukbereik</vt:lpstr>
      <vt:lpstr>TITELBLAD!Afdrukbereik</vt:lpstr>
      <vt:lpstr>T4A!Afdruktitels</vt:lpstr>
      <vt:lpstr>T4C!Afdruktitels</vt:lpstr>
      <vt:lpstr>T5A!Afdruktitels</vt:lpstr>
      <vt:lpstr>T6A!Afdruktitels</vt:lpstr>
      <vt:lpstr>'T7'!Afdruktitels</vt:lpstr>
    </vt:vector>
  </TitlesOfParts>
  <Company>VREG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Shirley Pauwels</cp:lastModifiedBy>
  <cp:lastPrinted>2016-03-03T07:50:12Z</cp:lastPrinted>
  <dcterms:created xsi:type="dcterms:W3CDTF">2014-05-06T11:13:59Z</dcterms:created>
  <dcterms:modified xsi:type="dcterms:W3CDTF">2018-07-06T06:36:58Z</dcterms:modified>
</cp:coreProperties>
</file>