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https://o365vreg.sharepoint.com/sites/KT_Tariefregulering/Gedeelde  documenten/TM 17-20/Analyses/Toegelaten inkomen 2020/"/>
    </mc:Choice>
  </mc:AlternateContent>
  <bookViews>
    <workbookView xWindow="0" yWindow="0" windowWidth="19200" windowHeight="6510"/>
  </bookViews>
  <sheets>
    <sheet name="Endogeen '20 GAS" sheetId="1" r:id="rId1"/>
  </sheets>
  <externalReferences>
    <externalReference r:id="rId2"/>
    <externalReference r:id="rId3"/>
    <externalReference r:id="rId4"/>
    <externalReference r:id="rId5"/>
  </externalReferences>
  <definedNames>
    <definedName name="a">#REF!</definedName>
    <definedName name="_xlnm.Print_Area" localSheetId="0">'Endogeen ''20 GAS'!$B$1:$J$197</definedName>
    <definedName name="Aftakklem_LS">'[3]BASISPRIJZEN MATERIAAL'!$I$188</definedName>
    <definedName name="Codes">'[4]Codes des IM'!$B$2:$D$23</definedName>
    <definedName name="Forfaitair_feeder">75000</definedName>
    <definedName name="Hangslot">'[3]BASISPRIJZEN MATERIAAL'!$I$138</definedName>
    <definedName name="Kabelschoen_HS">'[3]BASISPRIJZEN MATERIAAL'!$I$201</definedName>
    <definedName name="Kabelschoen_LS">'[3]BASISPRIJZEN MATERIAAL'!$I$198</definedName>
    <definedName name="Kit_kunststof_AL">'[3]BASISPRIJZEN MATERIAAL'!$I$190</definedName>
    <definedName name="Kit_kunststof_papierlood">'[3]BASISPRIJZEN MATERIAAL'!$I$191</definedName>
    <definedName name="Kit_papierlood">'[3]BASISPRIJZEN MATERIAAL'!$I$189</definedName>
    <definedName name="Klein_materiaal_10">10</definedName>
    <definedName name="Klein_materiaal_100">100</definedName>
    <definedName name="Klein_materiaal_25">25</definedName>
    <definedName name="Plaat_postnummer_telefoon">'[3]BASISPRIJZEN MATERIAAL'!$I$160</definedName>
    <definedName name="q" localSheetId="0">'Endogeen ''20 GAS'!$F$145</definedName>
    <definedName name="q">[1]TI_En_Elek!$F$149</definedName>
    <definedName name="SAPBEXrevision" hidden="1">10</definedName>
    <definedName name="SAPBEXsysID" hidden="1">"BP1"</definedName>
    <definedName name="SAPBEXwbID" hidden="1">"4751QXOCD67AJ09JC6QHJDZY6"</definedName>
    <definedName name="Sleutelkastje">'[3]BASISPRIJZEN MATERIAAL'!$I$159</definedName>
    <definedName name="Slot_voor_sleutelkastje">'[3]BASISPRIJZEN MATERIAAL'!$I$158</definedName>
    <definedName name="Terminal_kunststof">'[3]BASISPRIJZEN MATERIAAL'!$I$195</definedName>
    <definedName name="Terminal_LS">'[3]BASISPRIJZEN MATERIAAL'!$I$200</definedName>
    <definedName name="Traduction1">'[4]Codes des IM'!$A$28:$D$1853</definedName>
    <definedName name="Verbinder_kunststof_M4">'[3]BASISPRIJZEN MATERIAAL'!$I$192</definedName>
    <definedName name="Verbinder_kunststof_papierlood_M3">'[3]BASISPRIJZEN MATERIAAL'!$I$192</definedName>
    <definedName name="Verbinder_papierlood_M3">'[3]BASISPRIJZEN MATERIAAL'!$I$192</definedName>
    <definedName name="Wikkeldoos_LS">'[3]BASISPRIJZEN MATERIAAL'!$I$199</definedName>
    <definedName name="x" localSheetId="0">'Endogeen ''20 GAS'!$E$145</definedName>
    <definedName name="x">[1]TI_En_Elek!$E$149</definedName>
    <definedName name="xx">[1]TI_En_Elek!$C$249</definedName>
    <definedName name="xxg">'Endogeen ''20 GAS'!$C$241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3" i="1" l="1"/>
  <c r="E392" i="1"/>
  <c r="E391" i="1"/>
  <c r="E390" i="1"/>
  <c r="E389" i="1"/>
  <c r="E388" i="1"/>
  <c r="E387" i="1"/>
  <c r="E386" i="1"/>
  <c r="E385" i="1"/>
  <c r="E384" i="1"/>
  <c r="E383" i="1"/>
  <c r="E363" i="1"/>
  <c r="D392" i="1" s="1"/>
  <c r="E362" i="1"/>
  <c r="D391" i="1" s="1"/>
  <c r="E361" i="1"/>
  <c r="D390" i="1" s="1"/>
  <c r="E360" i="1"/>
  <c r="D389" i="1" s="1"/>
  <c r="E359" i="1"/>
  <c r="D388" i="1" s="1"/>
  <c r="E358" i="1"/>
  <c r="D387" i="1" s="1"/>
  <c r="E357" i="1"/>
  <c r="D386" i="1" s="1"/>
  <c r="E356" i="1"/>
  <c r="D385" i="1" s="1"/>
  <c r="E355" i="1"/>
  <c r="D384" i="1" s="1"/>
  <c r="E354" i="1"/>
  <c r="D383" i="1" s="1"/>
  <c r="F340" i="1"/>
  <c r="C333" i="1"/>
  <c r="F312" i="1"/>
  <c r="E298" i="1"/>
  <c r="E297" i="1"/>
  <c r="E296" i="1"/>
  <c r="E295" i="1"/>
  <c r="E294" i="1"/>
  <c r="E293" i="1"/>
  <c r="E292" i="1"/>
  <c r="E291" i="1"/>
  <c r="E290" i="1"/>
  <c r="E289" i="1"/>
  <c r="E269" i="1"/>
  <c r="D298" i="1" s="1"/>
  <c r="E268" i="1"/>
  <c r="D297" i="1" s="1"/>
  <c r="E267" i="1"/>
  <c r="D296" i="1" s="1"/>
  <c r="E266" i="1"/>
  <c r="D295" i="1" s="1"/>
  <c r="E265" i="1"/>
  <c r="D294" i="1" s="1"/>
  <c r="E264" i="1"/>
  <c r="D293" i="1" s="1"/>
  <c r="E263" i="1"/>
  <c r="D292" i="1" s="1"/>
  <c r="E262" i="1"/>
  <c r="D291" i="1" s="1"/>
  <c r="E261" i="1"/>
  <c r="D290" i="1" s="1"/>
  <c r="E260" i="1"/>
  <c r="D289" i="1" s="1"/>
  <c r="F246" i="1"/>
  <c r="C241" i="1"/>
  <c r="C233" i="1"/>
  <c r="C306" i="1" s="1"/>
  <c r="C307" i="1" s="1"/>
  <c r="D312" i="1" s="1"/>
  <c r="F211" i="1"/>
  <c r="E197" i="1"/>
  <c r="E196" i="1"/>
  <c r="E195" i="1"/>
  <c r="E194" i="1"/>
  <c r="E193" i="1"/>
  <c r="E192" i="1"/>
  <c r="E191" i="1"/>
  <c r="E190" i="1"/>
  <c r="E189" i="1"/>
  <c r="E188" i="1"/>
  <c r="E168" i="1"/>
  <c r="D197" i="1" s="1"/>
  <c r="E167" i="1"/>
  <c r="D196" i="1" s="1"/>
  <c r="E166" i="1"/>
  <c r="D195" i="1" s="1"/>
  <c r="E165" i="1"/>
  <c r="D194" i="1" s="1"/>
  <c r="E164" i="1"/>
  <c r="D193" i="1" s="1"/>
  <c r="E163" i="1"/>
  <c r="D192" i="1" s="1"/>
  <c r="E162" i="1"/>
  <c r="D191" i="1" s="1"/>
  <c r="E161" i="1"/>
  <c r="D190" i="1" s="1"/>
  <c r="E160" i="1"/>
  <c r="D189" i="1" s="1"/>
  <c r="E159" i="1"/>
  <c r="D188" i="1" s="1"/>
  <c r="C137" i="1"/>
  <c r="C130" i="1"/>
  <c r="C205" i="1" s="1"/>
  <c r="C206" i="1" s="1"/>
  <c r="D211" i="1" s="1"/>
  <c r="E92" i="1"/>
  <c r="E91" i="1"/>
  <c r="E90" i="1"/>
  <c r="E89" i="1"/>
  <c r="E88" i="1"/>
  <c r="E87" i="1"/>
  <c r="E86" i="1"/>
  <c r="E85" i="1"/>
  <c r="E84" i="1"/>
  <c r="E83" i="1"/>
  <c r="E63" i="1"/>
  <c r="D92" i="1" s="1"/>
  <c r="E62" i="1"/>
  <c r="D91" i="1" s="1"/>
  <c r="E61" i="1"/>
  <c r="D90" i="1" s="1"/>
  <c r="E60" i="1"/>
  <c r="D89" i="1" s="1"/>
  <c r="E59" i="1"/>
  <c r="D88" i="1" s="1"/>
  <c r="E58" i="1"/>
  <c r="D87" i="1" s="1"/>
  <c r="E57" i="1"/>
  <c r="D86" i="1" s="1"/>
  <c r="E56" i="1"/>
  <c r="D85" i="1" s="1"/>
  <c r="E55" i="1"/>
  <c r="D84" i="1" s="1"/>
  <c r="E54" i="1"/>
  <c r="D83" i="1" s="1"/>
  <c r="C34" i="1"/>
  <c r="C101" i="1" s="1"/>
  <c r="C103" i="1" s="1"/>
  <c r="C33" i="1"/>
  <c r="C35" i="1" l="1"/>
  <c r="E40" i="1" s="1"/>
  <c r="E29" i="1"/>
  <c r="F29" i="1"/>
  <c r="H20" i="1"/>
  <c r="D43" i="1" s="1"/>
  <c r="H24" i="1"/>
  <c r="D47" i="1" s="1"/>
  <c r="H19" i="1"/>
  <c r="D42" i="1" s="1"/>
  <c r="C29" i="1"/>
  <c r="G29" i="1"/>
  <c r="H21" i="1"/>
  <c r="D44" i="1" s="1"/>
  <c r="H25" i="1"/>
  <c r="D48" i="1" s="1"/>
  <c r="C234" i="1"/>
  <c r="D246" i="1" s="1"/>
  <c r="H23" i="1"/>
  <c r="D46" i="1" s="1"/>
  <c r="D29" i="1"/>
  <c r="H18" i="1"/>
  <c r="D41" i="1" s="1"/>
  <c r="H22" i="1"/>
  <c r="D45" i="1" s="1"/>
  <c r="H26" i="1"/>
  <c r="D49" i="1" s="1"/>
  <c r="I29" i="1"/>
  <c r="H17" i="1"/>
  <c r="D40" i="1" s="1"/>
  <c r="C100" i="1"/>
  <c r="C102" i="1" s="1"/>
  <c r="C131" i="1"/>
  <c r="D145" i="1" s="1"/>
  <c r="C334" i="1"/>
  <c r="D340" i="1" s="1"/>
  <c r="J29" i="1" l="1"/>
  <c r="C139" i="1" s="1"/>
  <c r="C40" i="1"/>
  <c r="C138" i="1"/>
  <c r="C140" i="1" l="1"/>
  <c r="E145" i="1" s="1"/>
  <c r="E340" i="1"/>
  <c r="E211" i="1"/>
  <c r="E312" i="1"/>
  <c r="E246" i="1"/>
  <c r="G48" i="1"/>
  <c r="G46" i="1"/>
  <c r="G44" i="1"/>
  <c r="G42" i="1"/>
  <c r="G40" i="1"/>
  <c r="G49" i="1"/>
  <c r="G47" i="1"/>
  <c r="G45" i="1"/>
  <c r="G43" i="1"/>
  <c r="G41" i="1"/>
  <c r="C109" i="1" l="1"/>
  <c r="D109" i="1" s="1"/>
  <c r="C84" i="1"/>
  <c r="F84" i="1" s="1"/>
  <c r="C115" i="1"/>
  <c r="D115" i="1" s="1"/>
  <c r="C90" i="1"/>
  <c r="F90" i="1" s="1"/>
  <c r="C112" i="1"/>
  <c r="D112" i="1" s="1"/>
  <c r="C87" i="1"/>
  <c r="F87" i="1" s="1"/>
  <c r="C117" i="1"/>
  <c r="D117" i="1" s="1"/>
  <c r="C92" i="1"/>
  <c r="F92" i="1" s="1"/>
  <c r="C114" i="1"/>
  <c r="D114" i="1" s="1"/>
  <c r="C89" i="1"/>
  <c r="F89" i="1" s="1"/>
  <c r="C111" i="1"/>
  <c r="D111" i="1" s="1"/>
  <c r="C86" i="1"/>
  <c r="F86" i="1" s="1"/>
  <c r="C116" i="1"/>
  <c r="D116" i="1" s="1"/>
  <c r="C91" i="1"/>
  <c r="F91" i="1" s="1"/>
  <c r="C108" i="1"/>
  <c r="D108" i="1" s="1"/>
  <c r="C83" i="1"/>
  <c r="F83" i="1" s="1"/>
  <c r="C113" i="1"/>
  <c r="D113" i="1" s="1"/>
  <c r="C88" i="1"/>
  <c r="F88" i="1" s="1"/>
  <c r="C85" i="1"/>
  <c r="F85" i="1" s="1"/>
  <c r="C110" i="1"/>
  <c r="D110" i="1" s="1"/>
  <c r="C213" i="1" l="1"/>
  <c r="G213" i="1" s="1"/>
  <c r="C147" i="1"/>
  <c r="G147" i="1" s="1"/>
  <c r="C190" i="1" s="1"/>
  <c r="F190" i="1" s="1"/>
  <c r="C145" i="1"/>
  <c r="G145" i="1" s="1"/>
  <c r="C188" i="1" s="1"/>
  <c r="F188" i="1" s="1"/>
  <c r="C211" i="1"/>
  <c r="G211" i="1" s="1"/>
  <c r="C214" i="1"/>
  <c r="G214" i="1" s="1"/>
  <c r="C148" i="1"/>
  <c r="G148" i="1" s="1"/>
  <c r="C191" i="1" s="1"/>
  <c r="F191" i="1" s="1"/>
  <c r="C154" i="1"/>
  <c r="G154" i="1" s="1"/>
  <c r="C197" i="1" s="1"/>
  <c r="F197" i="1" s="1"/>
  <c r="C220" i="1"/>
  <c r="G220" i="1" s="1"/>
  <c r="C152" i="1"/>
  <c r="G152" i="1" s="1"/>
  <c r="C195" i="1" s="1"/>
  <c r="F195" i="1" s="1"/>
  <c r="C218" i="1"/>
  <c r="G218" i="1" s="1"/>
  <c r="C150" i="1"/>
  <c r="G150" i="1" s="1"/>
  <c r="C193" i="1" s="1"/>
  <c r="F193" i="1" s="1"/>
  <c r="C216" i="1"/>
  <c r="G216" i="1" s="1"/>
  <c r="C219" i="1"/>
  <c r="G219" i="1" s="1"/>
  <c r="C153" i="1"/>
  <c r="G153" i="1" s="1"/>
  <c r="C196" i="1" s="1"/>
  <c r="F196" i="1" s="1"/>
  <c r="C217" i="1"/>
  <c r="G217" i="1" s="1"/>
  <c r="C151" i="1"/>
  <c r="G151" i="1" s="1"/>
  <c r="C194" i="1" s="1"/>
  <c r="C215" i="1"/>
  <c r="G215" i="1" s="1"/>
  <c r="C149" i="1"/>
  <c r="G149" i="1" s="1"/>
  <c r="C192" i="1" s="1"/>
  <c r="F192" i="1" s="1"/>
  <c r="C146" i="1"/>
  <c r="G146" i="1" s="1"/>
  <c r="C189" i="1" s="1"/>
  <c r="F189" i="1" s="1"/>
  <c r="C212" i="1"/>
  <c r="G212" i="1" s="1"/>
  <c r="C316" i="1" l="1"/>
  <c r="G316" i="1" s="1"/>
  <c r="C250" i="1"/>
  <c r="G250" i="1" s="1"/>
  <c r="C255" i="1"/>
  <c r="G255" i="1" s="1"/>
  <c r="C321" i="1"/>
  <c r="G321" i="1" s="1"/>
  <c r="C318" i="1"/>
  <c r="G318" i="1" s="1"/>
  <c r="C252" i="1"/>
  <c r="G252" i="1" s="1"/>
  <c r="F194" i="1"/>
  <c r="C320" i="1"/>
  <c r="G320" i="1" s="1"/>
  <c r="C254" i="1"/>
  <c r="G254" i="1" s="1"/>
  <c r="C249" i="1"/>
  <c r="G249" i="1" s="1"/>
  <c r="C315" i="1"/>
  <c r="G315" i="1" s="1"/>
  <c r="C251" i="1"/>
  <c r="G251" i="1" s="1"/>
  <c r="C317" i="1"/>
  <c r="G317" i="1" s="1"/>
  <c r="C253" i="1"/>
  <c r="G253" i="1" s="1"/>
  <c r="C319" i="1"/>
  <c r="G319" i="1" s="1"/>
  <c r="C312" i="1"/>
  <c r="G312" i="1" s="1"/>
  <c r="C246" i="1"/>
  <c r="G246" i="1" s="1"/>
  <c r="C247" i="1"/>
  <c r="G247" i="1" s="1"/>
  <c r="C313" i="1"/>
  <c r="G313" i="1" s="1"/>
  <c r="C314" i="1"/>
  <c r="G314" i="1" s="1"/>
  <c r="C248" i="1"/>
  <c r="G248" i="1" s="1"/>
  <c r="C345" i="1" l="1"/>
  <c r="G345" i="1" s="1"/>
  <c r="C388" i="1" s="1"/>
  <c r="F388" i="1" s="1"/>
  <c r="C297" i="1"/>
  <c r="F297" i="1" s="1"/>
  <c r="C346" i="1"/>
  <c r="G346" i="1" s="1"/>
  <c r="C389" i="1" s="1"/>
  <c r="F389" i="1" s="1"/>
  <c r="C291" i="1"/>
  <c r="F291" i="1" s="1"/>
  <c r="C341" i="1"/>
  <c r="G341" i="1" s="1"/>
  <c r="C384" i="1" s="1"/>
  <c r="F384" i="1" s="1"/>
  <c r="C347" i="1"/>
  <c r="G347" i="1" s="1"/>
  <c r="C390" i="1" s="1"/>
  <c r="F390" i="1" s="1"/>
  <c r="C294" i="1"/>
  <c r="F294" i="1" s="1"/>
  <c r="C348" i="1"/>
  <c r="G348" i="1" s="1"/>
  <c r="C391" i="1" s="1"/>
  <c r="F391" i="1" s="1"/>
  <c r="C349" i="1"/>
  <c r="G349" i="1" s="1"/>
  <c r="C392" i="1" s="1"/>
  <c r="F392" i="1" s="1"/>
  <c r="C290" i="1"/>
  <c r="F290" i="1" s="1"/>
  <c r="C289" i="1"/>
  <c r="F289" i="1" s="1"/>
  <c r="C292" i="1"/>
  <c r="F292" i="1" s="1"/>
  <c r="C295" i="1"/>
  <c r="F295" i="1" s="1"/>
  <c r="C298" i="1"/>
  <c r="F298" i="1" s="1"/>
  <c r="C293" i="1"/>
  <c r="F293" i="1" s="1"/>
  <c r="C342" i="1"/>
  <c r="G342" i="1" s="1"/>
  <c r="C385" i="1" s="1"/>
  <c r="F385" i="1" s="1"/>
  <c r="C340" i="1"/>
  <c r="G340" i="1" s="1"/>
  <c r="C383" i="1" s="1"/>
  <c r="F383" i="1" s="1"/>
  <c r="C296" i="1"/>
  <c r="F296" i="1" s="1"/>
  <c r="C343" i="1"/>
  <c r="G343" i="1" s="1"/>
  <c r="C386" i="1" s="1"/>
  <c r="F386" i="1" s="1"/>
  <c r="C344" i="1"/>
  <c r="G344" i="1" s="1"/>
  <c r="C387" i="1" s="1"/>
  <c r="F387" i="1" s="1"/>
</calcChain>
</file>

<file path=xl/sharedStrings.xml><?xml version="1.0" encoding="utf-8"?>
<sst xmlns="http://schemas.openxmlformats.org/spreadsheetml/2006/main" count="352" uniqueCount="112">
  <si>
    <t>AARDGAS</t>
  </si>
  <si>
    <t>Toegelaten inkomen uit periodieke distributienettarieven voor endogene kosten</t>
  </si>
  <si>
    <t>Inkomsten 2017</t>
  </si>
  <si>
    <t>EX-ANTE</t>
  </si>
  <si>
    <t>Totale geactualiseerde endogene kosten per distributienetbeheerder  (T13)</t>
  </si>
  <si>
    <r>
      <t>TK</t>
    </r>
    <r>
      <rPr>
        <b/>
        <vertAlign val="subscript"/>
        <sz val="11"/>
        <color indexed="8"/>
        <rFont val="Calibri"/>
        <family val="2"/>
      </rPr>
      <t>act,j,i</t>
    </r>
  </si>
  <si>
    <r>
      <t>a</t>
    </r>
    <r>
      <rPr>
        <b/>
        <vertAlign val="subscript"/>
        <sz val="11"/>
        <color indexed="8"/>
        <rFont val="Calibri"/>
        <family val="2"/>
      </rPr>
      <t>i</t>
    </r>
  </si>
  <si>
    <t>Gaselwest</t>
  </si>
  <si>
    <t>Imewo</t>
  </si>
  <si>
    <t>Intergem</t>
  </si>
  <si>
    <t>Iverlek</t>
  </si>
  <si>
    <t>Iveka</t>
  </si>
  <si>
    <t>Sibelgas</t>
  </si>
  <si>
    <t>Fluvius Limburg</t>
  </si>
  <si>
    <r>
      <t>∑TK</t>
    </r>
    <r>
      <rPr>
        <b/>
        <vertAlign val="subscript"/>
        <sz val="11"/>
        <color indexed="8"/>
        <rFont val="Calibri"/>
        <family val="2"/>
      </rPr>
      <t>act,j,i</t>
    </r>
  </si>
  <si>
    <r>
      <t>TK</t>
    </r>
    <r>
      <rPr>
        <b/>
        <vertAlign val="subscript"/>
        <sz val="11"/>
        <color indexed="8"/>
        <rFont val="Calibri"/>
        <family val="2"/>
      </rPr>
      <t>trend,2017</t>
    </r>
  </si>
  <si>
    <r>
      <t>TK</t>
    </r>
    <r>
      <rPr>
        <b/>
        <vertAlign val="subscript"/>
        <sz val="11"/>
        <color indexed="8"/>
        <rFont val="Calibri"/>
        <family val="2"/>
      </rPr>
      <t>trend,2020</t>
    </r>
  </si>
  <si>
    <t xml:space="preserve">Evolutie sector </t>
  </si>
  <si>
    <t>Inflatieverwachtingen in 2016 o.b.v. consumptieprijsindex maand juli</t>
  </si>
  <si>
    <r>
      <t>I</t>
    </r>
    <r>
      <rPr>
        <b/>
        <vertAlign val="subscript"/>
        <sz val="11"/>
        <color indexed="8"/>
        <rFont val="Calibri"/>
        <family val="2"/>
      </rPr>
      <t>2017,v</t>
    </r>
  </si>
  <si>
    <r>
      <t>I</t>
    </r>
    <r>
      <rPr>
        <b/>
        <vertAlign val="subscript"/>
        <sz val="11"/>
        <color indexed="8"/>
        <rFont val="Calibri"/>
        <family val="2"/>
      </rPr>
      <t>2016</t>
    </r>
  </si>
  <si>
    <r>
      <t>CPI</t>
    </r>
    <r>
      <rPr>
        <b/>
        <vertAlign val="subscript"/>
        <sz val="11"/>
        <color indexed="8"/>
        <rFont val="Calibri"/>
        <family val="2"/>
      </rPr>
      <t>2017,v</t>
    </r>
  </si>
  <si>
    <t>Toegelaten inkomsten endogene kosten o.b.v. trendberekening</t>
  </si>
  <si>
    <r>
      <t>TI</t>
    </r>
    <r>
      <rPr>
        <vertAlign val="subscript"/>
        <sz val="10"/>
        <color indexed="8"/>
        <rFont val="Calibri"/>
        <family val="2"/>
      </rPr>
      <t>trend,2017</t>
    </r>
  </si>
  <si>
    <r>
      <t>CPI</t>
    </r>
    <r>
      <rPr>
        <vertAlign val="subscript"/>
        <sz val="11"/>
        <color indexed="8"/>
        <rFont val="Calibri"/>
        <family val="2"/>
      </rPr>
      <t>2017,v</t>
    </r>
  </si>
  <si>
    <r>
      <t>q</t>
    </r>
    <r>
      <rPr>
        <vertAlign val="subscript"/>
        <sz val="11"/>
        <color indexed="8"/>
        <rFont val="Calibri"/>
        <family val="2"/>
      </rPr>
      <t>i</t>
    </r>
  </si>
  <si>
    <r>
      <t>TI</t>
    </r>
    <r>
      <rPr>
        <b/>
        <vertAlign val="subscript"/>
        <sz val="11"/>
        <color indexed="8"/>
        <rFont val="Calibri"/>
        <family val="2"/>
      </rPr>
      <t>end,2017,i</t>
    </r>
  </si>
  <si>
    <t xml:space="preserve">Ex-ante correctie voor vennootschapsbelasting </t>
  </si>
  <si>
    <r>
      <t>A</t>
    </r>
    <r>
      <rPr>
        <vertAlign val="subscript"/>
        <sz val="10"/>
        <color indexed="8"/>
        <rFont val="Calibri"/>
        <family val="2"/>
      </rPr>
      <t>2017,i</t>
    </r>
  </si>
  <si>
    <r>
      <t>NI</t>
    </r>
    <r>
      <rPr>
        <vertAlign val="subscript"/>
        <sz val="10"/>
        <color indexed="8"/>
        <rFont val="Calibri"/>
        <family val="2"/>
      </rPr>
      <t>2017,i</t>
    </r>
  </si>
  <si>
    <r>
      <t>VNB</t>
    </r>
    <r>
      <rPr>
        <b/>
        <vertAlign val="subscript"/>
        <sz val="11"/>
        <color indexed="8"/>
        <rFont val="Calibri"/>
        <family val="2"/>
      </rPr>
      <t>2017,i</t>
    </r>
  </si>
  <si>
    <t>bron:  rapportering distributienetbeheerder bijlage 9 na nazicht VREG</t>
  </si>
  <si>
    <t>Voorschotten (T14)</t>
  </si>
  <si>
    <r>
      <t>V</t>
    </r>
    <r>
      <rPr>
        <vertAlign val="subscript"/>
        <sz val="10"/>
        <color indexed="8"/>
        <rFont val="Calibri"/>
        <family val="2"/>
      </rPr>
      <t>2017,i</t>
    </r>
  </si>
  <si>
    <t>Toegelaten inkomsten endogene kosten 2017</t>
  </si>
  <si>
    <r>
      <t>TI</t>
    </r>
    <r>
      <rPr>
        <vertAlign val="subscript"/>
        <sz val="10"/>
        <color indexed="8"/>
        <rFont val="Calibri"/>
        <family val="2"/>
      </rPr>
      <t>end,2017,i</t>
    </r>
  </si>
  <si>
    <r>
      <t>TI</t>
    </r>
    <r>
      <rPr>
        <vertAlign val="subscript"/>
        <sz val="10"/>
        <color indexed="8"/>
        <rFont val="Calibri"/>
        <family val="2"/>
      </rPr>
      <t>end,2017,i,tot</t>
    </r>
  </si>
  <si>
    <t>EX-POST</t>
  </si>
  <si>
    <t>Inflatie o.b.v. consumptieprijsindex</t>
  </si>
  <si>
    <r>
      <t>I</t>
    </r>
    <r>
      <rPr>
        <b/>
        <vertAlign val="subscript"/>
        <sz val="11"/>
        <color indexed="8"/>
        <rFont val="Calibri"/>
        <family val="2"/>
      </rPr>
      <t>2017</t>
    </r>
  </si>
  <si>
    <r>
      <t>CPI</t>
    </r>
    <r>
      <rPr>
        <b/>
        <vertAlign val="subscript"/>
        <sz val="11"/>
        <color indexed="8"/>
        <rFont val="Calibri"/>
        <family val="2"/>
      </rPr>
      <t>2017</t>
    </r>
  </si>
  <si>
    <t>Toegelaten inkomsten endogene kosten 2017 ex-post</t>
  </si>
  <si>
    <r>
      <t>TI</t>
    </r>
    <r>
      <rPr>
        <vertAlign val="subscript"/>
        <sz val="10"/>
        <color indexed="8"/>
        <rFont val="Calibri"/>
        <family val="2"/>
      </rPr>
      <t>end,2017,i,ex-p</t>
    </r>
  </si>
  <si>
    <t>Inkomsten 2018</t>
  </si>
  <si>
    <t>Inflatieverwachtingen in 2017 o.b.v. consumptieprijsindex</t>
  </si>
  <si>
    <r>
      <t>I</t>
    </r>
    <r>
      <rPr>
        <b/>
        <vertAlign val="subscript"/>
        <sz val="11"/>
        <color indexed="8"/>
        <rFont val="Calibri"/>
        <family val="2"/>
      </rPr>
      <t>2018,v</t>
    </r>
  </si>
  <si>
    <r>
      <t>CPI</t>
    </r>
    <r>
      <rPr>
        <b/>
        <vertAlign val="subscript"/>
        <sz val="11"/>
        <color indexed="8"/>
        <rFont val="Calibri"/>
        <family val="2"/>
      </rPr>
      <t>2018,v</t>
    </r>
  </si>
  <si>
    <t>x-waarde reguleringsperiode</t>
  </si>
  <si>
    <t>beginjaar</t>
  </si>
  <si>
    <t>eindjaar</t>
  </si>
  <si>
    <t>p</t>
  </si>
  <si>
    <r>
      <t>TI</t>
    </r>
    <r>
      <rPr>
        <vertAlign val="subscript"/>
        <sz val="10"/>
        <color indexed="8"/>
        <rFont val="Calibri"/>
        <family val="2"/>
      </rPr>
      <t>trend,2020</t>
    </r>
  </si>
  <si>
    <t>x</t>
  </si>
  <si>
    <r>
      <t>TI</t>
    </r>
    <r>
      <rPr>
        <b/>
        <vertAlign val="subscript"/>
        <sz val="11"/>
        <color indexed="8"/>
        <rFont val="Calibri"/>
        <family val="2"/>
      </rPr>
      <t>end,2017,i,ex-p</t>
    </r>
  </si>
  <si>
    <r>
      <t>CPI</t>
    </r>
    <r>
      <rPr>
        <vertAlign val="subscript"/>
        <sz val="11"/>
        <color indexed="8"/>
        <rFont val="Calibri"/>
        <family val="2"/>
      </rPr>
      <t>2018,v</t>
    </r>
  </si>
  <si>
    <r>
      <t>TI</t>
    </r>
    <r>
      <rPr>
        <b/>
        <vertAlign val="subscript"/>
        <sz val="11"/>
        <color indexed="8"/>
        <rFont val="Calibri"/>
        <family val="2"/>
      </rPr>
      <t>end,2018,i</t>
    </r>
  </si>
  <si>
    <r>
      <t>A</t>
    </r>
    <r>
      <rPr>
        <vertAlign val="subscript"/>
        <sz val="10"/>
        <color indexed="8"/>
        <rFont val="Calibri"/>
        <family val="2"/>
      </rPr>
      <t>2018,i</t>
    </r>
  </si>
  <si>
    <r>
      <t>NI</t>
    </r>
    <r>
      <rPr>
        <vertAlign val="subscript"/>
        <sz val="10"/>
        <color indexed="8"/>
        <rFont val="Calibri"/>
        <family val="2"/>
      </rPr>
      <t>2018,i</t>
    </r>
  </si>
  <si>
    <r>
      <t>VNB</t>
    </r>
    <r>
      <rPr>
        <b/>
        <vertAlign val="subscript"/>
        <sz val="11"/>
        <color indexed="8"/>
        <rFont val="Calibri"/>
        <family val="2"/>
      </rPr>
      <t>2018,i</t>
    </r>
  </si>
  <si>
    <r>
      <t>V</t>
    </r>
    <r>
      <rPr>
        <vertAlign val="subscript"/>
        <sz val="10"/>
        <color indexed="8"/>
        <rFont val="Calibri"/>
        <family val="2"/>
      </rPr>
      <t>2018,i</t>
    </r>
  </si>
  <si>
    <t>Toegelaten inkomsten endogene kosten 2018</t>
  </si>
  <si>
    <r>
      <t>TI</t>
    </r>
    <r>
      <rPr>
        <b/>
        <vertAlign val="subscript"/>
        <sz val="10"/>
        <color indexed="8"/>
        <rFont val="Calibri"/>
        <family val="2"/>
      </rPr>
      <t>end,2018,i</t>
    </r>
  </si>
  <si>
    <r>
      <t>TI</t>
    </r>
    <r>
      <rPr>
        <vertAlign val="subscript"/>
        <sz val="10"/>
        <color indexed="8"/>
        <rFont val="Calibri"/>
        <family val="2"/>
      </rPr>
      <t>end,2018,i,tot</t>
    </r>
  </si>
  <si>
    <r>
      <t>I</t>
    </r>
    <r>
      <rPr>
        <b/>
        <vertAlign val="subscript"/>
        <sz val="11"/>
        <color indexed="8"/>
        <rFont val="Calibri"/>
        <family val="2"/>
      </rPr>
      <t>2018</t>
    </r>
  </si>
  <si>
    <r>
      <t>CPI</t>
    </r>
    <r>
      <rPr>
        <b/>
        <vertAlign val="subscript"/>
        <sz val="11"/>
        <color indexed="8"/>
        <rFont val="Calibri"/>
        <family val="2"/>
      </rPr>
      <t>2018</t>
    </r>
  </si>
  <si>
    <t>Toegelaten inkomsten endogene kosten 2018 ex-post</t>
  </si>
  <si>
    <r>
      <t>CPI</t>
    </r>
    <r>
      <rPr>
        <vertAlign val="subscript"/>
        <sz val="11"/>
        <color indexed="8"/>
        <rFont val="Calibri"/>
        <family val="2"/>
      </rPr>
      <t>2018</t>
    </r>
  </si>
  <si>
    <r>
      <t>TI</t>
    </r>
    <r>
      <rPr>
        <b/>
        <vertAlign val="subscript"/>
        <sz val="11"/>
        <color indexed="8"/>
        <rFont val="Calibri"/>
        <family val="2"/>
      </rPr>
      <t>end,2018,i,ex-p</t>
    </r>
  </si>
  <si>
    <t>Inkomsten 2019</t>
  </si>
  <si>
    <t>Inflatieverwachtingen in 2018 o.b.v. consumptieprijsindex</t>
  </si>
  <si>
    <r>
      <t>I</t>
    </r>
    <r>
      <rPr>
        <b/>
        <vertAlign val="subscript"/>
        <sz val="11"/>
        <color indexed="8"/>
        <rFont val="Calibri"/>
        <family val="2"/>
      </rPr>
      <t>2019,v</t>
    </r>
  </si>
  <si>
    <r>
      <t>CPI</t>
    </r>
    <r>
      <rPr>
        <b/>
        <vertAlign val="subscript"/>
        <sz val="11"/>
        <color indexed="8"/>
        <rFont val="Calibri"/>
        <family val="2"/>
      </rPr>
      <t>2019,v</t>
    </r>
  </si>
  <si>
    <t>x'-factor 2019-2020 (tariefmethodologie par. 5.8.3) - Toegevoegd 20/9/2018 - BESL-2018-73</t>
  </si>
  <si>
    <t>j</t>
  </si>
  <si>
    <t>Kostenbesparing B</t>
  </si>
  <si>
    <r>
      <t>TI</t>
    </r>
    <r>
      <rPr>
        <b/>
        <vertAlign val="subscript"/>
        <sz val="11"/>
        <rFont val="Calibri"/>
        <family val="2"/>
      </rPr>
      <t>end,2018,i,ex-p</t>
    </r>
  </si>
  <si>
    <t>x'</t>
  </si>
  <si>
    <r>
      <t>CPI</t>
    </r>
    <r>
      <rPr>
        <vertAlign val="subscript"/>
        <sz val="11"/>
        <color indexed="8"/>
        <rFont val="Calibri"/>
        <family val="2"/>
      </rPr>
      <t>2019,v</t>
    </r>
  </si>
  <si>
    <t>x+x'</t>
  </si>
  <si>
    <r>
      <t>TI</t>
    </r>
    <r>
      <rPr>
        <b/>
        <vertAlign val="subscript"/>
        <sz val="11"/>
        <color indexed="8"/>
        <rFont val="Calibri"/>
        <family val="2"/>
      </rPr>
      <t>end,2019,i</t>
    </r>
  </si>
  <si>
    <r>
      <t>A</t>
    </r>
    <r>
      <rPr>
        <vertAlign val="subscript"/>
        <sz val="10"/>
        <color indexed="8"/>
        <rFont val="Calibri"/>
        <family val="2"/>
      </rPr>
      <t>2019,i</t>
    </r>
  </si>
  <si>
    <r>
      <t>NI</t>
    </r>
    <r>
      <rPr>
        <vertAlign val="subscript"/>
        <sz val="10"/>
        <color indexed="8"/>
        <rFont val="Calibri"/>
        <family val="2"/>
      </rPr>
      <t>2019,i</t>
    </r>
  </si>
  <si>
    <r>
      <t>VNB</t>
    </r>
    <r>
      <rPr>
        <b/>
        <vertAlign val="subscript"/>
        <sz val="11"/>
        <color indexed="8"/>
        <rFont val="Calibri"/>
        <family val="2"/>
      </rPr>
      <t>2019,i</t>
    </r>
  </si>
  <si>
    <r>
      <t>V</t>
    </r>
    <r>
      <rPr>
        <vertAlign val="subscript"/>
        <sz val="10"/>
        <color indexed="8"/>
        <rFont val="Calibri"/>
        <family val="2"/>
      </rPr>
      <t>2019,i</t>
    </r>
    <r>
      <rPr>
        <sz val="10"/>
        <color indexed="8"/>
        <rFont val="Calibri"/>
        <family val="2"/>
      </rPr>
      <t>-</t>
    </r>
    <r>
      <rPr>
        <b/>
        <sz val="10"/>
        <color indexed="8"/>
        <rFont val="Calibri"/>
        <family val="2"/>
      </rPr>
      <t>TV</t>
    </r>
    <r>
      <rPr>
        <vertAlign val="subscript"/>
        <sz val="10"/>
        <color indexed="8"/>
        <rFont val="Calibri"/>
        <family val="2"/>
      </rPr>
      <t>2019,i</t>
    </r>
  </si>
  <si>
    <t>Toegelaten inkomsten endogene kosten 2019</t>
  </si>
  <si>
    <r>
      <t>TI</t>
    </r>
    <r>
      <rPr>
        <b/>
        <vertAlign val="subscript"/>
        <sz val="10"/>
        <color indexed="8"/>
        <rFont val="Calibri"/>
        <family val="2"/>
      </rPr>
      <t>end,2019,i</t>
    </r>
  </si>
  <si>
    <r>
      <t>TI</t>
    </r>
    <r>
      <rPr>
        <vertAlign val="subscript"/>
        <sz val="10"/>
        <color indexed="8"/>
        <rFont val="Calibri"/>
        <family val="2"/>
      </rPr>
      <t>end,2019,i,tot</t>
    </r>
  </si>
  <si>
    <r>
      <t>I</t>
    </r>
    <r>
      <rPr>
        <b/>
        <vertAlign val="subscript"/>
        <sz val="11"/>
        <color indexed="8"/>
        <rFont val="Calibri"/>
        <family val="2"/>
      </rPr>
      <t>2019</t>
    </r>
  </si>
  <si>
    <r>
      <t>CPI</t>
    </r>
    <r>
      <rPr>
        <b/>
        <vertAlign val="subscript"/>
        <sz val="11"/>
        <color indexed="8"/>
        <rFont val="Calibri"/>
        <family val="2"/>
      </rPr>
      <t>2019</t>
    </r>
  </si>
  <si>
    <t>Toegelaten inkomsten endogene kosten 2019 ex-post</t>
  </si>
  <si>
    <r>
      <t>TI</t>
    </r>
    <r>
      <rPr>
        <vertAlign val="subscript"/>
        <sz val="10"/>
        <color indexed="8"/>
        <rFont val="Calibri"/>
        <family val="2"/>
      </rPr>
      <t>end,2018,i,ex-p</t>
    </r>
  </si>
  <si>
    <r>
      <t>CPI</t>
    </r>
    <r>
      <rPr>
        <vertAlign val="subscript"/>
        <sz val="11"/>
        <color indexed="8"/>
        <rFont val="Calibri"/>
        <family val="2"/>
      </rPr>
      <t>2019</t>
    </r>
  </si>
  <si>
    <r>
      <t>TI</t>
    </r>
    <r>
      <rPr>
        <b/>
        <vertAlign val="subscript"/>
        <sz val="11"/>
        <color indexed="8"/>
        <rFont val="Calibri"/>
        <family val="2"/>
      </rPr>
      <t>end,2019,i,ex-p</t>
    </r>
  </si>
  <si>
    <t>Inkomsten 2020</t>
  </si>
  <si>
    <t>Inflatieverwachtingen in 2019 o.b.v. consumptieprijsindex</t>
  </si>
  <si>
    <r>
      <t>I</t>
    </r>
    <r>
      <rPr>
        <b/>
        <vertAlign val="subscript"/>
        <sz val="11"/>
        <color indexed="8"/>
        <rFont val="Calibri"/>
        <family val="2"/>
      </rPr>
      <t>2020,v</t>
    </r>
  </si>
  <si>
    <r>
      <t>CPI</t>
    </r>
    <r>
      <rPr>
        <b/>
        <vertAlign val="subscript"/>
        <sz val="11"/>
        <color indexed="8"/>
        <rFont val="Calibri"/>
        <family val="2"/>
      </rPr>
      <t>2020,v</t>
    </r>
  </si>
  <si>
    <r>
      <t>CPI</t>
    </r>
    <r>
      <rPr>
        <vertAlign val="subscript"/>
        <sz val="11"/>
        <color indexed="8"/>
        <rFont val="Calibri"/>
        <family val="2"/>
      </rPr>
      <t>2020,v</t>
    </r>
  </si>
  <si>
    <r>
      <t>TI</t>
    </r>
    <r>
      <rPr>
        <b/>
        <vertAlign val="subscript"/>
        <sz val="11"/>
        <color indexed="8"/>
        <rFont val="Calibri"/>
        <family val="2"/>
      </rPr>
      <t>end,2020,i</t>
    </r>
  </si>
  <si>
    <r>
      <t>A</t>
    </r>
    <r>
      <rPr>
        <vertAlign val="subscript"/>
        <sz val="10"/>
        <color indexed="8"/>
        <rFont val="Calibri"/>
        <family val="2"/>
      </rPr>
      <t>2020,i</t>
    </r>
  </si>
  <si>
    <r>
      <t>NI</t>
    </r>
    <r>
      <rPr>
        <vertAlign val="subscript"/>
        <sz val="10"/>
        <color indexed="8"/>
        <rFont val="Calibri"/>
        <family val="2"/>
      </rPr>
      <t>2020,i</t>
    </r>
  </si>
  <si>
    <r>
      <t>VNB</t>
    </r>
    <r>
      <rPr>
        <b/>
        <vertAlign val="subscript"/>
        <sz val="11"/>
        <color indexed="8"/>
        <rFont val="Calibri"/>
        <family val="2"/>
      </rPr>
      <t>2020,i</t>
    </r>
  </si>
  <si>
    <r>
      <t>V</t>
    </r>
    <r>
      <rPr>
        <vertAlign val="subscript"/>
        <sz val="10"/>
        <color indexed="8"/>
        <rFont val="Calibri"/>
        <family val="2"/>
      </rPr>
      <t>2020,i</t>
    </r>
    <r>
      <rPr>
        <sz val="10"/>
        <color indexed="8"/>
        <rFont val="Calibri"/>
        <family val="2"/>
      </rPr>
      <t>-</t>
    </r>
    <r>
      <rPr>
        <b/>
        <sz val="10"/>
        <color indexed="8"/>
        <rFont val="Calibri"/>
        <family val="2"/>
      </rPr>
      <t>TV</t>
    </r>
    <r>
      <rPr>
        <vertAlign val="subscript"/>
        <sz val="10"/>
        <color indexed="8"/>
        <rFont val="Calibri"/>
        <family val="2"/>
      </rPr>
      <t>2020,i</t>
    </r>
  </si>
  <si>
    <t>Toegelaten inkomsten endogene kosten 2020</t>
  </si>
  <si>
    <r>
      <t>TI</t>
    </r>
    <r>
      <rPr>
        <b/>
        <vertAlign val="subscript"/>
        <sz val="10"/>
        <color indexed="8"/>
        <rFont val="Calibri"/>
        <family val="2"/>
      </rPr>
      <t>end,2020,i</t>
    </r>
  </si>
  <si>
    <r>
      <t>TI</t>
    </r>
    <r>
      <rPr>
        <vertAlign val="subscript"/>
        <sz val="10"/>
        <color indexed="8"/>
        <rFont val="Calibri"/>
        <family val="2"/>
      </rPr>
      <t>end,2020,i,tot</t>
    </r>
  </si>
  <si>
    <t>Infrax West</t>
  </si>
  <si>
    <t>Fluvius Antwerpen (ex-Iveg)</t>
  </si>
  <si>
    <t>Fluvius Antwerpen (ex-Imea)</t>
  </si>
  <si>
    <t xml:space="preserve">Merk op dat het endogeen toegelaten inkomen 2017 dat uit onderstaande tabellen blijkt, niet overeen komt met het werkelijk endogeen toegelaten inkomen 2017 aangezien in onderstaande tabellen rekening wordt gehouden met de gewijzigde wacc van 4,8% (ter berekening van het endogeen toegelaten inkomen 2020) terwijl het werkelijk endogeen toegelaten inkomen 2017 werd berekend o.b.v. een wacc van 5,0%. Hiernaast was er voor 2019 en 2020 een aanpassing nodig m.b.t. de te verwachten resttermen gas van aardgasdistributienetbeheerders Fluvius Antwerpen (ex-Imea), Iveka en Iverlek. </t>
  </si>
  <si>
    <t xml:space="preserve">Merk op dat het endogeen toegelaten inkomen 2018 dat uit onderstaande tabellen blijkt, niet overeen komt met het werkelijk endogeen toegelaten inkomen 2018 aangezien in onderstaande tabellen rekening wordt gehouden met de gewijzigde wacc van 4,8% (ter berekening van het endogeen toegelaten inkomen 2020) terwijl het werkelijk endogeen toegelaten inkomen 2018 werd berekend o.b.v. een wacc van 4,9%. Hiernaast was er voor 2019 en 2020 een aanpassing nodig m.b.t. de te verwachten resttermen gas van aardgasdistributienetbeheerders Fluvius Antwerpen (ex-Imea), Iveka en Iverlek. </t>
  </si>
  <si>
    <t>Merk op dat het endogeen toegelaten inkomen 2019 dat uit onderstaande tabellen blijkt, niet overeen komt met het werkelijk endogeen toegelaten inkomen 2019 aangezien in onderstaande tabellen rekening wordt gehouden met de gewijzigde wacc van 4,8% (ter berekening van het endogeen toegelaten inkomen 2020) terwijl het werkelijk endogeen toegelaten inkomen 2019 werd berekend o.b.v. een wacc van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</si>
</sst>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quot;€&quot;"/>
    <numFmt numFmtId="165" formatCode="0.00000000000000"/>
    <numFmt numFmtId="166" formatCode="0.0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sz val="16"/>
      <color theme="1"/>
      <name val="Calibri"/>
      <family val="2"/>
      <scheme val="minor"/>
    </font>
    <font>
      <b/>
      <vertAlign val="subscript"/>
      <sz val="11"/>
      <color indexed="8"/>
      <name val="Calibri"/>
      <family val="2"/>
    </font>
    <font>
      <b/>
      <sz val="11"/>
      <color theme="1"/>
      <name val="Calibri"/>
      <family val="2"/>
    </font>
    <font>
      <u/>
      <sz val="11"/>
      <color theme="10"/>
      <name val="Calibri"/>
      <family val="2"/>
      <scheme val="minor"/>
    </font>
    <font>
      <vertAlign val="subscript"/>
      <sz val="10"/>
      <color indexed="8"/>
      <name val="Calibri"/>
      <family val="2"/>
    </font>
    <font>
      <vertAlign val="subscript"/>
      <sz val="11"/>
      <color indexed="8"/>
      <name val="Calibri"/>
      <family val="2"/>
    </font>
    <font>
      <sz val="11"/>
      <name val="Calibri"/>
      <family val="2"/>
      <scheme val="minor"/>
    </font>
    <font>
      <b/>
      <sz val="11"/>
      <name val="Calibri"/>
      <family val="2"/>
      <scheme val="minor"/>
    </font>
    <font>
      <b/>
      <vertAlign val="subscript"/>
      <sz val="10"/>
      <color indexed="8"/>
      <name val="Calibri"/>
      <family val="2"/>
    </font>
    <font>
      <sz val="11"/>
      <color rgb="FF00B050"/>
      <name val="Calibri"/>
      <family val="2"/>
      <scheme val="minor"/>
    </font>
    <font>
      <b/>
      <vertAlign val="subscript"/>
      <sz val="11"/>
      <name val="Calibri"/>
      <family val="2"/>
    </font>
    <font>
      <sz val="10"/>
      <color indexed="8"/>
      <name val="Calibri"/>
      <family val="2"/>
    </font>
    <font>
      <b/>
      <sz val="10"/>
      <color indexed="8"/>
      <name val="Calibri"/>
      <family val="2"/>
    </font>
    <font>
      <i/>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82">
    <xf numFmtId="0" fontId="0" fillId="0" borderId="0" xfId="0"/>
    <xf numFmtId="0" fontId="0" fillId="2" borderId="0" xfId="0" applyFill="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0" xfId="0" applyFont="1" applyFill="1"/>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0" fillId="4" borderId="0" xfId="0" applyFill="1"/>
    <xf numFmtId="0" fontId="2" fillId="2" borderId="10" xfId="0" applyFont="1" applyFill="1" applyBorder="1" applyAlignment="1">
      <alignment horizontal="center"/>
    </xf>
    <xf numFmtId="0" fontId="2" fillId="2" borderId="10" xfId="0" applyFont="1" applyFill="1" applyBorder="1" applyAlignment="1">
      <alignment horizontal="center" vertical="center"/>
    </xf>
    <xf numFmtId="0" fontId="0" fillId="2" borderId="0" xfId="0" applyFont="1" applyFill="1"/>
    <xf numFmtId="0" fontId="0" fillId="2" borderId="10" xfId="0" applyFill="1" applyBorder="1"/>
    <xf numFmtId="164" fontId="1" fillId="2" borderId="10" xfId="1" applyNumberFormat="1" applyFont="1" applyFill="1" applyBorder="1"/>
    <xf numFmtId="10" fontId="1" fillId="2" borderId="10" xfId="1" applyNumberFormat="1" applyFont="1" applyFill="1" applyBorder="1"/>
    <xf numFmtId="0" fontId="6" fillId="2" borderId="10" xfId="0" applyFont="1" applyFill="1" applyBorder="1" applyAlignment="1">
      <alignment horizontal="center"/>
    </xf>
    <xf numFmtId="0" fontId="2" fillId="0" borderId="10" xfId="0" applyFont="1" applyBorder="1"/>
    <xf numFmtId="2" fontId="0" fillId="0" borderId="10" xfId="0" applyNumberFormat="1" applyFont="1" applyFill="1" applyBorder="1"/>
    <xf numFmtId="0" fontId="7" fillId="2" borderId="0" xfId="3" applyFill="1"/>
    <xf numFmtId="10" fontId="1" fillId="0" borderId="10" xfId="2" applyNumberFormat="1" applyFont="1" applyBorder="1"/>
    <xf numFmtId="0" fontId="2" fillId="2" borderId="0" xfId="0" applyFont="1" applyFill="1" applyBorder="1"/>
    <xf numFmtId="164" fontId="0" fillId="2" borderId="10" xfId="0" applyNumberFormat="1" applyFill="1" applyBorder="1" applyAlignment="1">
      <alignment horizontal="center" vertical="center"/>
    </xf>
    <xf numFmtId="10"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10" fontId="1" fillId="2" borderId="10" xfId="2" applyNumberFormat="1" applyFont="1" applyFill="1" applyBorder="1"/>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2" fillId="2" borderId="10" xfId="0" applyFont="1" applyFill="1" applyBorder="1" applyAlignment="1">
      <alignment horizontal="center" vertical="top"/>
    </xf>
    <xf numFmtId="0" fontId="0" fillId="0" borderId="10" xfId="0" applyBorder="1"/>
    <xf numFmtId="164" fontId="1" fillId="0" borderId="10" xfId="1" applyNumberFormat="1" applyFont="1" applyBorder="1"/>
    <xf numFmtId="4" fontId="0" fillId="2" borderId="0" xfId="0" applyNumberFormat="1" applyFill="1"/>
    <xf numFmtId="0" fontId="0" fillId="2" borderId="0" xfId="0" applyFill="1" applyBorder="1"/>
    <xf numFmtId="0" fontId="0" fillId="2" borderId="11" xfId="0" applyFill="1" applyBorder="1"/>
    <xf numFmtId="0" fontId="2" fillId="2" borderId="14" xfId="0" applyFont="1" applyFill="1" applyBorder="1" applyAlignment="1">
      <alignment horizontal="center" vertical="top"/>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15" xfId="0" applyFill="1" applyBorder="1"/>
    <xf numFmtId="164" fontId="1" fillId="2" borderId="16" xfId="1" applyNumberFormat="1" applyFont="1" applyFill="1" applyBorder="1"/>
    <xf numFmtId="164" fontId="1" fillId="2" borderId="14" xfId="1" applyNumberFormat="1" applyFont="1" applyFill="1" applyBorder="1"/>
    <xf numFmtId="164" fontId="1" fillId="2" borderId="17" xfId="1" applyNumberFormat="1" applyFont="1" applyFill="1" applyBorder="1"/>
    <xf numFmtId="0" fontId="0" fillId="2" borderId="17" xfId="0" applyFill="1" applyBorder="1"/>
    <xf numFmtId="0" fontId="0" fillId="2" borderId="18" xfId="0" applyFill="1" applyBorder="1"/>
    <xf numFmtId="164" fontId="1" fillId="2" borderId="18" xfId="1" applyNumberFormat="1" applyFont="1" applyFill="1" applyBorder="1"/>
    <xf numFmtId="0" fontId="7" fillId="0" borderId="0" xfId="3"/>
    <xf numFmtId="0" fontId="11" fillId="2" borderId="0" xfId="0" applyFont="1" applyFill="1"/>
    <xf numFmtId="0" fontId="2" fillId="0" borderId="10" xfId="0" applyFont="1" applyBorder="1" applyAlignment="1">
      <alignment horizontal="left"/>
    </xf>
    <xf numFmtId="0" fontId="2" fillId="2" borderId="10" xfId="0" applyFont="1" applyFill="1" applyBorder="1" applyAlignment="1">
      <alignment horizontal="left"/>
    </xf>
    <xf numFmtId="165" fontId="0" fillId="2" borderId="10" xfId="0" applyNumberFormat="1" applyFill="1" applyBorder="1"/>
    <xf numFmtId="0" fontId="2" fillId="0" borderId="10" xfId="0" applyFont="1" applyBorder="1" applyAlignment="1">
      <alignment horizontal="center" vertical="center"/>
    </xf>
    <xf numFmtId="0" fontId="2" fillId="0" borderId="10" xfId="0" applyFont="1" applyBorder="1" applyAlignment="1">
      <alignment horizontal="center" vertical="top"/>
    </xf>
    <xf numFmtId="164" fontId="0" fillId="2" borderId="0" xfId="0" applyNumberFormat="1" applyFill="1"/>
    <xf numFmtId="44" fontId="0" fillId="2" borderId="0" xfId="0" applyNumberFormat="1" applyFill="1"/>
    <xf numFmtId="0" fontId="10" fillId="2" borderId="0" xfId="0" applyFont="1" applyFill="1"/>
    <xf numFmtId="0" fontId="13" fillId="2" borderId="0" xfId="0" applyFont="1" applyFill="1"/>
    <xf numFmtId="0" fontId="11" fillId="2" borderId="10" xfId="0" applyFont="1" applyFill="1" applyBorder="1" applyAlignment="1">
      <alignment horizontal="left"/>
    </xf>
    <xf numFmtId="0" fontId="10" fillId="2" borderId="10" xfId="0" applyFont="1" applyFill="1" applyBorder="1"/>
    <xf numFmtId="164" fontId="10" fillId="2" borderId="10" xfId="1" applyNumberFormat="1" applyFont="1" applyFill="1" applyBorder="1"/>
    <xf numFmtId="164" fontId="10" fillId="2" borderId="10" xfId="1" applyNumberFormat="1" applyFont="1" applyFill="1" applyBorder="1" applyAlignment="1">
      <alignment horizontal="right"/>
    </xf>
    <xf numFmtId="166" fontId="10" fillId="2" borderId="10" xfId="0" applyNumberFormat="1" applyFont="1" applyFill="1" applyBorder="1" applyAlignment="1">
      <alignment horizontal="right"/>
    </xf>
    <xf numFmtId="0" fontId="13" fillId="2" borderId="0" xfId="0" applyNumberFormat="1" applyFont="1" applyFill="1"/>
    <xf numFmtId="0" fontId="11" fillId="2" borderId="0" xfId="0" applyFont="1" applyFill="1" applyBorder="1" applyAlignment="1">
      <alignment horizontal="left"/>
    </xf>
    <xf numFmtId="166" fontId="10" fillId="2" borderId="0" xfId="0" applyNumberFormat="1" applyFont="1" applyFill="1" applyBorder="1" applyAlignment="1">
      <alignment horizontal="right"/>
    </xf>
    <xf numFmtId="0" fontId="11" fillId="0" borderId="10" xfId="0" applyFont="1" applyBorder="1" applyAlignment="1">
      <alignment horizontal="center" vertical="center"/>
    </xf>
    <xf numFmtId="10" fontId="0" fillId="0" borderId="10" xfId="0" applyNumberForma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2" borderId="10" xfId="0" quotePrefix="1" applyFont="1" applyFill="1" applyBorder="1" applyAlignment="1">
      <alignment horizontal="center" vertical="center"/>
    </xf>
    <xf numFmtId="10" fontId="1" fillId="2" borderId="0" xfId="2" applyNumberFormat="1" applyFont="1" applyFill="1"/>
    <xf numFmtId="164" fontId="0" fillId="2" borderId="0" xfId="0" applyNumberFormat="1" applyFill="1" applyBorder="1"/>
    <xf numFmtId="164" fontId="10" fillId="2" borderId="17" xfId="1" applyNumberFormat="1" applyFont="1" applyFill="1" applyBorder="1"/>
    <xf numFmtId="2" fontId="0" fillId="2" borderId="10" xfId="0" applyNumberFormat="1" applyFont="1" applyFill="1" applyBorder="1"/>
    <xf numFmtId="0" fontId="17" fillId="2" borderId="0" xfId="0" applyFont="1" applyFill="1" applyAlignment="1">
      <alignment horizontal="left" vertical="top" wrapText="1"/>
    </xf>
    <xf numFmtId="2" fontId="10" fillId="2" borderId="10" xfId="0" applyNumberFormat="1" applyFont="1" applyFill="1" applyBorder="1"/>
    <xf numFmtId="164" fontId="1" fillId="2" borderId="20" xfId="1" applyNumberFormat="1" applyFont="1" applyFill="1" applyBorder="1"/>
    <xf numFmtId="164" fontId="2" fillId="2" borderId="19" xfId="0" applyNumberFormat="1" applyFont="1" applyFill="1" applyBorder="1"/>
  </cellXfs>
  <cellStyles count="4">
    <cellStyle name="Hyperlink" xfId="3" builtinId="8"/>
    <cellStyle name="Procent" xfId="2" builtinId="5"/>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S\VREG\Tariefregulering%20-%20Documenten\TM%2017-20\2%20Toegelaten%20inkomens\T.I.%202020\Endo\Bijlage%2011%20-%20ex-ante%20T.I.%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rc%20-%20tarieven\TARIEVEN\Eandis%20informatie\cpi_hist1920_tcm325-659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reg.be/F/Centers/OP/OP_EV/CREG/Dossier%202007/Nacalculatie/Nacalc20080215/Documents%20and%20Settings/htulpinck/Local%20Settings/Temporary%20Internet%20Files/OLK39B/Tariefvoorstel%20aansluitingen%20200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reg.be/WINNT/Profiles/gck162/Temporary%20Internet%20Files/OLK262/Comparaison%20Article%2018%20par%20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zichtstabel"/>
      <sheetName val="wacc"/>
      <sheetName val="T1"/>
      <sheetName val="T2"/>
      <sheetName val="T3"/>
      <sheetName val="T4"/>
      <sheetName val="T5"/>
      <sheetName val="T6"/>
      <sheetName val="T7"/>
      <sheetName val="EURIBOR"/>
      <sheetName val="T8"/>
      <sheetName val="T9"/>
      <sheetName val="T10"/>
      <sheetName val="TI_Elek"/>
      <sheetName val="TI_Ex_Elek"/>
      <sheetName val="TI_En_Elek"/>
      <sheetName val="T11"/>
      <sheetName val="T12"/>
      <sheetName val="TI_Gas"/>
      <sheetName val="TI_Ex_Gas"/>
      <sheetName val="TI_En_Gas"/>
      <sheetName val="T13"/>
      <sheetName val="T14"/>
      <sheetName val="T15"/>
      <sheetName val="Re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3">
          <cell r="C33">
            <v>104.75</v>
          </cell>
        </row>
        <row r="34">
          <cell r="C34">
            <v>103.31</v>
          </cell>
        </row>
        <row r="149">
          <cell r="E149">
            <v>5.0503842346871775E-4</v>
          </cell>
          <cell r="F149">
            <v>0</v>
          </cell>
        </row>
        <row r="249">
          <cell r="C249">
            <v>8.6572694050528476E-3</v>
          </cell>
        </row>
      </sheetData>
      <sheetData sheetId="16"/>
      <sheetData sheetId="17"/>
      <sheetData sheetId="18" refreshError="1"/>
      <sheetData sheetId="19" refreshError="1"/>
      <sheetData sheetId="20">
        <row r="238">
          <cell r="C238">
            <v>8.5833561471204689E-3</v>
          </cell>
        </row>
      </sheetData>
      <sheetData sheetId="21"/>
      <sheetData sheetId="22"/>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COEFF.XLS"/>
      <sheetName val="general index"/>
      <sheetName val="health index"/>
      <sheetName val="cpi_hist1920_tcm325-65934"/>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s>
    <sheetDataSet>
      <sheetData sheetId="0"/>
      <sheetData sheetId="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93"/>
  <sheetViews>
    <sheetView tabSelected="1" zoomScale="85" zoomScaleNormal="85" zoomScaleSheetLayoutView="100" workbookViewId="0">
      <selection activeCell="E384" sqref="E384"/>
    </sheetView>
  </sheetViews>
  <sheetFormatPr defaultColWidth="8.81640625" defaultRowHeight="14.5" x14ac:dyDescent="0.35"/>
  <cols>
    <col min="1" max="1" width="8.81640625" style="1"/>
    <col min="2" max="2" width="25.7265625" style="1" customWidth="1"/>
    <col min="3" max="3" width="22.26953125" style="1" customWidth="1"/>
    <col min="4" max="21" width="17.81640625" style="1" customWidth="1"/>
    <col min="22" max="16384" width="8.81640625" style="1"/>
  </cols>
  <sheetData>
    <row r="1" spans="2:10" ht="15" thickBot="1" x14ac:dyDescent="0.4"/>
    <row r="2" spans="2:10" x14ac:dyDescent="0.35">
      <c r="B2" s="2" t="s">
        <v>0</v>
      </c>
      <c r="C2" s="3"/>
      <c r="D2" s="3"/>
      <c r="E2" s="3"/>
      <c r="F2" s="3"/>
      <c r="G2" s="3"/>
      <c r="H2" s="3"/>
      <c r="I2" s="3"/>
      <c r="J2" s="4"/>
    </row>
    <row r="3" spans="2:10" ht="15" thickBot="1" x14ac:dyDescent="0.4">
      <c r="B3" s="5"/>
      <c r="C3" s="6"/>
      <c r="D3" s="6"/>
      <c r="E3" s="6"/>
      <c r="F3" s="6"/>
      <c r="G3" s="6"/>
      <c r="H3" s="6"/>
      <c r="I3" s="6"/>
      <c r="J3" s="7"/>
    </row>
    <row r="5" spans="2:10" x14ac:dyDescent="0.35">
      <c r="B5" s="8" t="s">
        <v>1</v>
      </c>
    </row>
    <row r="6" spans="2:10" ht="15" thickBot="1" x14ac:dyDescent="0.4"/>
    <row r="7" spans="2:10" ht="21.5" thickBot="1" x14ac:dyDescent="0.55000000000000004">
      <c r="B7" s="9" t="s">
        <v>2</v>
      </c>
      <c r="C7" s="10"/>
      <c r="D7" s="10"/>
      <c r="E7" s="10"/>
      <c r="F7" s="10"/>
      <c r="G7" s="10"/>
      <c r="H7" s="10"/>
      <c r="I7" s="10"/>
      <c r="J7" s="11"/>
    </row>
    <row r="9" spans="2:10" ht="60.5" customHeight="1" x14ac:dyDescent="0.35">
      <c r="B9" s="78" t="s">
        <v>109</v>
      </c>
      <c r="C9" s="78"/>
      <c r="D9" s="78"/>
      <c r="E9" s="78"/>
      <c r="F9" s="78"/>
      <c r="G9" s="78"/>
      <c r="H9" s="78"/>
      <c r="I9" s="78"/>
      <c r="J9" s="78"/>
    </row>
    <row r="11" spans="2:10" x14ac:dyDescent="0.35">
      <c r="B11" s="12" t="s">
        <v>3</v>
      </c>
      <c r="C11" s="12"/>
      <c r="D11" s="12"/>
      <c r="E11" s="12"/>
      <c r="F11" s="12"/>
      <c r="G11" s="12"/>
      <c r="H11" s="12"/>
      <c r="I11" s="12"/>
      <c r="J11" s="12"/>
    </row>
    <row r="14" spans="2:10" x14ac:dyDescent="0.35">
      <c r="B14" s="8" t="s">
        <v>4</v>
      </c>
    </row>
    <row r="16" spans="2:10" s="15" customFormat="1" ht="16.5" x14ac:dyDescent="0.45">
      <c r="B16" s="13" t="s">
        <v>5</v>
      </c>
      <c r="C16" s="14">
        <v>2011</v>
      </c>
      <c r="D16" s="14">
        <v>2012</v>
      </c>
      <c r="E16" s="14">
        <v>2013</v>
      </c>
      <c r="F16" s="14">
        <v>2014</v>
      </c>
      <c r="G16" s="14">
        <v>2015</v>
      </c>
      <c r="H16" s="14" t="s">
        <v>6</v>
      </c>
    </row>
    <row r="17" spans="2:10" x14ac:dyDescent="0.35">
      <c r="B17" s="16" t="s">
        <v>7</v>
      </c>
      <c r="C17" s="17">
        <v>72629384.498963967</v>
      </c>
      <c r="D17" s="17">
        <v>72398037.520826548</v>
      </c>
      <c r="E17" s="17">
        <v>68285311.554755747</v>
      </c>
      <c r="F17" s="17">
        <v>66994608.119081885</v>
      </c>
      <c r="G17" s="17">
        <v>70352863.790826425</v>
      </c>
      <c r="H17" s="18">
        <f t="shared" ref="H17:H26" si="0">SUM(C17:G17)/SUM($C$17:$G$26)</f>
        <v>0.15841696977346359</v>
      </c>
    </row>
    <row r="18" spans="2:10" x14ac:dyDescent="0.35">
      <c r="B18" s="16" t="s">
        <v>8</v>
      </c>
      <c r="C18" s="17">
        <v>82921318.388422117</v>
      </c>
      <c r="D18" s="17">
        <v>84402189.614883974</v>
      </c>
      <c r="E18" s="17">
        <v>84767285.901459187</v>
      </c>
      <c r="F18" s="17">
        <v>86127580.555860028</v>
      </c>
      <c r="G18" s="17">
        <v>86054190.325622112</v>
      </c>
      <c r="H18" s="18">
        <f t="shared" si="0"/>
        <v>0.19167265923031135</v>
      </c>
    </row>
    <row r="19" spans="2:10" x14ac:dyDescent="0.35">
      <c r="B19" s="16" t="s">
        <v>108</v>
      </c>
      <c r="C19" s="17">
        <v>39372602.247568212</v>
      </c>
      <c r="D19" s="17">
        <v>36839443.3656279</v>
      </c>
      <c r="E19" s="17">
        <v>37733687.681396164</v>
      </c>
      <c r="F19" s="17">
        <v>33571826.259267017</v>
      </c>
      <c r="G19" s="17">
        <v>37551127.543281041</v>
      </c>
      <c r="H19" s="18">
        <f t="shared" si="0"/>
        <v>8.3608063165815927E-2</v>
      </c>
    </row>
    <row r="20" spans="2:10" x14ac:dyDescent="0.35">
      <c r="B20" s="16" t="s">
        <v>9</v>
      </c>
      <c r="C20" s="17">
        <v>37316758.108551875</v>
      </c>
      <c r="D20" s="17">
        <v>37009497.425739303</v>
      </c>
      <c r="E20" s="17">
        <v>38938796.596265085</v>
      </c>
      <c r="F20" s="17">
        <v>39817005.359739572</v>
      </c>
      <c r="G20" s="17">
        <v>39337070.356148168</v>
      </c>
      <c r="H20" s="18">
        <f t="shared" si="0"/>
        <v>8.6928755196995652E-2</v>
      </c>
    </row>
    <row r="21" spans="2:10" x14ac:dyDescent="0.35">
      <c r="B21" s="16" t="s">
        <v>10</v>
      </c>
      <c r="C21" s="17">
        <v>71877333.273388445</v>
      </c>
      <c r="D21" s="17">
        <v>72594420.520463377</v>
      </c>
      <c r="E21" s="17">
        <v>73274278.94524987</v>
      </c>
      <c r="F21" s="17">
        <v>77765039.829955131</v>
      </c>
      <c r="G21" s="17">
        <v>77204766.869578779</v>
      </c>
      <c r="H21" s="18">
        <f t="shared" si="0"/>
        <v>0.16838099375681509</v>
      </c>
    </row>
    <row r="22" spans="2:10" x14ac:dyDescent="0.35">
      <c r="B22" s="16" t="s">
        <v>11</v>
      </c>
      <c r="C22" s="17">
        <v>51825258.267409794</v>
      </c>
      <c r="D22" s="17">
        <v>50675406.273949645</v>
      </c>
      <c r="E22" s="17">
        <v>51142820.815024734</v>
      </c>
      <c r="F22" s="17">
        <v>51943721.47996787</v>
      </c>
      <c r="G22" s="17">
        <v>53045603.882016234</v>
      </c>
      <c r="H22" s="18">
        <f t="shared" si="0"/>
        <v>0.11684196129809782</v>
      </c>
    </row>
    <row r="23" spans="2:10" x14ac:dyDescent="0.35">
      <c r="B23" s="16" t="s">
        <v>12</v>
      </c>
      <c r="C23" s="17">
        <v>8860587.2879139129</v>
      </c>
      <c r="D23" s="17">
        <v>11422486.035305833</v>
      </c>
      <c r="E23" s="17">
        <v>16842155.331051495</v>
      </c>
      <c r="F23" s="17">
        <v>13608224.643415164</v>
      </c>
      <c r="G23" s="17">
        <v>11423610.840415278</v>
      </c>
      <c r="H23" s="18">
        <f t="shared" si="0"/>
        <v>2.8080556609408065E-2</v>
      </c>
    </row>
    <row r="24" spans="2:10" x14ac:dyDescent="0.35">
      <c r="B24" s="16" t="s">
        <v>106</v>
      </c>
      <c r="C24" s="17">
        <v>11595740.891737016</v>
      </c>
      <c r="D24" s="17">
        <v>10621919.72852671</v>
      </c>
      <c r="E24" s="17">
        <v>12347837.513389189</v>
      </c>
      <c r="F24" s="17">
        <v>13480171.320003495</v>
      </c>
      <c r="G24" s="17">
        <v>13117586.737915037</v>
      </c>
      <c r="H24" s="18">
        <f t="shared" si="0"/>
        <v>2.7631586235913292E-2</v>
      </c>
    </row>
    <row r="25" spans="2:10" x14ac:dyDescent="0.35">
      <c r="B25" s="16" t="s">
        <v>107</v>
      </c>
      <c r="C25" s="17">
        <v>11523559.25307304</v>
      </c>
      <c r="D25" s="17">
        <v>12577171.172925562</v>
      </c>
      <c r="E25" s="17">
        <v>13227184.34508761</v>
      </c>
      <c r="F25" s="17">
        <v>14651274.59313179</v>
      </c>
      <c r="G25" s="17">
        <v>13065763.455200776</v>
      </c>
      <c r="H25" s="18">
        <f t="shared" si="0"/>
        <v>2.9385211562499455E-2</v>
      </c>
    </row>
    <row r="26" spans="2:10" x14ac:dyDescent="0.35">
      <c r="B26" s="16" t="s">
        <v>13</v>
      </c>
      <c r="C26" s="17">
        <v>44878717.717656307</v>
      </c>
      <c r="D26" s="17">
        <v>42487378.726506934</v>
      </c>
      <c r="E26" s="17">
        <v>46841530.283473365</v>
      </c>
      <c r="F26" s="17">
        <v>54565888.992436819</v>
      </c>
      <c r="G26" s="17">
        <v>52618758.817566365</v>
      </c>
      <c r="H26" s="18">
        <f t="shared" si="0"/>
        <v>0.10905324317068017</v>
      </c>
    </row>
    <row r="28" spans="2:10" s="15" customFormat="1" ht="16.5" x14ac:dyDescent="0.45">
      <c r="B28" s="19" t="s">
        <v>14</v>
      </c>
      <c r="C28" s="14">
        <v>2011</v>
      </c>
      <c r="D28" s="14">
        <v>2012</v>
      </c>
      <c r="E28" s="14">
        <v>2013</v>
      </c>
      <c r="F28" s="14">
        <v>2014</v>
      </c>
      <c r="G28" s="14">
        <v>2015</v>
      </c>
      <c r="I28" s="14" t="s">
        <v>15</v>
      </c>
      <c r="J28" s="14" t="s">
        <v>16</v>
      </c>
    </row>
    <row r="29" spans="2:10" x14ac:dyDescent="0.35">
      <c r="B29" s="16" t="s">
        <v>17</v>
      </c>
      <c r="C29" s="17">
        <f>SUM(C17:C26)</f>
        <v>432801259.93468475</v>
      </c>
      <c r="D29" s="17">
        <f>SUM(D17:D26)</f>
        <v>431027950.38475585</v>
      </c>
      <c r="E29" s="17">
        <f>SUM(E17:E26)</f>
        <v>443400888.96715236</v>
      </c>
      <c r="F29" s="17">
        <f>SUM(F17:F26)</f>
        <v>452525341.15285879</v>
      </c>
      <c r="G29" s="17">
        <f>SUM(G17:G26)</f>
        <v>453771342.61857021</v>
      </c>
      <c r="I29" s="17">
        <f>TREND($C$29:$G$29,$C$28:$G$28,2017)</f>
        <v>468080379.06595421</v>
      </c>
      <c r="J29" s="17">
        <f>TREND($C$29:$G$29,$C$28:$G$28,2020)</f>
        <v>487111645.9067173</v>
      </c>
    </row>
    <row r="30" spans="2:10" s="15" customFormat="1" x14ac:dyDescent="0.35"/>
    <row r="31" spans="2:10" s="15" customFormat="1" x14ac:dyDescent="0.35">
      <c r="B31" s="8" t="s">
        <v>18</v>
      </c>
    </row>
    <row r="32" spans="2:10" s="15" customFormat="1" x14ac:dyDescent="0.35"/>
    <row r="33" spans="2:7" s="15" customFormat="1" ht="16.5" x14ac:dyDescent="0.45">
      <c r="B33" s="20" t="s">
        <v>19</v>
      </c>
      <c r="C33" s="21">
        <f>+[1]TI_En_Elek!C33</f>
        <v>104.75</v>
      </c>
      <c r="D33" s="22"/>
    </row>
    <row r="34" spans="2:7" s="15" customFormat="1" ht="16.5" x14ac:dyDescent="0.45">
      <c r="B34" s="20" t="s">
        <v>20</v>
      </c>
      <c r="C34" s="21">
        <f>+[1]TI_En_Elek!C34</f>
        <v>103.31</v>
      </c>
    </row>
    <row r="35" spans="2:7" s="15" customFormat="1" ht="16.5" x14ac:dyDescent="0.45">
      <c r="B35" s="20" t="s">
        <v>21</v>
      </c>
      <c r="C35" s="23">
        <f>+C33/C34-1</f>
        <v>1.3938631303842763E-2</v>
      </c>
    </row>
    <row r="36" spans="2:7" s="15" customFormat="1" x14ac:dyDescent="0.35"/>
    <row r="37" spans="2:7" s="15" customFormat="1" x14ac:dyDescent="0.35">
      <c r="B37" s="24" t="s">
        <v>22</v>
      </c>
    </row>
    <row r="38" spans="2:7" s="15" customFormat="1" x14ac:dyDescent="0.35"/>
    <row r="39" spans="2:7" ht="16.5" x14ac:dyDescent="0.35">
      <c r="B39" s="16"/>
      <c r="C39" s="14" t="s">
        <v>23</v>
      </c>
      <c r="D39" s="14" t="s">
        <v>6</v>
      </c>
      <c r="E39" s="14" t="s">
        <v>24</v>
      </c>
      <c r="F39" s="14" t="s">
        <v>25</v>
      </c>
      <c r="G39" s="14" t="s">
        <v>26</v>
      </c>
    </row>
    <row r="40" spans="2:7" x14ac:dyDescent="0.35">
      <c r="B40" s="16" t="s">
        <v>7</v>
      </c>
      <c r="C40" s="25">
        <f>+I29</f>
        <v>468080379.06595421</v>
      </c>
      <c r="D40" s="18">
        <f>+H17</f>
        <v>0.15841696977346359</v>
      </c>
      <c r="E40" s="26">
        <f>+C35</f>
        <v>1.3938631303842763E-2</v>
      </c>
      <c r="F40" s="27">
        <v>0</v>
      </c>
      <c r="G40" s="17">
        <f>+$C$40*D40*(1+$E$40)*(1+$F$40)</f>
        <v>75185450.911808789</v>
      </c>
    </row>
    <row r="41" spans="2:7" x14ac:dyDescent="0.35">
      <c r="B41" s="16" t="s">
        <v>8</v>
      </c>
      <c r="C41" s="25"/>
      <c r="D41" s="28">
        <f t="shared" ref="D41:D49" si="1">+H18</f>
        <v>0.19167265923031135</v>
      </c>
      <c r="E41" s="29"/>
      <c r="F41" s="30"/>
      <c r="G41" s="17">
        <f t="shared" ref="G41:G49" si="2">+$C$40*D41*(1+$E$40)*(1+$F$40)</f>
        <v>90968760.053321093</v>
      </c>
    </row>
    <row r="42" spans="2:7" x14ac:dyDescent="0.35">
      <c r="B42" s="16" t="s">
        <v>108</v>
      </c>
      <c r="C42" s="25"/>
      <c r="D42" s="28">
        <f t="shared" si="1"/>
        <v>8.3608063165815927E-2</v>
      </c>
      <c r="E42" s="29"/>
      <c r="F42" s="30"/>
      <c r="G42" s="17">
        <f t="shared" si="2"/>
        <v>39680786.332259767</v>
      </c>
    </row>
    <row r="43" spans="2:7" x14ac:dyDescent="0.35">
      <c r="B43" s="16" t="s">
        <v>9</v>
      </c>
      <c r="C43" s="25"/>
      <c r="D43" s="28">
        <f t="shared" si="1"/>
        <v>8.6928755196995652E-2</v>
      </c>
      <c r="E43" s="29"/>
      <c r="F43" s="30"/>
      <c r="G43" s="17">
        <f t="shared" si="2"/>
        <v>41256802.639480658</v>
      </c>
    </row>
    <row r="44" spans="2:7" x14ac:dyDescent="0.35">
      <c r="B44" s="16" t="s">
        <v>10</v>
      </c>
      <c r="C44" s="25"/>
      <c r="D44" s="28">
        <f t="shared" si="1"/>
        <v>0.16838099375681509</v>
      </c>
      <c r="E44" s="29"/>
      <c r="F44" s="30"/>
      <c r="G44" s="17">
        <f t="shared" si="2"/>
        <v>79914424.311285168</v>
      </c>
    </row>
    <row r="45" spans="2:7" x14ac:dyDescent="0.35">
      <c r="B45" s="16" t="s">
        <v>11</v>
      </c>
      <c r="C45" s="25"/>
      <c r="D45" s="28">
        <f t="shared" si="1"/>
        <v>0.11684196129809782</v>
      </c>
      <c r="E45" s="29"/>
      <c r="F45" s="30"/>
      <c r="G45" s="17">
        <f t="shared" si="2"/>
        <v>55453753.20699475</v>
      </c>
    </row>
    <row r="46" spans="2:7" x14ac:dyDescent="0.35">
      <c r="B46" s="16" t="s">
        <v>12</v>
      </c>
      <c r="C46" s="25"/>
      <c r="D46" s="28">
        <f t="shared" si="1"/>
        <v>2.8080556609408065E-2</v>
      </c>
      <c r="E46" s="29"/>
      <c r="F46" s="30"/>
      <c r="G46" s="17">
        <f t="shared" si="2"/>
        <v>13327166.360725159</v>
      </c>
    </row>
    <row r="47" spans="2:7" x14ac:dyDescent="0.35">
      <c r="B47" s="16" t="s">
        <v>106</v>
      </c>
      <c r="C47" s="25"/>
      <c r="D47" s="28">
        <f t="shared" si="1"/>
        <v>2.7631586235913292E-2</v>
      </c>
      <c r="E47" s="29"/>
      <c r="F47" s="30"/>
      <c r="G47" s="17">
        <f t="shared" si="2"/>
        <v>13114082.875884367</v>
      </c>
    </row>
    <row r="48" spans="2:7" x14ac:dyDescent="0.35">
      <c r="B48" s="16" t="s">
        <v>107</v>
      </c>
      <c r="C48" s="25"/>
      <c r="D48" s="28">
        <f t="shared" si="1"/>
        <v>2.9385211562499455E-2</v>
      </c>
      <c r="E48" s="29"/>
      <c r="F48" s="30"/>
      <c r="G48" s="17">
        <f t="shared" si="2"/>
        <v>13946361.836265255</v>
      </c>
    </row>
    <row r="49" spans="2:7" x14ac:dyDescent="0.35">
      <c r="B49" s="16" t="s">
        <v>13</v>
      </c>
      <c r="C49" s="25"/>
      <c r="D49" s="28">
        <f t="shared" si="1"/>
        <v>0.10905324317068017</v>
      </c>
      <c r="E49" s="29"/>
      <c r="F49" s="31"/>
      <c r="G49" s="17">
        <f t="shared" si="2"/>
        <v>51757190.362292692</v>
      </c>
    </row>
    <row r="51" spans="2:7" x14ac:dyDescent="0.35">
      <c r="B51" s="8" t="s">
        <v>27</v>
      </c>
    </row>
    <row r="53" spans="2:7" ht="16.5" x14ac:dyDescent="0.35">
      <c r="B53" s="16"/>
      <c r="C53" s="14" t="s">
        <v>28</v>
      </c>
      <c r="D53" s="14" t="s">
        <v>29</v>
      </c>
      <c r="E53" s="32" t="s">
        <v>30</v>
      </c>
    </row>
    <row r="54" spans="2:7" x14ac:dyDescent="0.35">
      <c r="B54" s="33" t="s">
        <v>7</v>
      </c>
      <c r="C54" s="17">
        <v>1845602.6448356309</v>
      </c>
      <c r="D54" s="17">
        <v>-171908.39740512092</v>
      </c>
      <c r="E54" s="17">
        <f>+C54+D54</f>
        <v>1673694.2474305099</v>
      </c>
    </row>
    <row r="55" spans="2:7" x14ac:dyDescent="0.35">
      <c r="B55" s="33" t="s">
        <v>8</v>
      </c>
      <c r="C55" s="17">
        <v>1648257.9252007268</v>
      </c>
      <c r="D55" s="17">
        <v>-243142.5743144275</v>
      </c>
      <c r="E55" s="17">
        <f t="shared" ref="E55:E63" si="3">+C55+D55</f>
        <v>1405115.3508862993</v>
      </c>
    </row>
    <row r="56" spans="2:7" x14ac:dyDescent="0.35">
      <c r="B56" s="33" t="s">
        <v>108</v>
      </c>
      <c r="C56" s="17">
        <v>820102.62027723063</v>
      </c>
      <c r="D56" s="17">
        <v>-102124.36391351176</v>
      </c>
      <c r="E56" s="17">
        <f t="shared" si="3"/>
        <v>717978.25636371889</v>
      </c>
    </row>
    <row r="57" spans="2:7" x14ac:dyDescent="0.35">
      <c r="B57" s="33" t="s">
        <v>9</v>
      </c>
      <c r="C57" s="17">
        <v>995837.82023178285</v>
      </c>
      <c r="D57" s="17">
        <v>-111648.02986051081</v>
      </c>
      <c r="E57" s="17">
        <f t="shared" si="3"/>
        <v>884189.79037127201</v>
      </c>
    </row>
    <row r="58" spans="2:7" x14ac:dyDescent="0.35">
      <c r="B58" s="33" t="s">
        <v>10</v>
      </c>
      <c r="C58" s="17">
        <v>1548043.7525162855</v>
      </c>
      <c r="D58" s="17">
        <v>-212124.58372126735</v>
      </c>
      <c r="E58" s="17">
        <f t="shared" si="3"/>
        <v>1335919.1687950182</v>
      </c>
    </row>
    <row r="59" spans="2:7" x14ac:dyDescent="0.35">
      <c r="B59" s="33" t="s">
        <v>11</v>
      </c>
      <c r="C59" s="17">
        <v>1372102.4601878503</v>
      </c>
      <c r="D59" s="17">
        <v>-137939.89744971041</v>
      </c>
      <c r="E59" s="17">
        <f t="shared" si="3"/>
        <v>1234162.5627381399</v>
      </c>
    </row>
    <row r="60" spans="2:7" x14ac:dyDescent="0.35">
      <c r="B60" s="33" t="s">
        <v>12</v>
      </c>
      <c r="C60" s="17">
        <v>301895.24084684131</v>
      </c>
      <c r="D60" s="17">
        <v>-17221.820366955239</v>
      </c>
      <c r="E60" s="17">
        <f t="shared" si="3"/>
        <v>284673.42047988606</v>
      </c>
    </row>
    <row r="61" spans="2:7" x14ac:dyDescent="0.35">
      <c r="B61" s="33" t="s">
        <v>106</v>
      </c>
      <c r="C61" s="17">
        <v>373532.35314696701</v>
      </c>
      <c r="D61" s="17">
        <v>-55896.990511665455</v>
      </c>
      <c r="E61" s="17">
        <f t="shared" si="3"/>
        <v>317635.36263530154</v>
      </c>
      <c r="F61" s="35"/>
    </row>
    <row r="62" spans="2:7" x14ac:dyDescent="0.35">
      <c r="B62" s="33" t="s">
        <v>107</v>
      </c>
      <c r="C62" s="17">
        <v>219662.97647132768</v>
      </c>
      <c r="D62" s="17">
        <v>-44531.837418072108</v>
      </c>
      <c r="E62" s="17">
        <f t="shared" si="3"/>
        <v>175131.13905325558</v>
      </c>
      <c r="F62" s="35"/>
    </row>
    <row r="63" spans="2:7" x14ac:dyDescent="0.35">
      <c r="B63" s="33" t="s">
        <v>13</v>
      </c>
      <c r="C63" s="17">
        <v>1023235.0526859567</v>
      </c>
      <c r="D63" s="17">
        <v>-219150.33040943835</v>
      </c>
      <c r="E63" s="17">
        <f t="shared" si="3"/>
        <v>804084.72227651835</v>
      </c>
      <c r="F63" s="35"/>
    </row>
    <row r="64" spans="2:7" s="36" customFormat="1" x14ac:dyDescent="0.35">
      <c r="B64" s="36" t="s">
        <v>31</v>
      </c>
    </row>
    <row r="66" spans="2:3" x14ac:dyDescent="0.35">
      <c r="B66" s="24" t="s">
        <v>32</v>
      </c>
    </row>
    <row r="68" spans="2:3" ht="15" x14ac:dyDescent="0.35">
      <c r="B68" s="16"/>
      <c r="C68" s="14" t="s">
        <v>33</v>
      </c>
    </row>
    <row r="69" spans="2:3" x14ac:dyDescent="0.35">
      <c r="B69" s="16" t="s">
        <v>7</v>
      </c>
      <c r="C69" s="17">
        <v>0</v>
      </c>
    </row>
    <row r="70" spans="2:3" x14ac:dyDescent="0.35">
      <c r="B70" s="16" t="s">
        <v>8</v>
      </c>
      <c r="C70" s="17">
        <v>0</v>
      </c>
    </row>
    <row r="71" spans="2:3" x14ac:dyDescent="0.35">
      <c r="B71" s="16" t="s">
        <v>108</v>
      </c>
      <c r="C71" s="17">
        <v>0</v>
      </c>
    </row>
    <row r="72" spans="2:3" x14ac:dyDescent="0.35">
      <c r="B72" s="16" t="s">
        <v>9</v>
      </c>
      <c r="C72" s="17">
        <v>0</v>
      </c>
    </row>
    <row r="73" spans="2:3" x14ac:dyDescent="0.35">
      <c r="B73" s="16" t="s">
        <v>10</v>
      </c>
      <c r="C73" s="17">
        <v>0</v>
      </c>
    </row>
    <row r="74" spans="2:3" x14ac:dyDescent="0.35">
      <c r="B74" s="16" t="s">
        <v>11</v>
      </c>
      <c r="C74" s="17">
        <v>0</v>
      </c>
    </row>
    <row r="75" spans="2:3" x14ac:dyDescent="0.35">
      <c r="B75" s="16" t="s">
        <v>12</v>
      </c>
      <c r="C75" s="17">
        <v>0</v>
      </c>
    </row>
    <row r="76" spans="2:3" x14ac:dyDescent="0.35">
      <c r="B76" s="16" t="s">
        <v>106</v>
      </c>
      <c r="C76" s="17">
        <v>0</v>
      </c>
    </row>
    <row r="77" spans="2:3" x14ac:dyDescent="0.35">
      <c r="B77" s="16" t="s">
        <v>107</v>
      </c>
      <c r="C77" s="17">
        <v>0</v>
      </c>
    </row>
    <row r="78" spans="2:3" x14ac:dyDescent="0.35">
      <c r="B78" s="16" t="s">
        <v>13</v>
      </c>
      <c r="C78" s="17">
        <v>0</v>
      </c>
    </row>
    <row r="80" spans="2:3" x14ac:dyDescent="0.35">
      <c r="B80" s="24" t="s">
        <v>34</v>
      </c>
    </row>
    <row r="81" spans="2:10" ht="15" thickBot="1" x14ac:dyDescent="0.4"/>
    <row r="82" spans="2:10" ht="17" thickBot="1" x14ac:dyDescent="0.4">
      <c r="B82" s="37"/>
      <c r="C82" s="14" t="s">
        <v>35</v>
      </c>
      <c r="D82" s="38" t="s">
        <v>30</v>
      </c>
      <c r="E82" s="39" t="s">
        <v>33</v>
      </c>
      <c r="F82" s="40" t="s">
        <v>36</v>
      </c>
    </row>
    <row r="83" spans="2:10" x14ac:dyDescent="0.35">
      <c r="B83" s="41" t="s">
        <v>7</v>
      </c>
      <c r="C83" s="42">
        <f t="shared" ref="C83:C92" si="4">+G40</f>
        <v>75185450.911808789</v>
      </c>
      <c r="D83" s="43">
        <f t="shared" ref="D83:D92" si="5">+E54</f>
        <v>1673694.2474305099</v>
      </c>
      <c r="E83" s="43">
        <f>+C69</f>
        <v>0</v>
      </c>
      <c r="F83" s="44">
        <f>+C83+D83+E83</f>
        <v>76859145.159239292</v>
      </c>
    </row>
    <row r="84" spans="2:10" x14ac:dyDescent="0.35">
      <c r="B84" s="45" t="s">
        <v>8</v>
      </c>
      <c r="C84" s="42">
        <f t="shared" si="4"/>
        <v>90968760.053321093</v>
      </c>
      <c r="D84" s="43">
        <f t="shared" si="5"/>
        <v>1405115.3508862993</v>
      </c>
      <c r="E84" s="43">
        <f t="shared" ref="E84:E92" si="6">+C70</f>
        <v>0</v>
      </c>
      <c r="F84" s="44">
        <f t="shared" ref="F84:F92" si="7">+C84+D84+E84</f>
        <v>92373875.404207394</v>
      </c>
    </row>
    <row r="85" spans="2:10" x14ac:dyDescent="0.35">
      <c r="B85" s="45" t="s">
        <v>108</v>
      </c>
      <c r="C85" s="42">
        <f t="shared" si="4"/>
        <v>39680786.332259767</v>
      </c>
      <c r="D85" s="43">
        <f t="shared" si="5"/>
        <v>717978.25636371889</v>
      </c>
      <c r="E85" s="43">
        <f t="shared" si="6"/>
        <v>0</v>
      </c>
      <c r="F85" s="44">
        <f t="shared" si="7"/>
        <v>40398764.588623486</v>
      </c>
    </row>
    <row r="86" spans="2:10" x14ac:dyDescent="0.35">
      <c r="B86" s="45" t="s">
        <v>9</v>
      </c>
      <c r="C86" s="42">
        <f t="shared" si="4"/>
        <v>41256802.639480658</v>
      </c>
      <c r="D86" s="43">
        <f t="shared" si="5"/>
        <v>884189.79037127201</v>
      </c>
      <c r="E86" s="43">
        <f t="shared" si="6"/>
        <v>0</v>
      </c>
      <c r="F86" s="44">
        <f t="shared" si="7"/>
        <v>42140992.429851927</v>
      </c>
    </row>
    <row r="87" spans="2:10" x14ac:dyDescent="0.35">
      <c r="B87" s="45" t="s">
        <v>10</v>
      </c>
      <c r="C87" s="42">
        <f t="shared" si="4"/>
        <v>79914424.311285168</v>
      </c>
      <c r="D87" s="43">
        <f t="shared" si="5"/>
        <v>1335919.1687950182</v>
      </c>
      <c r="E87" s="43">
        <f t="shared" si="6"/>
        <v>0</v>
      </c>
      <c r="F87" s="44">
        <f t="shared" si="7"/>
        <v>81250343.480080187</v>
      </c>
    </row>
    <row r="88" spans="2:10" x14ac:dyDescent="0.35">
      <c r="B88" s="45" t="s">
        <v>11</v>
      </c>
      <c r="C88" s="42">
        <f t="shared" si="4"/>
        <v>55453753.20699475</v>
      </c>
      <c r="D88" s="43">
        <f t="shared" si="5"/>
        <v>1234162.5627381399</v>
      </c>
      <c r="E88" s="43">
        <f t="shared" si="6"/>
        <v>0</v>
      </c>
      <c r="F88" s="44">
        <f t="shared" si="7"/>
        <v>56687915.769732893</v>
      </c>
    </row>
    <row r="89" spans="2:10" x14ac:dyDescent="0.35">
      <c r="B89" s="45" t="s">
        <v>12</v>
      </c>
      <c r="C89" s="42">
        <f t="shared" si="4"/>
        <v>13327166.360725159</v>
      </c>
      <c r="D89" s="43">
        <f t="shared" si="5"/>
        <v>284673.42047988606</v>
      </c>
      <c r="E89" s="43">
        <f t="shared" si="6"/>
        <v>0</v>
      </c>
      <c r="F89" s="44">
        <f t="shared" si="7"/>
        <v>13611839.781205045</v>
      </c>
    </row>
    <row r="90" spans="2:10" x14ac:dyDescent="0.35">
      <c r="B90" s="45" t="s">
        <v>106</v>
      </c>
      <c r="C90" s="42">
        <f t="shared" si="4"/>
        <v>13114082.875884367</v>
      </c>
      <c r="D90" s="43">
        <f t="shared" si="5"/>
        <v>317635.36263530154</v>
      </c>
      <c r="E90" s="43">
        <f t="shared" si="6"/>
        <v>0</v>
      </c>
      <c r="F90" s="44">
        <f t="shared" si="7"/>
        <v>13431718.238519669</v>
      </c>
    </row>
    <row r="91" spans="2:10" x14ac:dyDescent="0.35">
      <c r="B91" s="45" t="s">
        <v>107</v>
      </c>
      <c r="C91" s="42">
        <f t="shared" si="4"/>
        <v>13946361.836265255</v>
      </c>
      <c r="D91" s="43">
        <f t="shared" si="5"/>
        <v>175131.13905325558</v>
      </c>
      <c r="E91" s="43">
        <f t="shared" si="6"/>
        <v>0</v>
      </c>
      <c r="F91" s="44">
        <f t="shared" si="7"/>
        <v>14121492.97531851</v>
      </c>
    </row>
    <row r="92" spans="2:10" ht="15" thickBot="1" x14ac:dyDescent="0.4">
      <c r="B92" s="46" t="s">
        <v>13</v>
      </c>
      <c r="C92" s="42">
        <f t="shared" si="4"/>
        <v>51757190.362292692</v>
      </c>
      <c r="D92" s="43">
        <f t="shared" si="5"/>
        <v>804084.72227651835</v>
      </c>
      <c r="E92" s="43">
        <f t="shared" si="6"/>
        <v>0</v>
      </c>
      <c r="F92" s="47">
        <f t="shared" si="7"/>
        <v>52561275.084569208</v>
      </c>
    </row>
    <row r="95" spans="2:10" x14ac:dyDescent="0.35">
      <c r="B95" s="12" t="s">
        <v>37</v>
      </c>
      <c r="C95" s="12"/>
      <c r="D95" s="12"/>
      <c r="E95" s="12"/>
      <c r="F95" s="12"/>
      <c r="G95" s="12"/>
      <c r="H95" s="12"/>
      <c r="I95" s="12"/>
      <c r="J95" s="12"/>
    </row>
    <row r="97" spans="2:5" x14ac:dyDescent="0.35">
      <c r="B97" s="8" t="s">
        <v>38</v>
      </c>
      <c r="C97" s="15"/>
    </row>
    <row r="98" spans="2:5" x14ac:dyDescent="0.35">
      <c r="B98" s="15"/>
      <c r="C98" s="15"/>
    </row>
    <row r="99" spans="2:5" ht="16.5" x14ac:dyDescent="0.45">
      <c r="B99" s="20" t="s">
        <v>39</v>
      </c>
      <c r="C99" s="77">
        <v>105.15</v>
      </c>
      <c r="E99" s="48"/>
    </row>
    <row r="100" spans="2:5" ht="16.5" x14ac:dyDescent="0.45">
      <c r="B100" s="20" t="s">
        <v>19</v>
      </c>
      <c r="C100" s="77">
        <f>+C33</f>
        <v>104.75</v>
      </c>
    </row>
    <row r="101" spans="2:5" ht="16.5" x14ac:dyDescent="0.45">
      <c r="B101" s="20" t="s">
        <v>20</v>
      </c>
      <c r="C101" s="77">
        <f>+C34</f>
        <v>103.31</v>
      </c>
    </row>
    <row r="102" spans="2:5" ht="16.5" x14ac:dyDescent="0.45">
      <c r="B102" s="20" t="s">
        <v>21</v>
      </c>
      <c r="C102" s="28">
        <f>+C100/C101-1</f>
        <v>1.3938631303842763E-2</v>
      </c>
    </row>
    <row r="103" spans="2:5" ht="16.5" x14ac:dyDescent="0.45">
      <c r="B103" s="20" t="s">
        <v>40</v>
      </c>
      <c r="C103" s="28">
        <f>+C99/C101-1</f>
        <v>1.7810473332688037E-2</v>
      </c>
    </row>
    <row r="105" spans="2:5" x14ac:dyDescent="0.35">
      <c r="B105" s="24" t="s">
        <v>41</v>
      </c>
    </row>
    <row r="107" spans="2:5" ht="15" x14ac:dyDescent="0.35">
      <c r="B107" s="16"/>
      <c r="C107" s="14" t="s">
        <v>35</v>
      </c>
      <c r="D107" s="14" t="s">
        <v>42</v>
      </c>
    </row>
    <row r="108" spans="2:5" x14ac:dyDescent="0.35">
      <c r="B108" s="16" t="s">
        <v>7</v>
      </c>
      <c r="C108" s="17">
        <f t="shared" ref="C108:C117" si="8">+G40</f>
        <v>75185450.911808789</v>
      </c>
      <c r="D108" s="17">
        <f t="shared" ref="D108:D117" si="9">+C108*((1+$C$103)/(1+$C$102))</f>
        <v>75472555.258966058</v>
      </c>
      <c r="E108" s="35"/>
    </row>
    <row r="109" spans="2:5" x14ac:dyDescent="0.35">
      <c r="B109" s="16" t="s">
        <v>8</v>
      </c>
      <c r="C109" s="17">
        <f t="shared" si="8"/>
        <v>90968760.053321093</v>
      </c>
      <c r="D109" s="17">
        <f t="shared" si="9"/>
        <v>91316134.793381512</v>
      </c>
      <c r="E109" s="35"/>
    </row>
    <row r="110" spans="2:5" x14ac:dyDescent="0.35">
      <c r="B110" s="16" t="s">
        <v>108</v>
      </c>
      <c r="C110" s="17">
        <f t="shared" si="8"/>
        <v>39680786.332259767</v>
      </c>
      <c r="D110" s="17">
        <f t="shared" si="9"/>
        <v>39832312.007991552</v>
      </c>
      <c r="E110" s="35"/>
    </row>
    <row r="111" spans="2:5" x14ac:dyDescent="0.35">
      <c r="B111" s="16" t="s">
        <v>9</v>
      </c>
      <c r="C111" s="17">
        <f t="shared" si="8"/>
        <v>41256802.639480658</v>
      </c>
      <c r="D111" s="17">
        <f t="shared" si="9"/>
        <v>41414346.515908271</v>
      </c>
      <c r="E111" s="35"/>
    </row>
    <row r="112" spans="2:5" x14ac:dyDescent="0.35">
      <c r="B112" s="16" t="s">
        <v>10</v>
      </c>
      <c r="C112" s="17">
        <f t="shared" si="8"/>
        <v>79914424.311285168</v>
      </c>
      <c r="D112" s="17">
        <f t="shared" si="9"/>
        <v>80219586.790755481</v>
      </c>
      <c r="E112" s="35"/>
    </row>
    <row r="113" spans="2:10" x14ac:dyDescent="0.35">
      <c r="B113" s="16" t="s">
        <v>11</v>
      </c>
      <c r="C113" s="17">
        <f t="shared" si="8"/>
        <v>55453753.20699475</v>
      </c>
      <c r="D113" s="17">
        <f t="shared" si="9"/>
        <v>55665509.782486863</v>
      </c>
      <c r="E113" s="35"/>
    </row>
    <row r="114" spans="2:10" x14ac:dyDescent="0.35">
      <c r="B114" s="16" t="s">
        <v>12</v>
      </c>
      <c r="C114" s="17">
        <f t="shared" si="8"/>
        <v>13327166.360725159</v>
      </c>
      <c r="D114" s="17">
        <f t="shared" si="9"/>
        <v>13378057.688116951</v>
      </c>
      <c r="E114" s="35"/>
    </row>
    <row r="115" spans="2:10" x14ac:dyDescent="0.35">
      <c r="B115" s="16" t="s">
        <v>106</v>
      </c>
      <c r="C115" s="17">
        <f t="shared" si="8"/>
        <v>13114082.875884367</v>
      </c>
      <c r="D115" s="17">
        <f t="shared" si="9"/>
        <v>13164160.5193245</v>
      </c>
      <c r="E115" s="35"/>
    </row>
    <row r="116" spans="2:10" x14ac:dyDescent="0.35">
      <c r="B116" s="16" t="s">
        <v>107</v>
      </c>
      <c r="C116" s="17">
        <f t="shared" si="8"/>
        <v>13946361.836265255</v>
      </c>
      <c r="D116" s="17">
        <f t="shared" si="9"/>
        <v>13999617.633253381</v>
      </c>
      <c r="E116" s="35"/>
    </row>
    <row r="117" spans="2:10" x14ac:dyDescent="0.35">
      <c r="B117" s="16" t="s">
        <v>13</v>
      </c>
      <c r="C117" s="17">
        <f t="shared" si="8"/>
        <v>51757190.362292692</v>
      </c>
      <c r="D117" s="17">
        <f t="shared" si="9"/>
        <v>51954831.18467854</v>
      </c>
      <c r="E117" s="35"/>
    </row>
    <row r="119" spans="2:10" ht="15" thickBot="1" x14ac:dyDescent="0.4"/>
    <row r="120" spans="2:10" ht="21.5" thickBot="1" x14ac:dyDescent="0.55000000000000004">
      <c r="B120" s="9" t="s">
        <v>43</v>
      </c>
      <c r="C120" s="10"/>
      <c r="D120" s="10"/>
      <c r="E120" s="10"/>
      <c r="F120" s="10"/>
      <c r="G120" s="10"/>
      <c r="H120" s="10"/>
      <c r="I120" s="10"/>
      <c r="J120" s="11"/>
    </row>
    <row r="122" spans="2:10" ht="60.5" customHeight="1" x14ac:dyDescent="0.35">
      <c r="B122" s="78" t="s">
        <v>110</v>
      </c>
      <c r="C122" s="78"/>
      <c r="D122" s="78"/>
      <c r="E122" s="78"/>
      <c r="F122" s="78"/>
      <c r="G122" s="78"/>
      <c r="H122" s="78"/>
      <c r="I122" s="78"/>
      <c r="J122" s="78"/>
    </row>
    <row r="124" spans="2:10" x14ac:dyDescent="0.35">
      <c r="B124" s="12" t="s">
        <v>3</v>
      </c>
      <c r="C124" s="12"/>
      <c r="D124" s="12"/>
      <c r="E124" s="12"/>
      <c r="F124" s="12"/>
      <c r="G124" s="12"/>
      <c r="H124" s="12"/>
      <c r="I124" s="12"/>
      <c r="J124" s="12"/>
    </row>
    <row r="127" spans="2:10" x14ac:dyDescent="0.35">
      <c r="B127" s="8" t="s">
        <v>44</v>
      </c>
      <c r="C127" s="15"/>
      <c r="D127" s="15"/>
      <c r="E127" s="15"/>
    </row>
    <row r="128" spans="2:10" x14ac:dyDescent="0.35">
      <c r="B128" s="15"/>
      <c r="C128" s="15"/>
      <c r="D128" s="15"/>
      <c r="E128" s="15"/>
    </row>
    <row r="129" spans="2:8" ht="16.5" x14ac:dyDescent="0.45">
      <c r="B129" s="20" t="s">
        <v>45</v>
      </c>
      <c r="C129" s="79">
        <v>106.88</v>
      </c>
      <c r="D129" s="15"/>
      <c r="E129" s="49"/>
      <c r="H129" s="22"/>
    </row>
    <row r="130" spans="2:8" ht="16.5" x14ac:dyDescent="0.45">
      <c r="B130" s="20" t="s">
        <v>39</v>
      </c>
      <c r="C130" s="77">
        <f>+C99</f>
        <v>105.15</v>
      </c>
      <c r="D130" s="15"/>
      <c r="E130" s="15"/>
    </row>
    <row r="131" spans="2:8" ht="16.5" x14ac:dyDescent="0.45">
      <c r="B131" s="20" t="s">
        <v>46</v>
      </c>
      <c r="C131" s="28">
        <f>+C129/C130-1</f>
        <v>1.6452686638135816E-2</v>
      </c>
      <c r="D131" s="15"/>
      <c r="E131" s="15"/>
    </row>
    <row r="133" spans="2:8" x14ac:dyDescent="0.35">
      <c r="B133" s="8" t="s">
        <v>47</v>
      </c>
    </row>
    <row r="135" spans="2:8" x14ac:dyDescent="0.35">
      <c r="B135" s="33" t="s">
        <v>48</v>
      </c>
      <c r="C135" s="33">
        <v>2017</v>
      </c>
    </row>
    <row r="136" spans="2:8" x14ac:dyDescent="0.35">
      <c r="B136" s="33" t="s">
        <v>49</v>
      </c>
      <c r="C136" s="33">
        <v>2020</v>
      </c>
    </row>
    <row r="137" spans="2:8" x14ac:dyDescent="0.35">
      <c r="B137" s="50" t="s">
        <v>50</v>
      </c>
      <c r="C137" s="33">
        <f>+C136-C135+1</f>
        <v>4</v>
      </c>
    </row>
    <row r="138" spans="2:8" ht="15" x14ac:dyDescent="0.4">
      <c r="B138" s="51" t="s">
        <v>23</v>
      </c>
      <c r="C138" s="17">
        <f>+I29</f>
        <v>468080379.06595421</v>
      </c>
    </row>
    <row r="139" spans="2:8" ht="15" x14ac:dyDescent="0.4">
      <c r="B139" s="51" t="s">
        <v>51</v>
      </c>
      <c r="C139" s="17">
        <f>+J29</f>
        <v>487111645.9067173</v>
      </c>
    </row>
    <row r="140" spans="2:8" x14ac:dyDescent="0.35">
      <c r="B140" s="51" t="s">
        <v>52</v>
      </c>
      <c r="C140" s="52">
        <f>1-POWER(C139/C138,1/3)</f>
        <v>-1.3373069487015554E-2</v>
      </c>
    </row>
    <row r="142" spans="2:8" x14ac:dyDescent="0.35">
      <c r="B142" s="24" t="s">
        <v>22</v>
      </c>
      <c r="C142" s="15"/>
      <c r="D142" s="15"/>
      <c r="E142" s="15"/>
      <c r="F142" s="15"/>
      <c r="G142" s="15"/>
    </row>
    <row r="143" spans="2:8" x14ac:dyDescent="0.35">
      <c r="B143" s="15"/>
      <c r="C143" s="15"/>
      <c r="D143" s="15"/>
      <c r="E143" s="15"/>
      <c r="F143" s="15"/>
      <c r="G143" s="15"/>
    </row>
    <row r="144" spans="2:8" ht="16.5" x14ac:dyDescent="0.35">
      <c r="B144" s="16"/>
      <c r="C144" s="32" t="s">
        <v>53</v>
      </c>
      <c r="D144" s="14" t="s">
        <v>54</v>
      </c>
      <c r="E144" s="14" t="s">
        <v>52</v>
      </c>
      <c r="F144" s="14" t="s">
        <v>25</v>
      </c>
      <c r="G144" s="32" t="s">
        <v>55</v>
      </c>
    </row>
    <row r="145" spans="2:7" x14ac:dyDescent="0.35">
      <c r="B145" s="16" t="s">
        <v>7</v>
      </c>
      <c r="C145" s="17">
        <f>+D108</f>
        <v>75472555.258966058</v>
      </c>
      <c r="D145" s="26">
        <f>+C131</f>
        <v>1.6452686638135816E-2</v>
      </c>
      <c r="E145" s="26">
        <f>+C140</f>
        <v>-1.3373069487015554E-2</v>
      </c>
      <c r="F145" s="27">
        <v>0</v>
      </c>
      <c r="G145" s="17">
        <f t="shared" ref="G145:G154" si="10">+C145*(1+$D$145-x+q)</f>
        <v>77723581.286261991</v>
      </c>
    </row>
    <row r="146" spans="2:7" x14ac:dyDescent="0.35">
      <c r="B146" s="16" t="s">
        <v>8</v>
      </c>
      <c r="C146" s="17">
        <f>+D109</f>
        <v>91316134.793381512</v>
      </c>
      <c r="D146" s="29"/>
      <c r="E146" s="29"/>
      <c r="F146" s="30"/>
      <c r="G146" s="17">
        <f t="shared" si="10"/>
        <v>94039707.560020357</v>
      </c>
    </row>
    <row r="147" spans="2:7" x14ac:dyDescent="0.35">
      <c r="B147" s="16" t="s">
        <v>108</v>
      </c>
      <c r="C147" s="17">
        <f>+D110</f>
        <v>39832312.007991552</v>
      </c>
      <c r="D147" s="29"/>
      <c r="E147" s="29"/>
      <c r="F147" s="30"/>
      <c r="G147" s="17">
        <f t="shared" si="10"/>
        <v>41020340.831842847</v>
      </c>
    </row>
    <row r="148" spans="2:7" x14ac:dyDescent="0.35">
      <c r="B148" s="16" t="s">
        <v>9</v>
      </c>
      <c r="C148" s="17">
        <f>+D111</f>
        <v>41414346.515908271</v>
      </c>
      <c r="D148" s="29"/>
      <c r="E148" s="29"/>
      <c r="F148" s="30"/>
      <c r="G148" s="17">
        <f t="shared" si="10"/>
        <v>42649560.715174265</v>
      </c>
    </row>
    <row r="149" spans="2:7" x14ac:dyDescent="0.35">
      <c r="B149" s="16" t="s">
        <v>10</v>
      </c>
      <c r="C149" s="17">
        <f>+D112</f>
        <v>80219586.790755481</v>
      </c>
      <c r="D149" s="29"/>
      <c r="E149" s="29"/>
      <c r="F149" s="30"/>
      <c r="G149" s="17">
        <f t="shared" si="10"/>
        <v>82612196.622836962</v>
      </c>
    </row>
    <row r="150" spans="2:7" x14ac:dyDescent="0.35">
      <c r="B150" s="16" t="s">
        <v>11</v>
      </c>
      <c r="C150" s="17">
        <f>+D113</f>
        <v>55665509.782486863</v>
      </c>
      <c r="D150" s="29"/>
      <c r="E150" s="29"/>
      <c r="F150" s="30"/>
      <c r="G150" s="17">
        <f t="shared" si="10"/>
        <v>57325775.701841548</v>
      </c>
    </row>
    <row r="151" spans="2:7" x14ac:dyDescent="0.35">
      <c r="B151" s="16" t="s">
        <v>12</v>
      </c>
      <c r="C151" s="17">
        <f>+D114</f>
        <v>13378057.688116951</v>
      </c>
      <c r="D151" s="29"/>
      <c r="E151" s="29"/>
      <c r="F151" s="30"/>
      <c r="G151" s="17">
        <f t="shared" si="10"/>
        <v>13777068.374150934</v>
      </c>
    </row>
    <row r="152" spans="2:7" x14ac:dyDescent="0.35">
      <c r="B152" s="16" t="s">
        <v>106</v>
      </c>
      <c r="C152" s="17">
        <f>+D115</f>
        <v>13164160.5193245</v>
      </c>
      <c r="D152" s="29"/>
      <c r="E152" s="29"/>
      <c r="F152" s="30"/>
      <c r="G152" s="17">
        <f t="shared" si="10"/>
        <v>13556791.560566219</v>
      </c>
    </row>
    <row r="153" spans="2:7" x14ac:dyDescent="0.35">
      <c r="B153" s="16" t="s">
        <v>107</v>
      </c>
      <c r="C153" s="17">
        <f>+D116</f>
        <v>13999617.633253381</v>
      </c>
      <c r="D153" s="29"/>
      <c r="E153" s="29"/>
      <c r="F153" s="30"/>
      <c r="G153" s="17">
        <f t="shared" si="10"/>
        <v>14417166.814628165</v>
      </c>
    </row>
    <row r="154" spans="2:7" x14ac:dyDescent="0.35">
      <c r="B154" s="16" t="s">
        <v>13</v>
      </c>
      <c r="C154" s="17">
        <f>+D117</f>
        <v>51954831.18467854</v>
      </c>
      <c r="D154" s="29"/>
      <c r="E154" s="29"/>
      <c r="F154" s="31"/>
      <c r="G154" s="17">
        <f t="shared" si="10"/>
        <v>53504423.30911617</v>
      </c>
    </row>
    <row r="156" spans="2:7" x14ac:dyDescent="0.35">
      <c r="B156" s="8" t="s">
        <v>27</v>
      </c>
    </row>
    <row r="158" spans="2:7" ht="16.5" x14ac:dyDescent="0.35">
      <c r="B158" s="33"/>
      <c r="C158" s="53" t="s">
        <v>56</v>
      </c>
      <c r="D158" s="53" t="s">
        <v>57</v>
      </c>
      <c r="E158" s="54" t="s">
        <v>58</v>
      </c>
    </row>
    <row r="159" spans="2:7" x14ac:dyDescent="0.35">
      <c r="B159" s="33" t="s">
        <v>7</v>
      </c>
      <c r="C159" s="17">
        <v>1845601.4141720952</v>
      </c>
      <c r="D159" s="17">
        <v>-332847.60569335718</v>
      </c>
      <c r="E159" s="17">
        <f>+C159+D159</f>
        <v>1512753.8084787382</v>
      </c>
    </row>
    <row r="160" spans="2:7" x14ac:dyDescent="0.35">
      <c r="B160" s="33" t="s">
        <v>8</v>
      </c>
      <c r="C160" s="17">
        <v>1648257.7192319345</v>
      </c>
      <c r="D160" s="17">
        <v>-442753.1139563942</v>
      </c>
      <c r="E160" s="17">
        <f t="shared" ref="E160:E168" si="11">+C160+D160</f>
        <v>1205504.6052755404</v>
      </c>
    </row>
    <row r="161" spans="2:5" x14ac:dyDescent="0.35">
      <c r="B161" s="33" t="s">
        <v>108</v>
      </c>
      <c r="C161" s="17">
        <v>820102.52759127389</v>
      </c>
      <c r="D161" s="17">
        <v>-260680.04003802949</v>
      </c>
      <c r="E161" s="17">
        <f t="shared" si="11"/>
        <v>559422.48755324446</v>
      </c>
    </row>
    <row r="162" spans="2:5" x14ac:dyDescent="0.35">
      <c r="B162" s="33" t="s">
        <v>9</v>
      </c>
      <c r="C162" s="17">
        <v>995837.60911377042</v>
      </c>
      <c r="D162" s="17">
        <v>-191396.37813565001</v>
      </c>
      <c r="E162" s="17">
        <f t="shared" si="11"/>
        <v>804441.23097812035</v>
      </c>
    </row>
    <row r="163" spans="2:5" x14ac:dyDescent="0.35">
      <c r="B163" s="33" t="s">
        <v>10</v>
      </c>
      <c r="C163" s="17">
        <v>1548043.6649795482</v>
      </c>
      <c r="D163" s="17">
        <v>-488132.13240192214</v>
      </c>
      <c r="E163" s="17">
        <f t="shared" si="11"/>
        <v>1059911.5325776259</v>
      </c>
    </row>
    <row r="164" spans="2:5" x14ac:dyDescent="0.35">
      <c r="B164" s="33" t="s">
        <v>11</v>
      </c>
      <c r="C164" s="17">
        <v>1372102.3108604755</v>
      </c>
      <c r="D164" s="17">
        <v>-307168.72839219845</v>
      </c>
      <c r="E164" s="17">
        <f t="shared" si="11"/>
        <v>1064933.5824682771</v>
      </c>
    </row>
    <row r="165" spans="2:5" x14ac:dyDescent="0.35">
      <c r="B165" s="33" t="s">
        <v>12</v>
      </c>
      <c r="C165" s="17">
        <v>301895.1636085441</v>
      </c>
      <c r="D165" s="17">
        <v>-102522.90127936484</v>
      </c>
      <c r="E165" s="17">
        <f t="shared" si="11"/>
        <v>199372.26232917927</v>
      </c>
    </row>
    <row r="166" spans="2:5" x14ac:dyDescent="0.35">
      <c r="B166" s="33" t="s">
        <v>106</v>
      </c>
      <c r="C166" s="17">
        <v>370714.1215574934</v>
      </c>
      <c r="D166" s="17">
        <v>-184622.72990621108</v>
      </c>
      <c r="E166" s="17">
        <f t="shared" si="11"/>
        <v>186091.39165128232</v>
      </c>
    </row>
    <row r="167" spans="2:5" x14ac:dyDescent="0.35">
      <c r="B167" s="33" t="s">
        <v>107</v>
      </c>
      <c r="C167" s="17">
        <v>218295.21126798968</v>
      </c>
      <c r="D167" s="17">
        <v>-143319.88210198513</v>
      </c>
      <c r="E167" s="17">
        <f t="shared" si="11"/>
        <v>74975.329166004551</v>
      </c>
    </row>
    <row r="168" spans="2:5" x14ac:dyDescent="0.35">
      <c r="B168" s="33" t="s">
        <v>13</v>
      </c>
      <c r="C168" s="17">
        <v>1000819.4741357371</v>
      </c>
      <c r="D168" s="17">
        <v>-725618.31020327716</v>
      </c>
      <c r="E168" s="17">
        <f t="shared" si="11"/>
        <v>275201.16393245989</v>
      </c>
    </row>
    <row r="169" spans="2:5" s="36" customFormat="1" x14ac:dyDescent="0.35">
      <c r="B169" s="36" t="s">
        <v>31</v>
      </c>
    </row>
    <row r="171" spans="2:5" x14ac:dyDescent="0.35">
      <c r="B171" s="24" t="s">
        <v>32</v>
      </c>
    </row>
    <row r="173" spans="2:5" ht="15" x14ac:dyDescent="0.35">
      <c r="B173" s="16"/>
      <c r="C173" s="14" t="s">
        <v>59</v>
      </c>
    </row>
    <row r="174" spans="2:5" x14ac:dyDescent="0.35">
      <c r="B174" s="16" t="s">
        <v>7</v>
      </c>
      <c r="C174" s="17">
        <v>0</v>
      </c>
    </row>
    <row r="175" spans="2:5" x14ac:dyDescent="0.35">
      <c r="B175" s="16" t="s">
        <v>8</v>
      </c>
      <c r="C175" s="17">
        <v>0</v>
      </c>
    </row>
    <row r="176" spans="2:5" x14ac:dyDescent="0.35">
      <c r="B176" s="16" t="s">
        <v>108</v>
      </c>
      <c r="C176" s="17">
        <v>0</v>
      </c>
    </row>
    <row r="177" spans="2:6" x14ac:dyDescent="0.35">
      <c r="B177" s="16" t="s">
        <v>9</v>
      </c>
      <c r="C177" s="17">
        <v>0</v>
      </c>
    </row>
    <row r="178" spans="2:6" x14ac:dyDescent="0.35">
      <c r="B178" s="16" t="s">
        <v>10</v>
      </c>
      <c r="C178" s="17">
        <v>0</v>
      </c>
    </row>
    <row r="179" spans="2:6" x14ac:dyDescent="0.35">
      <c r="B179" s="16" t="s">
        <v>11</v>
      </c>
      <c r="C179" s="17">
        <v>0</v>
      </c>
    </row>
    <row r="180" spans="2:6" x14ac:dyDescent="0.35">
      <c r="B180" s="16" t="s">
        <v>12</v>
      </c>
      <c r="C180" s="17">
        <v>0</v>
      </c>
    </row>
    <row r="181" spans="2:6" x14ac:dyDescent="0.35">
      <c r="B181" s="16" t="s">
        <v>106</v>
      </c>
      <c r="C181" s="17">
        <v>0</v>
      </c>
    </row>
    <row r="182" spans="2:6" x14ac:dyDescent="0.35">
      <c r="B182" s="16" t="s">
        <v>107</v>
      </c>
      <c r="C182" s="17">
        <v>0</v>
      </c>
    </row>
    <row r="183" spans="2:6" x14ac:dyDescent="0.35">
      <c r="B183" s="16" t="s">
        <v>13</v>
      </c>
      <c r="C183" s="17">
        <v>0</v>
      </c>
    </row>
    <row r="185" spans="2:6" x14ac:dyDescent="0.35">
      <c r="B185" s="24" t="s">
        <v>60</v>
      </c>
    </row>
    <row r="186" spans="2:6" ht="15" thickBot="1" x14ac:dyDescent="0.4"/>
    <row r="187" spans="2:6" ht="17" thickBot="1" x14ac:dyDescent="0.4">
      <c r="B187" s="37"/>
      <c r="C187" s="32" t="s">
        <v>61</v>
      </c>
      <c r="D187" s="38" t="s">
        <v>58</v>
      </c>
      <c r="E187" s="14" t="s">
        <v>59</v>
      </c>
      <c r="F187" s="40" t="s">
        <v>62</v>
      </c>
    </row>
    <row r="188" spans="2:6" x14ac:dyDescent="0.35">
      <c r="B188" s="41" t="s">
        <v>7</v>
      </c>
      <c r="C188" s="42">
        <f t="shared" ref="C188:C197" si="12">+G145</f>
        <v>77723581.286261991</v>
      </c>
      <c r="D188" s="43">
        <f t="shared" ref="D188:D197" si="13">+E159</f>
        <v>1512753.8084787382</v>
      </c>
      <c r="E188" s="43">
        <f t="shared" ref="E188:E197" si="14">+C174</f>
        <v>0</v>
      </c>
      <c r="F188" s="44">
        <f>+C188+D188+E188</f>
        <v>79236335.094740734</v>
      </c>
    </row>
    <row r="189" spans="2:6" x14ac:dyDescent="0.35">
      <c r="B189" s="45" t="s">
        <v>8</v>
      </c>
      <c r="C189" s="42">
        <f t="shared" si="12"/>
        <v>94039707.560020357</v>
      </c>
      <c r="D189" s="43">
        <f t="shared" si="13"/>
        <v>1205504.6052755404</v>
      </c>
      <c r="E189" s="43">
        <f t="shared" si="14"/>
        <v>0</v>
      </c>
      <c r="F189" s="76">
        <f t="shared" ref="F189:F197" si="15">+C189+D189+E189</f>
        <v>95245212.165295899</v>
      </c>
    </row>
    <row r="190" spans="2:6" x14ac:dyDescent="0.35">
      <c r="B190" s="45" t="s">
        <v>108</v>
      </c>
      <c r="C190" s="42">
        <f t="shared" si="12"/>
        <v>41020340.831842847</v>
      </c>
      <c r="D190" s="43">
        <f t="shared" si="13"/>
        <v>559422.48755324446</v>
      </c>
      <c r="E190" s="43">
        <f t="shared" si="14"/>
        <v>0</v>
      </c>
      <c r="F190" s="76">
        <f t="shared" si="15"/>
        <v>41579763.319396093</v>
      </c>
    </row>
    <row r="191" spans="2:6" x14ac:dyDescent="0.35">
      <c r="B191" s="45" t="s">
        <v>9</v>
      </c>
      <c r="C191" s="42">
        <f t="shared" si="12"/>
        <v>42649560.715174265</v>
      </c>
      <c r="D191" s="43">
        <f t="shared" si="13"/>
        <v>804441.23097812035</v>
      </c>
      <c r="E191" s="43">
        <f t="shared" si="14"/>
        <v>0</v>
      </c>
      <c r="F191" s="76">
        <f t="shared" si="15"/>
        <v>43454001.946152389</v>
      </c>
    </row>
    <row r="192" spans="2:6" x14ac:dyDescent="0.35">
      <c r="B192" s="45" t="s">
        <v>10</v>
      </c>
      <c r="C192" s="42">
        <f t="shared" si="12"/>
        <v>82612196.622836962</v>
      </c>
      <c r="D192" s="43">
        <f t="shared" si="13"/>
        <v>1059911.5325776259</v>
      </c>
      <c r="E192" s="43">
        <f t="shared" si="14"/>
        <v>0</v>
      </c>
      <c r="F192" s="76">
        <f t="shared" si="15"/>
        <v>83672108.155414581</v>
      </c>
    </row>
    <row r="193" spans="2:10" x14ac:dyDescent="0.35">
      <c r="B193" s="45" t="s">
        <v>11</v>
      </c>
      <c r="C193" s="42">
        <f t="shared" si="12"/>
        <v>57325775.701841548</v>
      </c>
      <c r="D193" s="43">
        <f t="shared" si="13"/>
        <v>1064933.5824682771</v>
      </c>
      <c r="E193" s="43">
        <f t="shared" si="14"/>
        <v>0</v>
      </c>
      <c r="F193" s="76">
        <f t="shared" si="15"/>
        <v>58390709.284309827</v>
      </c>
    </row>
    <row r="194" spans="2:10" x14ac:dyDescent="0.35">
      <c r="B194" s="45" t="s">
        <v>12</v>
      </c>
      <c r="C194" s="42">
        <f t="shared" si="12"/>
        <v>13777068.374150934</v>
      </c>
      <c r="D194" s="43">
        <f t="shared" si="13"/>
        <v>199372.26232917927</v>
      </c>
      <c r="E194" s="43">
        <f t="shared" si="14"/>
        <v>0</v>
      </c>
      <c r="F194" s="76">
        <f t="shared" si="15"/>
        <v>13976440.636480113</v>
      </c>
    </row>
    <row r="195" spans="2:10" x14ac:dyDescent="0.35">
      <c r="B195" s="45" t="s">
        <v>106</v>
      </c>
      <c r="C195" s="42">
        <f t="shared" si="12"/>
        <v>13556791.560566219</v>
      </c>
      <c r="D195" s="43">
        <f t="shared" si="13"/>
        <v>186091.39165128232</v>
      </c>
      <c r="E195" s="43">
        <f t="shared" si="14"/>
        <v>0</v>
      </c>
      <c r="F195" s="76">
        <f t="shared" si="15"/>
        <v>13742882.952217501</v>
      </c>
    </row>
    <row r="196" spans="2:10" x14ac:dyDescent="0.35">
      <c r="B196" s="45" t="s">
        <v>107</v>
      </c>
      <c r="C196" s="42">
        <f t="shared" si="12"/>
        <v>14417166.814628165</v>
      </c>
      <c r="D196" s="43">
        <f t="shared" si="13"/>
        <v>74975.329166004551</v>
      </c>
      <c r="E196" s="43">
        <f t="shared" si="14"/>
        <v>0</v>
      </c>
      <c r="F196" s="76">
        <f t="shared" si="15"/>
        <v>14492142.14379417</v>
      </c>
    </row>
    <row r="197" spans="2:10" ht="15" thickBot="1" x14ac:dyDescent="0.4">
      <c r="B197" s="46" t="s">
        <v>13</v>
      </c>
      <c r="C197" s="42">
        <f t="shared" si="12"/>
        <v>53504423.30911617</v>
      </c>
      <c r="D197" s="43">
        <f t="shared" si="13"/>
        <v>275201.16393245989</v>
      </c>
      <c r="E197" s="43">
        <f t="shared" si="14"/>
        <v>0</v>
      </c>
      <c r="F197" s="44">
        <f t="shared" si="15"/>
        <v>53779624.473048627</v>
      </c>
    </row>
    <row r="200" spans="2:10" x14ac:dyDescent="0.35">
      <c r="B200" s="12" t="s">
        <v>37</v>
      </c>
      <c r="C200" s="12"/>
      <c r="D200" s="12"/>
      <c r="E200" s="12"/>
      <c r="F200" s="12"/>
      <c r="G200" s="12"/>
      <c r="H200" s="12"/>
      <c r="I200" s="12"/>
      <c r="J200" s="12"/>
    </row>
    <row r="202" spans="2:10" x14ac:dyDescent="0.35">
      <c r="B202" s="8" t="s">
        <v>38</v>
      </c>
      <c r="C202" s="15"/>
    </row>
    <row r="203" spans="2:10" x14ac:dyDescent="0.35">
      <c r="B203" s="15"/>
      <c r="C203" s="15"/>
    </row>
    <row r="204" spans="2:10" ht="16.5" x14ac:dyDescent="0.45">
      <c r="B204" s="20" t="s">
        <v>63</v>
      </c>
      <c r="C204" s="77">
        <v>107.43</v>
      </c>
      <c r="E204" s="22"/>
    </row>
    <row r="205" spans="2:10" ht="16.5" x14ac:dyDescent="0.45">
      <c r="B205" s="20" t="s">
        <v>39</v>
      </c>
      <c r="C205" s="77">
        <f>+C130</f>
        <v>105.15</v>
      </c>
    </row>
    <row r="206" spans="2:10" ht="16.5" x14ac:dyDescent="0.45">
      <c r="B206" s="20" t="s">
        <v>64</v>
      </c>
      <c r="C206" s="28">
        <f>+C204/C205-1</f>
        <v>2.1683309557774644E-2</v>
      </c>
    </row>
    <row r="208" spans="2:10" x14ac:dyDescent="0.35">
      <c r="B208" s="24" t="s">
        <v>65</v>
      </c>
    </row>
    <row r="210" spans="2:10" ht="16.5" x14ac:dyDescent="0.35">
      <c r="B210" s="16"/>
      <c r="C210" s="14" t="s">
        <v>42</v>
      </c>
      <c r="D210" s="14" t="s">
        <v>66</v>
      </c>
      <c r="E210" s="14" t="s">
        <v>52</v>
      </c>
      <c r="F210" s="14" t="s">
        <v>25</v>
      </c>
      <c r="G210" s="32" t="s">
        <v>67</v>
      </c>
    </row>
    <row r="211" spans="2:10" x14ac:dyDescent="0.35">
      <c r="B211" s="16" t="s">
        <v>7</v>
      </c>
      <c r="C211" s="17">
        <f>+D108</f>
        <v>75472555.258966058</v>
      </c>
      <c r="D211" s="26">
        <f>+C206</f>
        <v>2.1683309557774644E-2</v>
      </c>
      <c r="E211" s="26">
        <f>x</f>
        <v>-1.3373069487015554E-2</v>
      </c>
      <c r="F211" s="27">
        <f>q</f>
        <v>0</v>
      </c>
      <c r="G211" s="17">
        <f t="shared" ref="G211:G220" si="16">+C211*(1+$D$211-x+q)</f>
        <v>78118349.76360324</v>
      </c>
    </row>
    <row r="212" spans="2:10" x14ac:dyDescent="0.35">
      <c r="B212" s="16" t="s">
        <v>8</v>
      </c>
      <c r="C212" s="17">
        <f>+D109</f>
        <v>91316134.793381512</v>
      </c>
      <c r="D212" s="29"/>
      <c r="E212" s="29"/>
      <c r="F212" s="30"/>
      <c r="G212" s="17">
        <f t="shared" si="16"/>
        <v>94517347.827603444</v>
      </c>
    </row>
    <row r="213" spans="2:10" x14ac:dyDescent="0.35">
      <c r="B213" s="16" t="s">
        <v>108</v>
      </c>
      <c r="C213" s="17">
        <f>+D110</f>
        <v>39832312.007991552</v>
      </c>
      <c r="D213" s="29"/>
      <c r="E213" s="29"/>
      <c r="F213" s="30"/>
      <c r="G213" s="17">
        <f t="shared" si="16"/>
        <v>41228688.63597405</v>
      </c>
    </row>
    <row r="214" spans="2:10" x14ac:dyDescent="0.35">
      <c r="B214" s="16" t="s">
        <v>9</v>
      </c>
      <c r="C214" s="17">
        <f>+D111</f>
        <v>41414346.515908271</v>
      </c>
      <c r="D214" s="29"/>
      <c r="E214" s="29"/>
      <c r="F214" s="30"/>
      <c r="G214" s="17">
        <f t="shared" si="16"/>
        <v>42866183.54526224</v>
      </c>
    </row>
    <row r="215" spans="2:10" x14ac:dyDescent="0.35">
      <c r="B215" s="16" t="s">
        <v>10</v>
      </c>
      <c r="C215" s="17">
        <f>+D112</f>
        <v>80219586.790755481</v>
      </c>
      <c r="D215" s="29"/>
      <c r="E215" s="29"/>
      <c r="F215" s="30"/>
      <c r="G215" s="17">
        <f t="shared" si="16"/>
        <v>83031795.03210865</v>
      </c>
    </row>
    <row r="216" spans="2:10" x14ac:dyDescent="0.35">
      <c r="B216" s="16" t="s">
        <v>11</v>
      </c>
      <c r="C216" s="17">
        <f>+D113</f>
        <v>55665509.782486863</v>
      </c>
      <c r="D216" s="29"/>
      <c r="E216" s="29"/>
      <c r="F216" s="30"/>
      <c r="G216" s="17">
        <f t="shared" si="16"/>
        <v>57616940.993143201</v>
      </c>
    </row>
    <row r="217" spans="2:10" x14ac:dyDescent="0.35">
      <c r="B217" s="16" t="s">
        <v>12</v>
      </c>
      <c r="C217" s="17">
        <f>+D114</f>
        <v>13378057.688116951</v>
      </c>
      <c r="D217" s="29"/>
      <c r="E217" s="29"/>
      <c r="F217" s="30"/>
      <c r="G217" s="17">
        <f t="shared" si="16"/>
        <v>13847043.949314648</v>
      </c>
      <c r="J217" s="56"/>
    </row>
    <row r="218" spans="2:10" x14ac:dyDescent="0.35">
      <c r="B218" s="16" t="s">
        <v>106</v>
      </c>
      <c r="C218" s="17">
        <f>+D115</f>
        <v>13164160.5193245</v>
      </c>
      <c r="D218" s="29"/>
      <c r="E218" s="29"/>
      <c r="F218" s="30"/>
      <c r="G218" s="17">
        <f t="shared" si="16"/>
        <v>13625648.320296401</v>
      </c>
    </row>
    <row r="219" spans="2:10" x14ac:dyDescent="0.35">
      <c r="B219" s="16" t="s">
        <v>107</v>
      </c>
      <c r="C219" s="17">
        <f>+D116</f>
        <v>13999617.633253381</v>
      </c>
      <c r="D219" s="29"/>
      <c r="E219" s="29"/>
      <c r="F219" s="30"/>
      <c r="G219" s="17">
        <f t="shared" si="16"/>
        <v>14490393.53548684</v>
      </c>
    </row>
    <row r="220" spans="2:10" x14ac:dyDescent="0.35">
      <c r="B220" s="16" t="s">
        <v>13</v>
      </c>
      <c r="C220" s="17">
        <f>+D117</f>
        <v>51954831.18467854</v>
      </c>
      <c r="D220" s="29"/>
      <c r="E220" s="29"/>
      <c r="F220" s="31"/>
      <c r="G220" s="17">
        <f t="shared" si="16"/>
        <v>53776179.439896718</v>
      </c>
    </row>
    <row r="222" spans="2:10" ht="15" thickBot="1" x14ac:dyDescent="0.4"/>
    <row r="223" spans="2:10" ht="21.5" thickBot="1" x14ac:dyDescent="0.55000000000000004">
      <c r="B223" s="9" t="s">
        <v>68</v>
      </c>
      <c r="C223" s="10"/>
      <c r="D223" s="10"/>
      <c r="E223" s="10"/>
      <c r="F223" s="10"/>
      <c r="G223" s="10"/>
      <c r="H223" s="10"/>
      <c r="I223" s="10"/>
      <c r="J223" s="11"/>
    </row>
    <row r="225" spans="2:10" ht="60.5" customHeight="1" x14ac:dyDescent="0.35">
      <c r="B225" s="78" t="s">
        <v>111</v>
      </c>
      <c r="C225" s="78"/>
      <c r="D225" s="78"/>
      <c r="E225" s="78"/>
      <c r="F225" s="78"/>
      <c r="G225" s="78"/>
      <c r="H225" s="78"/>
      <c r="I225" s="78"/>
      <c r="J225" s="78"/>
    </row>
    <row r="227" spans="2:10" x14ac:dyDescent="0.35">
      <c r="B227" s="12" t="s">
        <v>3</v>
      </c>
      <c r="C227" s="12"/>
      <c r="D227" s="12"/>
      <c r="E227" s="12"/>
      <c r="F227" s="12"/>
      <c r="G227" s="12"/>
      <c r="H227" s="12"/>
      <c r="I227" s="12"/>
      <c r="J227" s="12"/>
    </row>
    <row r="230" spans="2:10" x14ac:dyDescent="0.35">
      <c r="B230" s="8" t="s">
        <v>69</v>
      </c>
      <c r="C230" s="15"/>
      <c r="D230" s="15"/>
      <c r="E230" s="15"/>
    </row>
    <row r="231" spans="2:10" x14ac:dyDescent="0.35">
      <c r="B231" s="15"/>
      <c r="C231" s="15"/>
      <c r="D231" s="15"/>
      <c r="E231" s="15"/>
    </row>
    <row r="232" spans="2:10" ht="16.5" x14ac:dyDescent="0.45">
      <c r="B232" s="20" t="s">
        <v>70</v>
      </c>
      <c r="C232" s="77">
        <v>109.31</v>
      </c>
      <c r="D232" s="15"/>
      <c r="E232" s="22"/>
      <c r="F232" s="22"/>
    </row>
    <row r="233" spans="2:10" ht="16.5" x14ac:dyDescent="0.45">
      <c r="B233" s="20" t="s">
        <v>63</v>
      </c>
      <c r="C233" s="77">
        <f>+C204</f>
        <v>107.43</v>
      </c>
      <c r="D233" s="15"/>
      <c r="E233" s="15"/>
    </row>
    <row r="234" spans="2:10" ht="16.5" x14ac:dyDescent="0.45">
      <c r="B234" s="20" t="s">
        <v>71</v>
      </c>
      <c r="C234" s="28">
        <f>+C232/C233-1</f>
        <v>1.7499767290328538E-2</v>
      </c>
      <c r="D234" s="15"/>
      <c r="E234" s="15"/>
    </row>
    <row r="236" spans="2:10" s="58" customFormat="1" x14ac:dyDescent="0.35">
      <c r="B236" s="49" t="s">
        <v>72</v>
      </c>
      <c r="C236" s="57"/>
    </row>
    <row r="237" spans="2:10" s="58" customFormat="1" x14ac:dyDescent="0.35">
      <c r="B237" s="57"/>
      <c r="C237" s="57"/>
    </row>
    <row r="238" spans="2:10" s="58" customFormat="1" x14ac:dyDescent="0.35">
      <c r="B238" s="59" t="s">
        <v>73</v>
      </c>
      <c r="C238" s="60">
        <v>2</v>
      </c>
    </row>
    <row r="239" spans="2:10" s="58" customFormat="1" x14ac:dyDescent="0.35">
      <c r="B239" s="59" t="s">
        <v>74</v>
      </c>
      <c r="C239" s="61">
        <v>8500000</v>
      </c>
    </row>
    <row r="240" spans="2:10" s="58" customFormat="1" ht="16.5" x14ac:dyDescent="0.45">
      <c r="B240" s="59" t="s">
        <v>75</v>
      </c>
      <c r="C240" s="62">
        <v>497278474.13941282</v>
      </c>
    </row>
    <row r="241" spans="2:14" s="58" customFormat="1" x14ac:dyDescent="0.35">
      <c r="B241" s="59" t="s">
        <v>76</v>
      </c>
      <c r="C241" s="63">
        <f>1-((C240-C239)/C240)^(1/C238)</f>
        <v>8.5833561471204689E-3</v>
      </c>
      <c r="D241" s="64"/>
    </row>
    <row r="242" spans="2:14" s="58" customFormat="1" x14ac:dyDescent="0.35">
      <c r="B242" s="65"/>
      <c r="C242" s="66"/>
      <c r="D242" s="64"/>
    </row>
    <row r="243" spans="2:14" x14ac:dyDescent="0.35">
      <c r="B243" s="24" t="s">
        <v>22</v>
      </c>
      <c r="C243" s="15"/>
      <c r="D243" s="15"/>
      <c r="E243" s="15"/>
      <c r="F243" s="15"/>
      <c r="G243" s="15"/>
    </row>
    <row r="244" spans="2:14" x14ac:dyDescent="0.35">
      <c r="B244" s="15"/>
      <c r="C244" s="15"/>
      <c r="D244" s="15"/>
      <c r="E244" s="15"/>
      <c r="F244" s="15"/>
      <c r="G244" s="15"/>
      <c r="H244" s="58"/>
      <c r="I244" s="58"/>
      <c r="J244" s="58"/>
      <c r="K244" s="58"/>
      <c r="L244" s="58"/>
      <c r="M244" s="58"/>
      <c r="N244" s="58"/>
    </row>
    <row r="245" spans="2:14" ht="16.5" x14ac:dyDescent="0.35">
      <c r="B245" s="33"/>
      <c r="C245" s="54" t="s">
        <v>67</v>
      </c>
      <c r="D245" s="53" t="s">
        <v>77</v>
      </c>
      <c r="E245" s="67" t="s">
        <v>78</v>
      </c>
      <c r="F245" s="53" t="s">
        <v>25</v>
      </c>
      <c r="G245" s="54" t="s">
        <v>79</v>
      </c>
      <c r="H245" s="58"/>
      <c r="I245" s="58"/>
      <c r="J245" s="58"/>
      <c r="K245" s="58"/>
      <c r="L245" s="58"/>
      <c r="M245" s="58"/>
      <c r="N245" s="58"/>
    </row>
    <row r="246" spans="2:14" x14ac:dyDescent="0.35">
      <c r="B246" s="33" t="s">
        <v>7</v>
      </c>
      <c r="C246" s="34">
        <f>+G211</f>
        <v>78118349.76360324</v>
      </c>
      <c r="D246" s="68">
        <f>+C234</f>
        <v>1.7499767290328538E-2</v>
      </c>
      <c r="E246" s="68">
        <f>x+xxg</f>
        <v>-4.7897133398950853E-3</v>
      </c>
      <c r="F246" s="69">
        <f>q</f>
        <v>0</v>
      </c>
      <c r="G246" s="34">
        <f t="shared" ref="G246:G255" si="17">+C246*(1+$D$246-$E$246+q)</f>
        <v>79859567.207524106</v>
      </c>
      <c r="H246" s="58"/>
      <c r="I246" s="58"/>
      <c r="J246" s="58"/>
      <c r="K246" s="58"/>
      <c r="L246" s="58"/>
      <c r="M246" s="58"/>
      <c r="N246" s="58"/>
    </row>
    <row r="247" spans="2:14" x14ac:dyDescent="0.35">
      <c r="B247" s="33" t="s">
        <v>8</v>
      </c>
      <c r="C247" s="34">
        <f>+G212</f>
        <v>94517347.827603444</v>
      </c>
      <c r="D247" s="70"/>
      <c r="E247" s="70"/>
      <c r="F247" s="71"/>
      <c r="G247" s="34">
        <f t="shared" si="17"/>
        <v>96624090.421226919</v>
      </c>
      <c r="H247" s="58"/>
      <c r="I247" s="58"/>
      <c r="J247" s="58"/>
      <c r="K247" s="58"/>
      <c r="L247" s="58"/>
      <c r="M247" s="58"/>
      <c r="N247" s="58"/>
    </row>
    <row r="248" spans="2:14" x14ac:dyDescent="0.35">
      <c r="B248" s="33" t="s">
        <v>108</v>
      </c>
      <c r="C248" s="34">
        <f>+G213</f>
        <v>41228688.63597405</v>
      </c>
      <c r="D248" s="70"/>
      <c r="E248" s="70"/>
      <c r="F248" s="71"/>
      <c r="G248" s="34">
        <f t="shared" si="17"/>
        <v>42147654.692735113</v>
      </c>
      <c r="H248" s="58"/>
      <c r="I248" s="58"/>
      <c r="J248" s="58"/>
      <c r="K248" s="58"/>
      <c r="L248" s="58"/>
      <c r="M248" s="58"/>
      <c r="N248" s="58"/>
    </row>
    <row r="249" spans="2:14" x14ac:dyDescent="0.35">
      <c r="B249" s="33" t="s">
        <v>9</v>
      </c>
      <c r="C249" s="34">
        <f>+G214</f>
        <v>42866183.54526224</v>
      </c>
      <c r="D249" s="70"/>
      <c r="E249" s="70"/>
      <c r="F249" s="71"/>
      <c r="G249" s="34">
        <f t="shared" si="17"/>
        <v>43821648.513085976</v>
      </c>
      <c r="H249" s="58"/>
      <c r="I249" s="58"/>
      <c r="J249" s="58"/>
      <c r="K249" s="58"/>
      <c r="L249" s="58"/>
      <c r="M249" s="58"/>
      <c r="N249" s="58"/>
    </row>
    <row r="250" spans="2:14" x14ac:dyDescent="0.35">
      <c r="B250" s="33" t="s">
        <v>10</v>
      </c>
      <c r="C250" s="34">
        <f>+G215</f>
        <v>83031795.03210865</v>
      </c>
      <c r="D250" s="70"/>
      <c r="E250" s="70"/>
      <c r="F250" s="71"/>
      <c r="G250" s="34">
        <f t="shared" si="17"/>
        <v>84882530.619169533</v>
      </c>
      <c r="H250" s="58"/>
      <c r="I250" s="58"/>
      <c r="J250" s="58"/>
      <c r="K250" s="58"/>
      <c r="L250" s="58"/>
      <c r="M250" s="58"/>
      <c r="N250" s="58"/>
    </row>
    <row r="251" spans="2:14" x14ac:dyDescent="0.35">
      <c r="B251" s="33" t="s">
        <v>11</v>
      </c>
      <c r="C251" s="34">
        <f>+G216</f>
        <v>57616940.993143201</v>
      </c>
      <c r="D251" s="70"/>
      <c r="E251" s="70"/>
      <c r="F251" s="71"/>
      <c r="G251" s="34">
        <f t="shared" si="17"/>
        <v>58901192.683382601</v>
      </c>
      <c r="H251" s="58"/>
      <c r="I251" s="58"/>
      <c r="J251" s="58"/>
      <c r="K251" s="58"/>
      <c r="L251" s="58"/>
      <c r="M251" s="58"/>
      <c r="N251" s="58"/>
    </row>
    <row r="252" spans="2:14" x14ac:dyDescent="0.35">
      <c r="B252" s="33" t="s">
        <v>12</v>
      </c>
      <c r="C252" s="34">
        <f>+G217</f>
        <v>13847043.949314648</v>
      </c>
      <c r="D252" s="70"/>
      <c r="E252" s="70"/>
      <c r="F252" s="71"/>
      <c r="G252" s="34">
        <f t="shared" si="17"/>
        <v>14155687.367208753</v>
      </c>
      <c r="H252" s="58"/>
      <c r="I252" s="58"/>
      <c r="J252" s="58"/>
      <c r="K252" s="58"/>
      <c r="L252" s="58"/>
      <c r="M252" s="58"/>
      <c r="N252" s="58"/>
    </row>
    <row r="253" spans="2:14" x14ac:dyDescent="0.35">
      <c r="B253" s="33" t="s">
        <v>106</v>
      </c>
      <c r="C253" s="34">
        <f>+G218</f>
        <v>13625648.320296401</v>
      </c>
      <c r="D253" s="70"/>
      <c r="E253" s="70"/>
      <c r="F253" s="71"/>
      <c r="G253" s="34">
        <f t="shared" si="17"/>
        <v>13929356.944605887</v>
      </c>
      <c r="H253" s="58"/>
      <c r="I253" s="58"/>
      <c r="J253" s="58"/>
      <c r="K253" s="58"/>
      <c r="L253" s="58"/>
      <c r="M253" s="58"/>
      <c r="N253" s="58"/>
    </row>
    <row r="254" spans="2:14" x14ac:dyDescent="0.35">
      <c r="B254" s="33" t="s">
        <v>107</v>
      </c>
      <c r="C254" s="34">
        <f>+G219</f>
        <v>14490393.53548684</v>
      </c>
      <c r="D254" s="70"/>
      <c r="E254" s="70"/>
      <c r="F254" s="71"/>
      <c r="G254" s="34">
        <f t="shared" si="17"/>
        <v>14813376.881520391</v>
      </c>
      <c r="H254" s="58"/>
      <c r="I254" s="58"/>
      <c r="J254" s="58"/>
      <c r="K254" s="58"/>
      <c r="L254" s="58"/>
      <c r="M254" s="58"/>
      <c r="N254" s="58"/>
    </row>
    <row r="255" spans="2:14" x14ac:dyDescent="0.35">
      <c r="B255" s="33" t="s">
        <v>13</v>
      </c>
      <c r="C255" s="34">
        <f>+G220</f>
        <v>53776179.439896718</v>
      </c>
      <c r="D255" s="70"/>
      <c r="E255" s="70"/>
      <c r="F255" s="72"/>
      <c r="G255" s="34">
        <f t="shared" si="17"/>
        <v>54974822.549889728</v>
      </c>
      <c r="H255" s="58"/>
      <c r="I255" s="58"/>
      <c r="J255" s="58"/>
      <c r="K255" s="58"/>
      <c r="L255" s="58"/>
      <c r="M255" s="58"/>
      <c r="N255" s="58"/>
    </row>
    <row r="256" spans="2:14" x14ac:dyDescent="0.35">
      <c r="G256" s="55"/>
      <c r="H256" s="58"/>
      <c r="I256" s="58"/>
      <c r="J256" s="58"/>
      <c r="K256" s="58"/>
      <c r="L256" s="58"/>
      <c r="M256" s="58"/>
      <c r="N256" s="58"/>
    </row>
    <row r="257" spans="2:14" x14ac:dyDescent="0.35">
      <c r="B257" s="8" t="s">
        <v>27</v>
      </c>
      <c r="H257" s="58"/>
      <c r="I257" s="58"/>
      <c r="J257" s="58"/>
      <c r="K257" s="58"/>
      <c r="L257" s="58"/>
      <c r="M257" s="58"/>
      <c r="N257" s="58"/>
    </row>
    <row r="258" spans="2:14" x14ac:dyDescent="0.35">
      <c r="H258" s="58"/>
      <c r="I258" s="58"/>
      <c r="J258" s="58"/>
      <c r="K258" s="58"/>
      <c r="L258" s="58"/>
      <c r="M258" s="58"/>
      <c r="N258" s="58"/>
    </row>
    <row r="259" spans="2:14" ht="16.5" x14ac:dyDescent="0.35">
      <c r="B259" s="33"/>
      <c r="C259" s="53" t="s">
        <v>80</v>
      </c>
      <c r="D259" s="53" t="s">
        <v>81</v>
      </c>
      <c r="E259" s="54" t="s">
        <v>82</v>
      </c>
      <c r="H259" s="58"/>
      <c r="I259" s="58"/>
      <c r="J259" s="58"/>
      <c r="K259" s="58"/>
      <c r="L259" s="58"/>
      <c r="M259" s="58"/>
      <c r="N259" s="58"/>
    </row>
    <row r="260" spans="2:14" x14ac:dyDescent="0.35">
      <c r="B260" s="33" t="s">
        <v>7</v>
      </c>
      <c r="C260" s="17">
        <v>1505595.86</v>
      </c>
      <c r="D260" s="17">
        <v>0</v>
      </c>
      <c r="E260" s="34">
        <f>+C260+D260</f>
        <v>1505595.86</v>
      </c>
      <c r="H260" s="58"/>
      <c r="I260" s="58"/>
      <c r="J260" s="58"/>
      <c r="K260" s="58"/>
      <c r="L260" s="58"/>
      <c r="M260" s="58"/>
      <c r="N260" s="58"/>
    </row>
    <row r="261" spans="2:14" x14ac:dyDescent="0.35">
      <c r="B261" s="33" t="s">
        <v>8</v>
      </c>
      <c r="C261" s="17">
        <v>1344577.66</v>
      </c>
      <c r="D261" s="17">
        <v>0</v>
      </c>
      <c r="E261" s="34">
        <f t="shared" ref="E261:E269" si="18">+C261+D261</f>
        <v>1344577.66</v>
      </c>
      <c r="H261" s="58"/>
      <c r="I261" s="58"/>
      <c r="J261" s="58"/>
      <c r="K261" s="58"/>
      <c r="L261" s="58"/>
      <c r="M261" s="58"/>
      <c r="N261" s="58"/>
    </row>
    <row r="262" spans="2:14" x14ac:dyDescent="0.35">
      <c r="B262" s="33" t="s">
        <v>108</v>
      </c>
      <c r="C262" s="17">
        <v>669004.31000000006</v>
      </c>
      <c r="D262" s="17">
        <v>0</v>
      </c>
      <c r="E262" s="34">
        <f t="shared" si="18"/>
        <v>669004.31000000006</v>
      </c>
      <c r="H262" s="58"/>
      <c r="I262" s="58"/>
      <c r="J262" s="58"/>
      <c r="K262" s="58"/>
      <c r="L262" s="58"/>
      <c r="M262" s="58"/>
      <c r="N262" s="58"/>
    </row>
    <row r="263" spans="2:14" x14ac:dyDescent="0.35">
      <c r="B263" s="33" t="s">
        <v>9</v>
      </c>
      <c r="C263" s="17">
        <v>812361.5</v>
      </c>
      <c r="D263" s="17">
        <v>0</v>
      </c>
      <c r="E263" s="34">
        <f t="shared" si="18"/>
        <v>812361.5</v>
      </c>
    </row>
    <row r="264" spans="2:14" x14ac:dyDescent="0.35">
      <c r="B264" s="33" t="s">
        <v>10</v>
      </c>
      <c r="C264" s="17">
        <v>1262827.26</v>
      </c>
      <c r="D264" s="17">
        <v>0</v>
      </c>
      <c r="E264" s="34">
        <f t="shared" si="18"/>
        <v>1262827.26</v>
      </c>
    </row>
    <row r="265" spans="2:14" x14ac:dyDescent="0.35">
      <c r="B265" s="33" t="s">
        <v>11</v>
      </c>
      <c r="C265" s="17">
        <v>1119301.95</v>
      </c>
      <c r="D265" s="17">
        <v>0</v>
      </c>
      <c r="E265" s="34">
        <f t="shared" si="18"/>
        <v>1119301.95</v>
      </c>
    </row>
    <row r="266" spans="2:14" x14ac:dyDescent="0.35">
      <c r="B266" s="33" t="s">
        <v>12</v>
      </c>
      <c r="C266" s="17">
        <v>246273.1</v>
      </c>
      <c r="D266" s="17">
        <v>-22.71</v>
      </c>
      <c r="E266" s="34">
        <f t="shared" si="18"/>
        <v>246250.39</v>
      </c>
    </row>
    <row r="267" spans="2:14" x14ac:dyDescent="0.35">
      <c r="B267" s="33" t="s">
        <v>106</v>
      </c>
      <c r="C267" s="17">
        <v>300046.19</v>
      </c>
      <c r="D267" s="17">
        <v>-4020.04</v>
      </c>
      <c r="E267" s="34">
        <f t="shared" si="18"/>
        <v>296026.15000000002</v>
      </c>
    </row>
    <row r="268" spans="2:14" x14ac:dyDescent="0.35">
      <c r="B268" s="33" t="s">
        <v>107</v>
      </c>
      <c r="C268" s="17">
        <v>177040.34</v>
      </c>
      <c r="D268" s="17">
        <v>-2091.3000000000002</v>
      </c>
      <c r="E268" s="34">
        <f t="shared" si="18"/>
        <v>174949.04</v>
      </c>
    </row>
    <row r="269" spans="2:14" x14ac:dyDescent="0.35">
      <c r="B269" s="33" t="s">
        <v>13</v>
      </c>
      <c r="C269" s="17">
        <v>796189.07</v>
      </c>
      <c r="D269" s="17">
        <v>-8761.49</v>
      </c>
      <c r="E269" s="34">
        <f t="shared" si="18"/>
        <v>787427.58</v>
      </c>
    </row>
    <row r="270" spans="2:14" s="36" customFormat="1" x14ac:dyDescent="0.35">
      <c r="B270" s="36" t="s">
        <v>31</v>
      </c>
    </row>
    <row r="272" spans="2:14" x14ac:dyDescent="0.35">
      <c r="B272" s="24" t="s">
        <v>32</v>
      </c>
    </row>
    <row r="274" spans="2:6" ht="15" x14ac:dyDescent="0.35">
      <c r="B274" s="16"/>
      <c r="C274" s="73" t="s">
        <v>83</v>
      </c>
    </row>
    <row r="275" spans="2:6" x14ac:dyDescent="0.35">
      <c r="B275" s="16" t="s">
        <v>7</v>
      </c>
      <c r="C275" s="17">
        <v>0</v>
      </c>
    </row>
    <row r="276" spans="2:6" x14ac:dyDescent="0.35">
      <c r="B276" s="16" t="s">
        <v>8</v>
      </c>
      <c r="C276" s="17">
        <v>0</v>
      </c>
    </row>
    <row r="277" spans="2:6" x14ac:dyDescent="0.35">
      <c r="B277" s="16" t="s">
        <v>108</v>
      </c>
      <c r="C277" s="17">
        <v>0</v>
      </c>
    </row>
    <row r="278" spans="2:6" x14ac:dyDescent="0.35">
      <c r="B278" s="16" t="s">
        <v>9</v>
      </c>
      <c r="C278" s="17">
        <v>0</v>
      </c>
    </row>
    <row r="279" spans="2:6" x14ac:dyDescent="0.35">
      <c r="B279" s="16" t="s">
        <v>10</v>
      </c>
      <c r="C279" s="17">
        <v>0</v>
      </c>
    </row>
    <row r="280" spans="2:6" x14ac:dyDescent="0.35">
      <c r="B280" s="16" t="s">
        <v>11</v>
      </c>
      <c r="C280" s="17">
        <v>0</v>
      </c>
    </row>
    <row r="281" spans="2:6" x14ac:dyDescent="0.35">
      <c r="B281" s="16" t="s">
        <v>12</v>
      </c>
      <c r="C281" s="17">
        <v>0</v>
      </c>
    </row>
    <row r="282" spans="2:6" x14ac:dyDescent="0.35">
      <c r="B282" s="16" t="s">
        <v>106</v>
      </c>
      <c r="C282" s="17">
        <v>0</v>
      </c>
    </row>
    <row r="283" spans="2:6" x14ac:dyDescent="0.35">
      <c r="B283" s="16" t="s">
        <v>107</v>
      </c>
      <c r="C283" s="17">
        <v>0</v>
      </c>
    </row>
    <row r="284" spans="2:6" x14ac:dyDescent="0.35">
      <c r="B284" s="16" t="s">
        <v>13</v>
      </c>
      <c r="C284" s="17">
        <v>0</v>
      </c>
    </row>
    <row r="286" spans="2:6" x14ac:dyDescent="0.35">
      <c r="B286" s="24" t="s">
        <v>84</v>
      </c>
    </row>
    <row r="287" spans="2:6" ht="15" thickBot="1" x14ac:dyDescent="0.4"/>
    <row r="288" spans="2:6" ht="17" thickBot="1" x14ac:dyDescent="0.4">
      <c r="B288" s="37"/>
      <c r="C288" s="32" t="s">
        <v>85</v>
      </c>
      <c r="D288" s="38" t="s">
        <v>82</v>
      </c>
      <c r="E288" s="73" t="s">
        <v>83</v>
      </c>
      <c r="F288" s="40" t="s">
        <v>86</v>
      </c>
    </row>
    <row r="289" spans="2:10" x14ac:dyDescent="0.35">
      <c r="B289" s="41" t="s">
        <v>7</v>
      </c>
      <c r="C289" s="42">
        <f t="shared" ref="C289:C298" si="19">+G246</f>
        <v>79859567.207524106</v>
      </c>
      <c r="D289" s="43">
        <f t="shared" ref="D289:D298" si="20">+E260</f>
        <v>1505595.86</v>
      </c>
      <c r="E289" s="43">
        <f t="shared" ref="E289:E298" si="21">+C275</f>
        <v>0</v>
      </c>
      <c r="F289" s="44">
        <f>+C289+D289+E289</f>
        <v>81365163.067524105</v>
      </c>
    </row>
    <row r="290" spans="2:10" x14ac:dyDescent="0.35">
      <c r="B290" s="45" t="s">
        <v>8</v>
      </c>
      <c r="C290" s="42">
        <f t="shared" si="19"/>
        <v>96624090.421226919</v>
      </c>
      <c r="D290" s="43">
        <f t="shared" si="20"/>
        <v>1344577.66</v>
      </c>
      <c r="E290" s="43">
        <f t="shared" si="21"/>
        <v>0</v>
      </c>
      <c r="F290" s="44">
        <f t="shared" ref="F290:F298" si="22">+C290+D290+E290</f>
        <v>97968668.081226915</v>
      </c>
    </row>
    <row r="291" spans="2:10" x14ac:dyDescent="0.35">
      <c r="B291" s="45" t="s">
        <v>108</v>
      </c>
      <c r="C291" s="42">
        <f t="shared" si="19"/>
        <v>42147654.692735113</v>
      </c>
      <c r="D291" s="43">
        <f t="shared" si="20"/>
        <v>669004.31000000006</v>
      </c>
      <c r="E291" s="43">
        <f t="shared" si="21"/>
        <v>0</v>
      </c>
      <c r="F291" s="44">
        <f t="shared" si="22"/>
        <v>42816659.002735116</v>
      </c>
    </row>
    <row r="292" spans="2:10" x14ac:dyDescent="0.35">
      <c r="B292" s="45" t="s">
        <v>9</v>
      </c>
      <c r="C292" s="42">
        <f t="shared" si="19"/>
        <v>43821648.513085976</v>
      </c>
      <c r="D292" s="43">
        <f t="shared" si="20"/>
        <v>812361.5</v>
      </c>
      <c r="E292" s="43">
        <f t="shared" si="21"/>
        <v>0</v>
      </c>
      <c r="F292" s="44">
        <f t="shared" si="22"/>
        <v>44634010.013085976</v>
      </c>
    </row>
    <row r="293" spans="2:10" x14ac:dyDescent="0.35">
      <c r="B293" s="45" t="s">
        <v>10</v>
      </c>
      <c r="C293" s="42">
        <f t="shared" si="19"/>
        <v>84882530.619169533</v>
      </c>
      <c r="D293" s="43">
        <f t="shared" si="20"/>
        <v>1262827.26</v>
      </c>
      <c r="E293" s="43">
        <f t="shared" si="21"/>
        <v>0</v>
      </c>
      <c r="F293" s="44">
        <f t="shared" si="22"/>
        <v>86145357.879169539</v>
      </c>
    </row>
    <row r="294" spans="2:10" x14ac:dyDescent="0.35">
      <c r="B294" s="45" t="s">
        <v>11</v>
      </c>
      <c r="C294" s="42">
        <f t="shared" si="19"/>
        <v>58901192.683382601</v>
      </c>
      <c r="D294" s="43">
        <f t="shared" si="20"/>
        <v>1119301.95</v>
      </c>
      <c r="E294" s="43">
        <f t="shared" si="21"/>
        <v>0</v>
      </c>
      <c r="F294" s="44">
        <f t="shared" si="22"/>
        <v>60020494.633382604</v>
      </c>
    </row>
    <row r="295" spans="2:10" x14ac:dyDescent="0.35">
      <c r="B295" s="45" t="s">
        <v>12</v>
      </c>
      <c r="C295" s="42">
        <f t="shared" si="19"/>
        <v>14155687.367208753</v>
      </c>
      <c r="D295" s="43">
        <f t="shared" si="20"/>
        <v>246250.39</v>
      </c>
      <c r="E295" s="43">
        <f t="shared" si="21"/>
        <v>0</v>
      </c>
      <c r="F295" s="44">
        <f t="shared" si="22"/>
        <v>14401937.757208753</v>
      </c>
    </row>
    <row r="296" spans="2:10" x14ac:dyDescent="0.35">
      <c r="B296" s="45" t="s">
        <v>106</v>
      </c>
      <c r="C296" s="42">
        <f t="shared" si="19"/>
        <v>13929356.944605887</v>
      </c>
      <c r="D296" s="43">
        <f t="shared" si="20"/>
        <v>296026.15000000002</v>
      </c>
      <c r="E296" s="43">
        <f t="shared" si="21"/>
        <v>0</v>
      </c>
      <c r="F296" s="44">
        <f t="shared" si="22"/>
        <v>14225383.094605887</v>
      </c>
    </row>
    <row r="297" spans="2:10" x14ac:dyDescent="0.35">
      <c r="B297" s="45" t="s">
        <v>107</v>
      </c>
      <c r="C297" s="42">
        <f t="shared" si="19"/>
        <v>14813376.881520391</v>
      </c>
      <c r="D297" s="43">
        <f t="shared" si="20"/>
        <v>174949.04</v>
      </c>
      <c r="E297" s="43">
        <f t="shared" si="21"/>
        <v>0</v>
      </c>
      <c r="F297" s="44">
        <f t="shared" si="22"/>
        <v>14988325.92152039</v>
      </c>
    </row>
    <row r="298" spans="2:10" ht="15" thickBot="1" x14ac:dyDescent="0.4">
      <c r="B298" s="46" t="s">
        <v>13</v>
      </c>
      <c r="C298" s="42">
        <f t="shared" si="19"/>
        <v>54974822.549889728</v>
      </c>
      <c r="D298" s="43">
        <f t="shared" si="20"/>
        <v>787427.58</v>
      </c>
      <c r="E298" s="43">
        <f t="shared" si="21"/>
        <v>0</v>
      </c>
      <c r="F298" s="44">
        <f t="shared" si="22"/>
        <v>55762250.129889727</v>
      </c>
    </row>
    <row r="301" spans="2:10" x14ac:dyDescent="0.35">
      <c r="B301" s="12" t="s">
        <v>37</v>
      </c>
      <c r="C301" s="12"/>
      <c r="D301" s="12"/>
      <c r="E301" s="12"/>
      <c r="F301" s="12"/>
      <c r="G301" s="12"/>
      <c r="H301" s="12"/>
      <c r="I301" s="12"/>
      <c r="J301" s="12"/>
    </row>
    <row r="303" spans="2:10" x14ac:dyDescent="0.35">
      <c r="B303" s="8" t="s">
        <v>38</v>
      </c>
      <c r="C303" s="15"/>
    </row>
    <row r="304" spans="2:10" x14ac:dyDescent="0.35">
      <c r="B304" s="15"/>
      <c r="C304" s="15"/>
    </row>
    <row r="305" spans="2:7" ht="16.5" x14ac:dyDescent="0.45">
      <c r="B305" s="20" t="s">
        <v>87</v>
      </c>
      <c r="C305" s="77">
        <v>108.96</v>
      </c>
      <c r="E305" s="48"/>
    </row>
    <row r="306" spans="2:7" ht="16.5" x14ac:dyDescent="0.45">
      <c r="B306" s="20" t="s">
        <v>63</v>
      </c>
      <c r="C306" s="77">
        <f>+C233</f>
        <v>107.43</v>
      </c>
    </row>
    <row r="307" spans="2:7" ht="16.5" x14ac:dyDescent="0.45">
      <c r="B307" s="20" t="s">
        <v>88</v>
      </c>
      <c r="C307" s="28">
        <f>+C305/C306-1</f>
        <v>1.4241831890533296E-2</v>
      </c>
    </row>
    <row r="309" spans="2:7" x14ac:dyDescent="0.35">
      <c r="B309" s="24" t="s">
        <v>89</v>
      </c>
    </row>
    <row r="311" spans="2:7" ht="16.5" x14ac:dyDescent="0.35">
      <c r="B311" s="16"/>
      <c r="C311" s="14" t="s">
        <v>90</v>
      </c>
      <c r="D311" s="14" t="s">
        <v>91</v>
      </c>
      <c r="E311" s="67" t="s">
        <v>78</v>
      </c>
      <c r="F311" s="14" t="s">
        <v>25</v>
      </c>
      <c r="G311" s="32" t="s">
        <v>92</v>
      </c>
    </row>
    <row r="312" spans="2:7" x14ac:dyDescent="0.35">
      <c r="B312" s="16" t="s">
        <v>7</v>
      </c>
      <c r="C312" s="17">
        <f>+G211</f>
        <v>78118349.76360324</v>
      </c>
      <c r="D312" s="26">
        <f>+C307</f>
        <v>1.4241831890533296E-2</v>
      </c>
      <c r="E312" s="68">
        <f>x+xxg</f>
        <v>-4.7897133398950853E-3</v>
      </c>
      <c r="F312" s="27">
        <f>q</f>
        <v>0</v>
      </c>
      <c r="G312" s="17">
        <f t="shared" ref="G312:G321" si="23">+C312*(1+$D$312-$E$312+q)</f>
        <v>79605062.670455679</v>
      </c>
    </row>
    <row r="313" spans="2:7" x14ac:dyDescent="0.35">
      <c r="B313" s="16" t="s">
        <v>8</v>
      </c>
      <c r="C313" s="17">
        <f>+G212</f>
        <v>94517347.827603444</v>
      </c>
      <c r="D313" s="29"/>
      <c r="E313" s="70"/>
      <c r="F313" s="30"/>
      <c r="G313" s="17">
        <f t="shared" si="23"/>
        <v>96316159.007844612</v>
      </c>
    </row>
    <row r="314" spans="2:7" x14ac:dyDescent="0.35">
      <c r="B314" s="16" t="s">
        <v>108</v>
      </c>
      <c r="C314" s="17">
        <f>+G213</f>
        <v>41228688.63597405</v>
      </c>
      <c r="D314" s="29"/>
      <c r="E314" s="70"/>
      <c r="F314" s="30"/>
      <c r="G314" s="17">
        <f t="shared" si="23"/>
        <v>42013334.28854084</v>
      </c>
    </row>
    <row r="315" spans="2:7" x14ac:dyDescent="0.35">
      <c r="B315" s="16" t="s">
        <v>9</v>
      </c>
      <c r="C315" s="17">
        <f>+G214</f>
        <v>42866183.54526224</v>
      </c>
      <c r="D315" s="29"/>
      <c r="E315" s="70"/>
      <c r="F315" s="30"/>
      <c r="G315" s="17">
        <f t="shared" si="23"/>
        <v>43681993.256259739</v>
      </c>
    </row>
    <row r="316" spans="2:7" x14ac:dyDescent="0.35">
      <c r="B316" s="16" t="s">
        <v>10</v>
      </c>
      <c r="C316" s="17">
        <f>+G215</f>
        <v>83031795.03210865</v>
      </c>
      <c r="D316" s="29"/>
      <c r="E316" s="70"/>
      <c r="F316" s="30"/>
      <c r="G316" s="17">
        <f t="shared" si="23"/>
        <v>84612018.394825891</v>
      </c>
    </row>
    <row r="317" spans="2:7" x14ac:dyDescent="0.35">
      <c r="B317" s="16" t="s">
        <v>11</v>
      </c>
      <c r="C317" s="17">
        <f>+G216</f>
        <v>57616940.993143201</v>
      </c>
      <c r="D317" s="29"/>
      <c r="E317" s="70"/>
      <c r="F317" s="30"/>
      <c r="G317" s="17">
        <f t="shared" si="23"/>
        <v>58713480.411693126</v>
      </c>
    </row>
    <row r="318" spans="2:7" x14ac:dyDescent="0.35">
      <c r="B318" s="16" t="s">
        <v>12</v>
      </c>
      <c r="C318" s="17">
        <f>+G217</f>
        <v>13847043.949314648</v>
      </c>
      <c r="D318" s="29"/>
      <c r="E318" s="70"/>
      <c r="F318" s="30"/>
      <c r="G318" s="17">
        <f t="shared" si="23"/>
        <v>14110574.59254376</v>
      </c>
    </row>
    <row r="319" spans="2:7" x14ac:dyDescent="0.35">
      <c r="B319" s="16" t="s">
        <v>106</v>
      </c>
      <c r="C319" s="17">
        <f>+G218</f>
        <v>13625648.320296401</v>
      </c>
      <c r="D319" s="29"/>
      <c r="E319" s="70"/>
      <c r="F319" s="30"/>
      <c r="G319" s="17">
        <f t="shared" si="23"/>
        <v>13884965.462598033</v>
      </c>
    </row>
    <row r="320" spans="2:7" x14ac:dyDescent="0.35">
      <c r="B320" s="16" t="s">
        <v>107</v>
      </c>
      <c r="C320" s="17">
        <f>+G219</f>
        <v>14490393.53548684</v>
      </c>
      <c r="D320" s="29"/>
      <c r="E320" s="70"/>
      <c r="F320" s="30"/>
      <c r="G320" s="17">
        <f t="shared" si="23"/>
        <v>14766168.115464164</v>
      </c>
    </row>
    <row r="321" spans="2:10" x14ac:dyDescent="0.35">
      <c r="B321" s="16" t="s">
        <v>13</v>
      </c>
      <c r="C321" s="17">
        <f>+G220</f>
        <v>53776179.439896718</v>
      </c>
      <c r="D321" s="29"/>
      <c r="E321" s="70"/>
      <c r="F321" s="31"/>
      <c r="G321" s="17">
        <f t="shared" si="23"/>
        <v>54799623.231226742</v>
      </c>
    </row>
    <row r="323" spans="2:10" ht="15" thickBot="1" x14ac:dyDescent="0.4"/>
    <row r="324" spans="2:10" ht="21.5" thickBot="1" x14ac:dyDescent="0.55000000000000004">
      <c r="B324" s="9" t="s">
        <v>93</v>
      </c>
      <c r="C324" s="10"/>
      <c r="D324" s="10"/>
      <c r="E324" s="10"/>
      <c r="F324" s="10"/>
      <c r="G324" s="10"/>
      <c r="H324" s="10"/>
      <c r="I324" s="10"/>
      <c r="J324" s="11"/>
    </row>
    <row r="327" spans="2:10" x14ac:dyDescent="0.35">
      <c r="B327" s="12" t="s">
        <v>3</v>
      </c>
      <c r="C327" s="12"/>
      <c r="D327" s="12"/>
      <c r="E327" s="12"/>
      <c r="F327" s="12"/>
      <c r="G327" s="12"/>
      <c r="H327" s="12"/>
      <c r="I327" s="12"/>
      <c r="J327" s="12"/>
    </row>
    <row r="330" spans="2:10" x14ac:dyDescent="0.35">
      <c r="B330" s="8" t="s">
        <v>94</v>
      </c>
      <c r="C330" s="15"/>
      <c r="D330" s="15"/>
      <c r="E330" s="15"/>
    </row>
    <row r="331" spans="2:10" x14ac:dyDescent="0.35">
      <c r="B331" s="15"/>
      <c r="C331" s="15"/>
      <c r="D331" s="15"/>
      <c r="E331" s="15"/>
    </row>
    <row r="332" spans="2:10" ht="16.5" x14ac:dyDescent="0.45">
      <c r="B332" s="20" t="s">
        <v>95</v>
      </c>
      <c r="C332" s="77">
        <v>110.51</v>
      </c>
      <c r="D332" s="15"/>
      <c r="E332" s="22"/>
    </row>
    <row r="333" spans="2:10" ht="16.5" x14ac:dyDescent="0.45">
      <c r="B333" s="20" t="s">
        <v>87</v>
      </c>
      <c r="C333" s="77">
        <f>+C305</f>
        <v>108.96</v>
      </c>
      <c r="D333" s="15"/>
      <c r="E333" s="15"/>
    </row>
    <row r="334" spans="2:10" ht="16.5" x14ac:dyDescent="0.45">
      <c r="B334" s="20" t="s">
        <v>96</v>
      </c>
      <c r="C334" s="28">
        <f>+C332/C333-1</f>
        <v>1.4225403817915039E-2</v>
      </c>
      <c r="D334" s="15"/>
      <c r="E334" s="15"/>
    </row>
    <row r="337" spans="2:8" x14ac:dyDescent="0.35">
      <c r="B337" s="24" t="s">
        <v>22</v>
      </c>
      <c r="C337" s="15"/>
      <c r="D337" s="15"/>
      <c r="E337" s="15"/>
      <c r="F337" s="15"/>
      <c r="G337" s="15"/>
    </row>
    <row r="338" spans="2:8" x14ac:dyDescent="0.35">
      <c r="B338" s="15"/>
      <c r="C338" s="15"/>
      <c r="D338" s="15"/>
      <c r="E338" s="15"/>
      <c r="F338" s="15"/>
      <c r="G338" s="15"/>
    </row>
    <row r="339" spans="2:8" ht="16.5" x14ac:dyDescent="0.35">
      <c r="B339" s="16"/>
      <c r="C339" s="32" t="s">
        <v>92</v>
      </c>
      <c r="D339" s="14" t="s">
        <v>97</v>
      </c>
      <c r="E339" s="67" t="s">
        <v>78</v>
      </c>
      <c r="F339" s="14" t="s">
        <v>25</v>
      </c>
      <c r="G339" s="32" t="s">
        <v>98</v>
      </c>
    </row>
    <row r="340" spans="2:8" x14ac:dyDescent="0.35">
      <c r="B340" s="16" t="s">
        <v>7</v>
      </c>
      <c r="C340" s="17">
        <f t="shared" ref="C340:C349" si="24">+G312</f>
        <v>79605062.670455679</v>
      </c>
      <c r="D340" s="26">
        <f>+C334</f>
        <v>1.4225403817915039E-2</v>
      </c>
      <c r="E340" s="68">
        <f>x+xxg</f>
        <v>-4.7897133398950853E-3</v>
      </c>
      <c r="F340" s="27">
        <f>q</f>
        <v>0</v>
      </c>
      <c r="G340" s="17">
        <f t="shared" ref="G340:G349" si="25">+C340*(1+$D$340-$E$340+q)</f>
        <v>81118762.263489217</v>
      </c>
      <c r="H340" s="74"/>
    </row>
    <row r="341" spans="2:8" x14ac:dyDescent="0.35">
      <c r="B341" s="16" t="s">
        <v>8</v>
      </c>
      <c r="C341" s="17">
        <f t="shared" si="24"/>
        <v>96316159.007844612</v>
      </c>
      <c r="D341" s="29"/>
      <c r="E341" s="70"/>
      <c r="F341" s="30"/>
      <c r="G341" s="17">
        <f t="shared" si="25"/>
        <v>98147622.055569053</v>
      </c>
      <c r="H341" s="74"/>
    </row>
    <row r="342" spans="2:8" x14ac:dyDescent="0.35">
      <c r="B342" s="16" t="s">
        <v>108</v>
      </c>
      <c r="C342" s="17">
        <f t="shared" si="24"/>
        <v>42013334.28854084</v>
      </c>
      <c r="D342" s="29"/>
      <c r="E342" s="70"/>
      <c r="F342" s="30"/>
      <c r="G342" s="17">
        <f t="shared" si="25"/>
        <v>42812222.762227684</v>
      </c>
      <c r="H342" s="74"/>
    </row>
    <row r="343" spans="2:8" x14ac:dyDescent="0.35">
      <c r="B343" s="16" t="s">
        <v>9</v>
      </c>
      <c r="C343" s="17">
        <f t="shared" si="24"/>
        <v>43681993.256259739</v>
      </c>
      <c r="D343" s="29"/>
      <c r="E343" s="70"/>
      <c r="F343" s="30"/>
      <c r="G343" s="17">
        <f t="shared" si="25"/>
        <v>44512611.475714192</v>
      </c>
      <c r="H343" s="74"/>
    </row>
    <row r="344" spans="2:8" x14ac:dyDescent="0.35">
      <c r="B344" s="16" t="s">
        <v>10</v>
      </c>
      <c r="C344" s="17">
        <f t="shared" si="24"/>
        <v>84612018.394825891</v>
      </c>
      <c r="D344" s="29"/>
      <c r="E344" s="70"/>
      <c r="F344" s="30"/>
      <c r="G344" s="17">
        <f t="shared" si="25"/>
        <v>86220925.837562293</v>
      </c>
      <c r="H344" s="74"/>
    </row>
    <row r="345" spans="2:8" x14ac:dyDescent="0.35">
      <c r="B345" s="16" t="s">
        <v>11</v>
      </c>
      <c r="C345" s="17">
        <f t="shared" si="24"/>
        <v>58713480.411693126</v>
      </c>
      <c r="D345" s="29"/>
      <c r="E345" s="70"/>
      <c r="F345" s="30"/>
      <c r="G345" s="17">
        <f t="shared" si="25"/>
        <v>59829924.120464258</v>
      </c>
      <c r="H345" s="74"/>
    </row>
    <row r="346" spans="2:8" x14ac:dyDescent="0.35">
      <c r="B346" s="16" t="s">
        <v>12</v>
      </c>
      <c r="C346" s="17">
        <f t="shared" si="24"/>
        <v>14110574.59254376</v>
      </c>
      <c r="D346" s="29"/>
      <c r="E346" s="70"/>
      <c r="F346" s="30"/>
      <c r="G346" s="17">
        <f t="shared" si="25"/>
        <v>14378888.821585</v>
      </c>
      <c r="H346" s="74"/>
    </row>
    <row r="347" spans="2:8" x14ac:dyDescent="0.35">
      <c r="B347" s="16" t="s">
        <v>106</v>
      </c>
      <c r="C347" s="17">
        <f t="shared" si="24"/>
        <v>13884965.462598033</v>
      </c>
      <c r="D347" s="29"/>
      <c r="E347" s="70"/>
      <c r="F347" s="30"/>
      <c r="G347" s="17">
        <f t="shared" si="25"/>
        <v>14148989.707601482</v>
      </c>
      <c r="H347" s="74"/>
    </row>
    <row r="348" spans="2:8" x14ac:dyDescent="0.35">
      <c r="B348" s="16" t="s">
        <v>107</v>
      </c>
      <c r="C348" s="17">
        <f t="shared" si="24"/>
        <v>14766168.115464164</v>
      </c>
      <c r="D348" s="29"/>
      <c r="E348" s="70"/>
      <c r="F348" s="30"/>
      <c r="G348" s="17">
        <f t="shared" si="25"/>
        <v>15046948.532151636</v>
      </c>
      <c r="H348" s="74"/>
    </row>
    <row r="349" spans="2:8" x14ac:dyDescent="0.35">
      <c r="B349" s="16" t="s">
        <v>13</v>
      </c>
      <c r="C349" s="17">
        <f t="shared" si="24"/>
        <v>54799623.231226742</v>
      </c>
      <c r="D349" s="29"/>
      <c r="E349" s="70"/>
      <c r="F349" s="31"/>
      <c r="G349" s="17">
        <f t="shared" si="25"/>
        <v>55841644.487172373</v>
      </c>
      <c r="H349" s="74"/>
    </row>
    <row r="351" spans="2:8" x14ac:dyDescent="0.35">
      <c r="B351" s="8" t="s">
        <v>27</v>
      </c>
    </row>
    <row r="353" spans="2:5" ht="16.5" x14ac:dyDescent="0.35">
      <c r="B353" s="33"/>
      <c r="C353" s="53" t="s">
        <v>99</v>
      </c>
      <c r="D353" s="53" t="s">
        <v>100</v>
      </c>
      <c r="E353" s="54" t="s">
        <v>101</v>
      </c>
    </row>
    <row r="354" spans="2:5" x14ac:dyDescent="0.35">
      <c r="B354" s="33" t="s">
        <v>7</v>
      </c>
      <c r="C354" s="17">
        <v>1187595.7533333332</v>
      </c>
      <c r="D354" s="17">
        <v>0</v>
      </c>
      <c r="E354" s="17">
        <f>+C354+D354</f>
        <v>1187595.7533333332</v>
      </c>
    </row>
    <row r="355" spans="2:5" x14ac:dyDescent="0.35">
      <c r="B355" s="33" t="s">
        <v>8</v>
      </c>
      <c r="C355" s="17">
        <v>1067087.6200000001</v>
      </c>
      <c r="D355" s="17">
        <v>0</v>
      </c>
      <c r="E355" s="17">
        <f t="shared" ref="E355:E363" si="26">+C355+D355</f>
        <v>1067087.6200000001</v>
      </c>
    </row>
    <row r="356" spans="2:5" x14ac:dyDescent="0.35">
      <c r="B356" s="33" t="s">
        <v>108</v>
      </c>
      <c r="C356" s="17">
        <v>530891.18333333323</v>
      </c>
      <c r="D356" s="17">
        <v>0</v>
      </c>
      <c r="E356" s="17">
        <f t="shared" si="26"/>
        <v>530891.18333333323</v>
      </c>
    </row>
    <row r="357" spans="2:5" x14ac:dyDescent="0.35">
      <c r="B357" s="33" t="s">
        <v>9</v>
      </c>
      <c r="C357" s="17">
        <v>644652.88333333342</v>
      </c>
      <c r="D357" s="17">
        <v>0</v>
      </c>
      <c r="E357" s="17">
        <f t="shared" si="26"/>
        <v>644652.88333333342</v>
      </c>
    </row>
    <row r="358" spans="2:5" x14ac:dyDescent="0.35">
      <c r="B358" s="33" t="s">
        <v>10</v>
      </c>
      <c r="C358" s="17">
        <v>1002121.8800000002</v>
      </c>
      <c r="D358" s="17">
        <v>0</v>
      </c>
      <c r="E358" s="17">
        <f t="shared" si="26"/>
        <v>1002121.8800000002</v>
      </c>
    </row>
    <row r="359" spans="2:5" x14ac:dyDescent="0.35">
      <c r="B359" s="33" t="s">
        <v>11</v>
      </c>
      <c r="C359" s="17">
        <v>889512.9966666667</v>
      </c>
      <c r="D359" s="17">
        <v>0</v>
      </c>
      <c r="E359" s="17">
        <f t="shared" si="26"/>
        <v>889512.9966666667</v>
      </c>
    </row>
    <row r="360" spans="2:5" x14ac:dyDescent="0.35">
      <c r="B360" s="33" t="s">
        <v>12</v>
      </c>
      <c r="C360" s="17">
        <v>195431.05666666664</v>
      </c>
      <c r="D360" s="17">
        <v>0</v>
      </c>
      <c r="E360" s="17">
        <f t="shared" si="26"/>
        <v>195431.05666666664</v>
      </c>
    </row>
    <row r="361" spans="2:5" x14ac:dyDescent="0.35">
      <c r="B361" s="33" t="s">
        <v>106</v>
      </c>
      <c r="C361" s="17">
        <v>236569.81725456138</v>
      </c>
      <c r="D361" s="17">
        <v>0</v>
      </c>
      <c r="E361" s="17">
        <f t="shared" si="26"/>
        <v>236569.81725456138</v>
      </c>
    </row>
    <row r="362" spans="2:5" x14ac:dyDescent="0.35">
      <c r="B362" s="33" t="s">
        <v>107</v>
      </c>
      <c r="C362" s="17">
        <v>140024.71034766667</v>
      </c>
      <c r="D362" s="17">
        <v>0</v>
      </c>
      <c r="E362" s="17">
        <f t="shared" si="26"/>
        <v>140024.71034766667</v>
      </c>
    </row>
    <row r="363" spans="2:5" x14ac:dyDescent="0.35">
      <c r="B363" s="33" t="s">
        <v>13</v>
      </c>
      <c r="C363" s="17">
        <v>618831.47000000009</v>
      </c>
      <c r="D363" s="17">
        <v>0</v>
      </c>
      <c r="E363" s="17">
        <f t="shared" si="26"/>
        <v>618831.47000000009</v>
      </c>
    </row>
    <row r="364" spans="2:5" s="36" customFormat="1" x14ac:dyDescent="0.35">
      <c r="B364" s="36" t="s">
        <v>31</v>
      </c>
      <c r="C364" s="75"/>
      <c r="D364" s="75"/>
    </row>
    <row r="366" spans="2:5" x14ac:dyDescent="0.35">
      <c r="B366" s="24" t="s">
        <v>32</v>
      </c>
    </row>
    <row r="368" spans="2:5" ht="15" x14ac:dyDescent="0.35">
      <c r="B368" s="16"/>
      <c r="C368" s="73" t="s">
        <v>102</v>
      </c>
    </row>
    <row r="369" spans="2:6" x14ac:dyDescent="0.35">
      <c r="B369" s="16" t="s">
        <v>7</v>
      </c>
      <c r="C369" s="17">
        <v>0</v>
      </c>
    </row>
    <row r="370" spans="2:6" x14ac:dyDescent="0.35">
      <c r="B370" s="16" t="s">
        <v>8</v>
      </c>
      <c r="C370" s="17">
        <v>0</v>
      </c>
    </row>
    <row r="371" spans="2:6" x14ac:dyDescent="0.35">
      <c r="B371" s="16" t="s">
        <v>108</v>
      </c>
      <c r="C371" s="17">
        <v>0</v>
      </c>
    </row>
    <row r="372" spans="2:6" x14ac:dyDescent="0.35">
      <c r="B372" s="16" t="s">
        <v>9</v>
      </c>
      <c r="C372" s="17">
        <v>0</v>
      </c>
    </row>
    <row r="373" spans="2:6" x14ac:dyDescent="0.35">
      <c r="B373" s="16" t="s">
        <v>10</v>
      </c>
      <c r="C373" s="17">
        <v>0</v>
      </c>
    </row>
    <row r="374" spans="2:6" x14ac:dyDescent="0.35">
      <c r="B374" s="16" t="s">
        <v>11</v>
      </c>
      <c r="C374" s="17">
        <v>0</v>
      </c>
    </row>
    <row r="375" spans="2:6" x14ac:dyDescent="0.35">
      <c r="B375" s="16" t="s">
        <v>12</v>
      </c>
      <c r="C375" s="17">
        <v>0</v>
      </c>
    </row>
    <row r="376" spans="2:6" x14ac:dyDescent="0.35">
      <c r="B376" s="16" t="s">
        <v>106</v>
      </c>
      <c r="C376" s="17">
        <v>0</v>
      </c>
    </row>
    <row r="377" spans="2:6" x14ac:dyDescent="0.35">
      <c r="B377" s="16" t="s">
        <v>107</v>
      </c>
      <c r="C377" s="17">
        <v>0</v>
      </c>
    </row>
    <row r="378" spans="2:6" x14ac:dyDescent="0.35">
      <c r="B378" s="16" t="s">
        <v>13</v>
      </c>
      <c r="C378" s="17">
        <v>0</v>
      </c>
    </row>
    <row r="380" spans="2:6" x14ac:dyDescent="0.35">
      <c r="B380" s="24" t="s">
        <v>103</v>
      </c>
    </row>
    <row r="381" spans="2:6" ht="15" thickBot="1" x14ac:dyDescent="0.4"/>
    <row r="382" spans="2:6" ht="17" thickBot="1" x14ac:dyDescent="0.4">
      <c r="B382" s="37"/>
      <c r="C382" s="32" t="s">
        <v>104</v>
      </c>
      <c r="D382" s="38" t="s">
        <v>101</v>
      </c>
      <c r="E382" s="73" t="s">
        <v>102</v>
      </c>
      <c r="F382" s="40" t="s">
        <v>105</v>
      </c>
    </row>
    <row r="383" spans="2:6" x14ac:dyDescent="0.35">
      <c r="B383" s="41" t="s">
        <v>7</v>
      </c>
      <c r="C383" s="42">
        <f t="shared" ref="C383:C392" si="27">+G340</f>
        <v>81118762.263489217</v>
      </c>
      <c r="D383" s="43">
        <f t="shared" ref="D383:D392" si="28">+E354</f>
        <v>1187595.7533333332</v>
      </c>
      <c r="E383" s="43">
        <f t="shared" ref="E383:E392" si="29">+C369</f>
        <v>0</v>
      </c>
      <c r="F383" s="44">
        <f>+C383+D383+E383</f>
        <v>82306358.016822547</v>
      </c>
    </row>
    <row r="384" spans="2:6" x14ac:dyDescent="0.35">
      <c r="B384" s="45" t="s">
        <v>8</v>
      </c>
      <c r="C384" s="42">
        <f t="shared" si="27"/>
        <v>98147622.055569053</v>
      </c>
      <c r="D384" s="43">
        <f t="shared" si="28"/>
        <v>1067087.6200000001</v>
      </c>
      <c r="E384" s="43">
        <f t="shared" si="29"/>
        <v>0</v>
      </c>
      <c r="F384" s="44">
        <f t="shared" ref="F384:F392" si="30">+C384+D384+E384</f>
        <v>99214709.675569057</v>
      </c>
    </row>
    <row r="385" spans="2:6" x14ac:dyDescent="0.35">
      <c r="B385" s="45" t="s">
        <v>108</v>
      </c>
      <c r="C385" s="42">
        <f t="shared" si="27"/>
        <v>42812222.762227684</v>
      </c>
      <c r="D385" s="43">
        <f t="shared" si="28"/>
        <v>530891.18333333323</v>
      </c>
      <c r="E385" s="43">
        <f t="shared" si="29"/>
        <v>0</v>
      </c>
      <c r="F385" s="44">
        <f t="shared" si="30"/>
        <v>43343113.945561014</v>
      </c>
    </row>
    <row r="386" spans="2:6" x14ac:dyDescent="0.35">
      <c r="B386" s="45" t="s">
        <v>9</v>
      </c>
      <c r="C386" s="42">
        <f t="shared" si="27"/>
        <v>44512611.475714192</v>
      </c>
      <c r="D386" s="43">
        <f t="shared" si="28"/>
        <v>644652.88333333342</v>
      </c>
      <c r="E386" s="43">
        <f t="shared" si="29"/>
        <v>0</v>
      </c>
      <c r="F386" s="44">
        <f t="shared" si="30"/>
        <v>45157264.359047525</v>
      </c>
    </row>
    <row r="387" spans="2:6" x14ac:dyDescent="0.35">
      <c r="B387" s="45" t="s">
        <v>10</v>
      </c>
      <c r="C387" s="42">
        <f t="shared" si="27"/>
        <v>86220925.837562293</v>
      </c>
      <c r="D387" s="43">
        <f t="shared" si="28"/>
        <v>1002121.8800000002</v>
      </c>
      <c r="E387" s="43">
        <f t="shared" si="29"/>
        <v>0</v>
      </c>
      <c r="F387" s="44">
        <f t="shared" si="30"/>
        <v>87223047.717562288</v>
      </c>
    </row>
    <row r="388" spans="2:6" x14ac:dyDescent="0.35">
      <c r="B388" s="45" t="s">
        <v>11</v>
      </c>
      <c r="C388" s="42">
        <f t="shared" si="27"/>
        <v>59829924.120464258</v>
      </c>
      <c r="D388" s="43">
        <f t="shared" si="28"/>
        <v>889512.9966666667</v>
      </c>
      <c r="E388" s="43">
        <f t="shared" si="29"/>
        <v>0</v>
      </c>
      <c r="F388" s="44">
        <f t="shared" si="30"/>
        <v>60719437.117130928</v>
      </c>
    </row>
    <row r="389" spans="2:6" x14ac:dyDescent="0.35">
      <c r="B389" s="45" t="s">
        <v>12</v>
      </c>
      <c r="C389" s="42">
        <f t="shared" si="27"/>
        <v>14378888.821585</v>
      </c>
      <c r="D389" s="43">
        <f t="shared" si="28"/>
        <v>195431.05666666664</v>
      </c>
      <c r="E389" s="43">
        <f t="shared" si="29"/>
        <v>0</v>
      </c>
      <c r="F389" s="44">
        <f t="shared" si="30"/>
        <v>14574319.878251666</v>
      </c>
    </row>
    <row r="390" spans="2:6" x14ac:dyDescent="0.35">
      <c r="B390" s="45" t="s">
        <v>106</v>
      </c>
      <c r="C390" s="42">
        <f t="shared" si="27"/>
        <v>14148989.707601482</v>
      </c>
      <c r="D390" s="43">
        <f t="shared" si="28"/>
        <v>236569.81725456138</v>
      </c>
      <c r="E390" s="43">
        <f t="shared" si="29"/>
        <v>0</v>
      </c>
      <c r="F390" s="44">
        <f t="shared" si="30"/>
        <v>14385559.524856044</v>
      </c>
    </row>
    <row r="391" spans="2:6" x14ac:dyDescent="0.35">
      <c r="B391" s="45" t="s">
        <v>107</v>
      </c>
      <c r="C391" s="42">
        <f t="shared" si="27"/>
        <v>15046948.532151636</v>
      </c>
      <c r="D391" s="43">
        <f t="shared" si="28"/>
        <v>140024.71034766667</v>
      </c>
      <c r="E391" s="43">
        <f t="shared" si="29"/>
        <v>0</v>
      </c>
      <c r="F391" s="44">
        <f t="shared" si="30"/>
        <v>15186973.242499303</v>
      </c>
    </row>
    <row r="392" spans="2:6" ht="15" thickBot="1" x14ac:dyDescent="0.4">
      <c r="B392" s="46" t="s">
        <v>13</v>
      </c>
      <c r="C392" s="42">
        <f t="shared" si="27"/>
        <v>55841644.487172373</v>
      </c>
      <c r="D392" s="43">
        <f t="shared" si="28"/>
        <v>618831.47000000009</v>
      </c>
      <c r="E392" s="43">
        <f t="shared" si="29"/>
        <v>0</v>
      </c>
      <c r="F392" s="80">
        <f t="shared" si="30"/>
        <v>56460475.957172371</v>
      </c>
    </row>
    <row r="393" spans="2:6" ht="15" thickBot="1" x14ac:dyDescent="0.4">
      <c r="F393" s="81">
        <f>SUM(F383:F392)</f>
        <v>518571259.43447274</v>
      </c>
    </row>
  </sheetData>
  <mergeCells count="26">
    <mergeCell ref="B122:J122"/>
    <mergeCell ref="B225:J225"/>
    <mergeCell ref="B324:J324"/>
    <mergeCell ref="D340:D349"/>
    <mergeCell ref="E340:E349"/>
    <mergeCell ref="F340:F349"/>
    <mergeCell ref="B223:J223"/>
    <mergeCell ref="D246:D255"/>
    <mergeCell ref="E246:E255"/>
    <mergeCell ref="F246:F255"/>
    <mergeCell ref="D312:D321"/>
    <mergeCell ref="E312:E321"/>
    <mergeCell ref="F312:F321"/>
    <mergeCell ref="D145:D154"/>
    <mergeCell ref="E145:E154"/>
    <mergeCell ref="F145:F154"/>
    <mergeCell ref="D211:D220"/>
    <mergeCell ref="E211:E220"/>
    <mergeCell ref="F211:F220"/>
    <mergeCell ref="B2:J3"/>
    <mergeCell ref="B7:J7"/>
    <mergeCell ref="C40:C49"/>
    <mergeCell ref="E40:E49"/>
    <mergeCell ref="F40:F49"/>
    <mergeCell ref="B120:J120"/>
    <mergeCell ref="B9:J9"/>
  </mergeCells>
  <pageMargins left="0.7" right="0.7" top="0.75" bottom="0.75" header="0.3" footer="0.3"/>
  <pageSetup paperSize="9" scale="53" fitToHeight="0" orientation="portrait" r:id="rId1"/>
  <rowBreaks count="3" manualBreakCount="3">
    <brk id="94" min="1" max="9" man="1"/>
    <brk id="184" min="1" max="9" man="1"/>
    <brk id="29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3" ma:contentTypeDescription="Een nieuw document maken." ma:contentTypeScope="" ma:versionID="fb1c77d4ab2ae630c683cfad9ff6c24e">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979cf82525e7f9358d8bdc7b70e5f004"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Props1.xml><?xml version="1.0" encoding="utf-8"?>
<ds:datastoreItem xmlns:ds="http://schemas.openxmlformats.org/officeDocument/2006/customXml" ds:itemID="{CB7AAD30-E835-4987-9E1E-DCBF0FCD7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ADAB42-6918-4A33-A287-ABE22F4D2B85}">
  <ds:schemaRefs>
    <ds:schemaRef ds:uri="http://schemas.microsoft.com/sharepoint/v3/contenttype/forms"/>
  </ds:schemaRefs>
</ds:datastoreItem>
</file>

<file path=customXml/itemProps3.xml><?xml version="1.0" encoding="utf-8"?>
<ds:datastoreItem xmlns:ds="http://schemas.openxmlformats.org/officeDocument/2006/customXml" ds:itemID="{18682759-5954-420A-B802-D5A5FB4E8140}">
  <ds:schemaRefs>
    <ds:schemaRef ds:uri="dc27eef4-d356-41e1-bcf3-2711032fb096"/>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3f81be05-3666-4a6d-a1ba-3aeea25578fa"/>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4</vt:i4>
      </vt:variant>
    </vt:vector>
  </HeadingPairs>
  <TitlesOfParts>
    <vt:vector size="5" baseType="lpstr">
      <vt:lpstr>Endogeen '20 GAS</vt:lpstr>
      <vt:lpstr>'Endogeen ''20 GAS'!Afdrukbereik</vt:lpstr>
      <vt:lpstr>'Endogeen ''20 GAS'!q</vt:lpstr>
      <vt:lpstr>'Endogeen ''20 GAS'!x</vt:lpstr>
      <vt:lpstr>xxg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Stockman</dc:creator>
  <cp:lastModifiedBy>Bert Stockman</cp:lastModifiedBy>
  <dcterms:created xsi:type="dcterms:W3CDTF">2019-10-04T06:58:48Z</dcterms:created>
  <dcterms:modified xsi:type="dcterms:W3CDTF">2019-10-04T07:18:12Z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