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https://o365vreg.sharepoint.com/sites/KT_Tariefregulering/Gedeelde  documenten/TM 21-24/1 tekst en bijlagen TM 21-24/"/>
    </mc:Choice>
  </mc:AlternateContent>
  <xr:revisionPtr revIDLastSave="1412" documentId="113_{B8D52074-7A8B-4B65-B3A1-DD191E9B2B26}" xr6:coauthVersionLast="45" xr6:coauthVersionMax="45" xr10:uidLastSave="{219EBA4E-1470-41BB-A3B5-1D6509F2EAEF}"/>
  <bookViews>
    <workbookView xWindow="-19320" yWindow="-75" windowWidth="19440" windowHeight="15150" tabRatio="830" xr2:uid="{00000000-000D-0000-FFFF-FFFF00000000}"/>
  </bookViews>
  <sheets>
    <sheet name="TITELBLAD" sheetId="1" r:id="rId1"/>
    <sheet name="--&gt; EXO" sheetId="31" r:id="rId2"/>
    <sheet name="T1" sheetId="2" r:id="rId3"/>
    <sheet name="T2 - Overzicht" sheetId="4" r:id="rId4"/>
    <sheet name="T3" sheetId="5" r:id="rId5"/>
    <sheet name="T4A" sheetId="7" r:id="rId6"/>
    <sheet name="T4B" sheetId="19" r:id="rId7"/>
    <sheet name="T4C" sheetId="20" r:id="rId8"/>
    <sheet name="T5A" sheetId="8" r:id="rId9"/>
    <sheet name="T5B" sheetId="26" r:id="rId10"/>
    <sheet name="T5C" sheetId="13" r:id="rId11"/>
    <sheet name="T5D" sheetId="15" r:id="rId12"/>
    <sheet name="T5E" sheetId="16" r:id="rId13"/>
    <sheet name="T5F" sheetId="28" r:id="rId14"/>
    <sheet name="T6A" sheetId="22" r:id="rId15"/>
    <sheet name="T6B" sheetId="29" r:id="rId16"/>
    <sheet name="T7" sheetId="25" r:id="rId17"/>
    <sheet name="T8" sheetId="30" r:id="rId18"/>
    <sheet name="--&gt; ENDO" sheetId="32" r:id="rId19"/>
    <sheet name="T9 - Overzicht" sheetId="33" r:id="rId20"/>
    <sheet name="T10" sheetId="34" r:id="rId21"/>
    <sheet name="T11" sheetId="41" r:id="rId22"/>
    <sheet name="T12" sheetId="35" r:id="rId23"/>
    <sheet name="T13A" sheetId="36" r:id="rId24"/>
    <sheet name="T13B" sheetId="37" r:id="rId25"/>
    <sheet name="T13C" sheetId="38" r:id="rId26"/>
    <sheet name="T13D" sheetId="39" r:id="rId27"/>
    <sheet name="T14" sheetId="40" r:id="rId28"/>
  </sheets>
  <externalReferences>
    <externalReference r:id="rId29"/>
    <externalReference r:id="rId30"/>
    <externalReference r:id="rId31"/>
    <externalReference r:id="rId32"/>
    <externalReference r:id="rId33"/>
  </externalReferences>
  <definedNames>
    <definedName name="_ftn2" localSheetId="0">TITELBLAD!#REF!</definedName>
    <definedName name="_ftn3" localSheetId="0">TITELBLAD!#REF!</definedName>
    <definedName name="_ftnref2" localSheetId="0">TITELBLAD!#REF!</definedName>
    <definedName name="_ftnref3" localSheetId="0">TITELBLAD!#REF!</definedName>
    <definedName name="a" localSheetId="23">#REF!</definedName>
    <definedName name="a" localSheetId="24">#REF!</definedName>
    <definedName name="a" localSheetId="25">#REF!</definedName>
    <definedName name="a" localSheetId="26">#REF!</definedName>
    <definedName name="a" localSheetId="27">#REF!</definedName>
    <definedName name="a">#REF!</definedName>
    <definedName name="_xlnm.Print_Area" localSheetId="2">'T1'!$B$1:$R$81</definedName>
    <definedName name="_xlnm.Print_Area" localSheetId="20">'T10'!$A$1:$K$17</definedName>
    <definedName name="_xlnm.Print_Area" localSheetId="21">'T11'!$A$1:$K$16</definedName>
    <definedName name="_xlnm.Print_Area" localSheetId="22">'T12'!$A$1:$M$21</definedName>
    <definedName name="_xlnm.Print_Area" localSheetId="23">T13A!$A$1:$I$69</definedName>
    <definedName name="_xlnm.Print_Area" localSheetId="24">T13B!$A$1:$I$69</definedName>
    <definedName name="_xlnm.Print_Area" localSheetId="25">T13C!$A$1:$P$17</definedName>
    <definedName name="_xlnm.Print_Area" localSheetId="26">T13D!$A$1:$P$17</definedName>
    <definedName name="_xlnm.Print_Area" localSheetId="3">'T2 - Overzicht'!$A$1:$F$32</definedName>
    <definedName name="_xlnm.Print_Area" localSheetId="4">'T3'!$A$1:$O$221</definedName>
    <definedName name="_xlnm.Print_Area" localSheetId="5">T4A!$A$1:$Q$69</definedName>
    <definedName name="_xlnm.Print_Area" localSheetId="6">T4B!$A$1:$R$737</definedName>
    <definedName name="_xlnm.Print_Area" localSheetId="7">T4C!$A$1:$N$107</definedName>
    <definedName name="_xlnm.Print_Area" localSheetId="8">T5A!$A$1:$Q$102</definedName>
    <definedName name="_xlnm.Print_Area" localSheetId="9">T5B!$A$1:$R$681</definedName>
    <definedName name="_xlnm.Print_Area" localSheetId="10">T5C!$A$1:$Q$49</definedName>
    <definedName name="_xlnm.Print_Area" localSheetId="11">T5D!$A$1:$O$33</definedName>
    <definedName name="_xlnm.Print_Area" localSheetId="12">T5E!$A$1:$Q$37</definedName>
    <definedName name="_xlnm.Print_Area" localSheetId="13">T5F!$A$1:$J$29</definedName>
    <definedName name="_xlnm.Print_Area" localSheetId="14">T6A!$A$1:$O$123</definedName>
    <definedName name="_xlnm.Print_Area" localSheetId="15">T6B!$A$1:$P$626</definedName>
    <definedName name="_xlnm.Print_Area" localSheetId="16">'T7'!$A$1:$O$61</definedName>
    <definedName name="_xlnm.Print_Area" localSheetId="17">'T8'!$A$1:$K$49</definedName>
    <definedName name="_xlnm.Print_Area" localSheetId="0">TITELBLAD!$A$1:$Q$39</definedName>
    <definedName name="_xlnm.Print_Titles" localSheetId="5">T4A!$2:$2</definedName>
    <definedName name="_xlnm.Print_Titles" localSheetId="7">T4C!$2:$2</definedName>
    <definedName name="_xlnm.Print_Titles" localSheetId="8">T5A!$2:$2</definedName>
    <definedName name="_xlnm.Print_Titles" localSheetId="14">T6A!$2:$2</definedName>
    <definedName name="_xlnm.Print_Titles" localSheetId="16">'T7'!$2:$2</definedName>
    <definedName name="_xlnm.Print_Titles" localSheetId="17">'T8'!$2:$2</definedName>
    <definedName name="Aftakklem_LS" localSheetId="5">'[1]BASISPRIJZEN MATERIAAL'!$I$188</definedName>
    <definedName name="Aftakklem_LS" localSheetId="7">'[1]BASISPRIJZEN MATERIAAL'!$I$188</definedName>
    <definedName name="Aftakklem_LS" localSheetId="8">'[1]BASISPRIJZEN MATERIAAL'!$I$188</definedName>
    <definedName name="Aftakklem_LS" localSheetId="11">'[2]BASISPRIJZEN MATERIAAL'!$I$188</definedName>
    <definedName name="Aftakklem_LS" localSheetId="14">'[1]BASISPRIJZEN MATERIAAL'!$I$188</definedName>
    <definedName name="Aftakklem_LS" localSheetId="16">'[1]BASISPRIJZEN MATERIAAL'!$I$188</definedName>
    <definedName name="Aftakklem_LS" localSheetId="17">'[1]BASISPRIJZEN MATERIAAL'!$I$188</definedName>
    <definedName name="Aftakklem_LS" localSheetId="0">'[3]BASISPRIJZEN MATERIAAL'!$I$188</definedName>
    <definedName name="Aftakklem_LS">'[1]BASISPRIJZEN MATERIAAL'!$I$188</definedName>
    <definedName name="Codes" localSheetId="5">'[4]Codes des IM'!$B$2:$D$23</definedName>
    <definedName name="Codes" localSheetId="7">'[4]Codes des IM'!$B$2:$D$23</definedName>
    <definedName name="Codes" localSheetId="8">'[4]Codes des IM'!$B$2:$D$23</definedName>
    <definedName name="Codes" localSheetId="11">'[5]Codes des IM'!$B$2:$D$23</definedName>
    <definedName name="Codes" localSheetId="14">'[4]Codes des IM'!$B$2:$D$23</definedName>
    <definedName name="Codes" localSheetId="16">'[4]Codes des IM'!$B$2:$D$23</definedName>
    <definedName name="Codes" localSheetId="17">'[4]Codes des IM'!$B$2:$D$23</definedName>
    <definedName name="Codes" localSheetId="0">'[5]Codes des IM'!$B$2:$D$23</definedName>
    <definedName name="Codes">'[4]Codes des IM'!$B$2:$D$23</definedName>
    <definedName name="Forfaitair_feeder">75000</definedName>
    <definedName name="Hangslot" localSheetId="5">'[1]BASISPRIJZEN MATERIAAL'!$I$138</definedName>
    <definedName name="Hangslot" localSheetId="7">'[1]BASISPRIJZEN MATERIAAL'!$I$138</definedName>
    <definedName name="Hangslot" localSheetId="8">'[1]BASISPRIJZEN MATERIAAL'!$I$138</definedName>
    <definedName name="Hangslot" localSheetId="11">'[2]BASISPRIJZEN MATERIAAL'!$I$138</definedName>
    <definedName name="Hangslot" localSheetId="14">'[1]BASISPRIJZEN MATERIAAL'!$I$138</definedName>
    <definedName name="Hangslot" localSheetId="16">'[1]BASISPRIJZEN MATERIAAL'!$I$138</definedName>
    <definedName name="Hangslot" localSheetId="17">'[1]BASISPRIJZEN MATERIAAL'!$I$138</definedName>
    <definedName name="Hangslot" localSheetId="0">'[3]BASISPRIJZEN MATERIAAL'!$I$138</definedName>
    <definedName name="Hangslot">'[1]BASISPRIJZEN MATERIAAL'!$I$138</definedName>
    <definedName name="Kabelschoen_HS" localSheetId="5">'[1]BASISPRIJZEN MATERIAAL'!$I$201</definedName>
    <definedName name="Kabelschoen_HS" localSheetId="7">'[1]BASISPRIJZEN MATERIAAL'!$I$201</definedName>
    <definedName name="Kabelschoen_HS" localSheetId="8">'[1]BASISPRIJZEN MATERIAAL'!$I$201</definedName>
    <definedName name="Kabelschoen_HS" localSheetId="11">'[2]BASISPRIJZEN MATERIAAL'!$I$201</definedName>
    <definedName name="Kabelschoen_HS" localSheetId="14">'[1]BASISPRIJZEN MATERIAAL'!$I$201</definedName>
    <definedName name="Kabelschoen_HS" localSheetId="16">'[1]BASISPRIJZEN MATERIAAL'!$I$201</definedName>
    <definedName name="Kabelschoen_HS" localSheetId="17">'[1]BASISPRIJZEN MATERIAAL'!$I$201</definedName>
    <definedName name="Kabelschoen_HS" localSheetId="0">'[3]BASISPRIJZEN MATERIAAL'!$I$201</definedName>
    <definedName name="Kabelschoen_HS">'[1]BASISPRIJZEN MATERIAAL'!$I$201</definedName>
    <definedName name="Kabelschoen_LS" localSheetId="5">'[1]BASISPRIJZEN MATERIAAL'!$I$198</definedName>
    <definedName name="Kabelschoen_LS" localSheetId="7">'[1]BASISPRIJZEN MATERIAAL'!$I$198</definedName>
    <definedName name="Kabelschoen_LS" localSheetId="8">'[1]BASISPRIJZEN MATERIAAL'!$I$198</definedName>
    <definedName name="Kabelschoen_LS" localSheetId="11">'[2]BASISPRIJZEN MATERIAAL'!$I$198</definedName>
    <definedName name="Kabelschoen_LS" localSheetId="14">'[1]BASISPRIJZEN MATERIAAL'!$I$198</definedName>
    <definedName name="Kabelschoen_LS" localSheetId="16">'[1]BASISPRIJZEN MATERIAAL'!$I$198</definedName>
    <definedName name="Kabelschoen_LS" localSheetId="17">'[1]BASISPRIJZEN MATERIAAL'!$I$198</definedName>
    <definedName name="Kabelschoen_LS" localSheetId="0">'[3]BASISPRIJZEN MATERIAAL'!$I$198</definedName>
    <definedName name="Kabelschoen_LS">'[1]BASISPRIJZEN MATERIAAL'!$I$198</definedName>
    <definedName name="Kit_kunststof_AL" localSheetId="5">'[1]BASISPRIJZEN MATERIAAL'!$I$190</definedName>
    <definedName name="Kit_kunststof_AL" localSheetId="7">'[1]BASISPRIJZEN MATERIAAL'!$I$190</definedName>
    <definedName name="Kit_kunststof_AL" localSheetId="8">'[1]BASISPRIJZEN MATERIAAL'!$I$190</definedName>
    <definedName name="Kit_kunststof_AL" localSheetId="11">'[2]BASISPRIJZEN MATERIAAL'!$I$190</definedName>
    <definedName name="Kit_kunststof_AL" localSheetId="14">'[1]BASISPRIJZEN MATERIAAL'!$I$190</definedName>
    <definedName name="Kit_kunststof_AL" localSheetId="16">'[1]BASISPRIJZEN MATERIAAL'!$I$190</definedName>
    <definedName name="Kit_kunststof_AL" localSheetId="17">'[1]BASISPRIJZEN MATERIAAL'!$I$190</definedName>
    <definedName name="Kit_kunststof_AL" localSheetId="0">'[3]BASISPRIJZEN MATERIAAL'!$I$190</definedName>
    <definedName name="Kit_kunststof_AL">'[1]BASISPRIJZEN MATERIAAL'!$I$190</definedName>
    <definedName name="Kit_kunststof_papierlood" localSheetId="5">'[1]BASISPRIJZEN MATERIAAL'!$I$191</definedName>
    <definedName name="Kit_kunststof_papierlood" localSheetId="7">'[1]BASISPRIJZEN MATERIAAL'!$I$191</definedName>
    <definedName name="Kit_kunststof_papierlood" localSheetId="8">'[1]BASISPRIJZEN MATERIAAL'!$I$191</definedName>
    <definedName name="Kit_kunststof_papierlood" localSheetId="11">'[2]BASISPRIJZEN MATERIAAL'!$I$191</definedName>
    <definedName name="Kit_kunststof_papierlood" localSheetId="14">'[1]BASISPRIJZEN MATERIAAL'!$I$191</definedName>
    <definedName name="Kit_kunststof_papierlood" localSheetId="16">'[1]BASISPRIJZEN MATERIAAL'!$I$191</definedName>
    <definedName name="Kit_kunststof_papierlood" localSheetId="17">'[1]BASISPRIJZEN MATERIAAL'!$I$191</definedName>
    <definedName name="Kit_kunststof_papierlood" localSheetId="0">'[3]BASISPRIJZEN MATERIAAL'!$I$191</definedName>
    <definedName name="Kit_kunststof_papierlood">'[1]BASISPRIJZEN MATERIAAL'!$I$191</definedName>
    <definedName name="Kit_papierlood" localSheetId="5">'[1]BASISPRIJZEN MATERIAAL'!$I$189</definedName>
    <definedName name="Kit_papierlood" localSheetId="7">'[1]BASISPRIJZEN MATERIAAL'!$I$189</definedName>
    <definedName name="Kit_papierlood" localSheetId="8">'[1]BASISPRIJZEN MATERIAAL'!$I$189</definedName>
    <definedName name="Kit_papierlood" localSheetId="11">'[2]BASISPRIJZEN MATERIAAL'!$I$189</definedName>
    <definedName name="Kit_papierlood" localSheetId="14">'[1]BASISPRIJZEN MATERIAAL'!$I$189</definedName>
    <definedName name="Kit_papierlood" localSheetId="16">'[1]BASISPRIJZEN MATERIAAL'!$I$189</definedName>
    <definedName name="Kit_papierlood" localSheetId="17">'[1]BASISPRIJZEN MATERIAAL'!$I$189</definedName>
    <definedName name="Kit_papierlood" localSheetId="0">'[3]BASISPRIJZEN MATERIAAL'!$I$189</definedName>
    <definedName name="Kit_papierlood">'[1]BASISPRIJZEN MATERIAAL'!$I$189</definedName>
    <definedName name="Klein_materiaal_10">10</definedName>
    <definedName name="Klein_materiaal_100">100</definedName>
    <definedName name="Klein_materiaal_25">25</definedName>
    <definedName name="Plaat_postnummer_telefoon" localSheetId="5">'[1]BASISPRIJZEN MATERIAAL'!$I$160</definedName>
    <definedName name="Plaat_postnummer_telefoon" localSheetId="7">'[1]BASISPRIJZEN MATERIAAL'!$I$160</definedName>
    <definedName name="Plaat_postnummer_telefoon" localSheetId="8">'[1]BASISPRIJZEN MATERIAAL'!$I$160</definedName>
    <definedName name="Plaat_postnummer_telefoon" localSheetId="11">'[2]BASISPRIJZEN MATERIAAL'!$I$160</definedName>
    <definedName name="Plaat_postnummer_telefoon" localSheetId="14">'[1]BASISPRIJZEN MATERIAAL'!$I$160</definedName>
    <definedName name="Plaat_postnummer_telefoon" localSheetId="16">'[1]BASISPRIJZEN MATERIAAL'!$I$160</definedName>
    <definedName name="Plaat_postnummer_telefoon" localSheetId="17">'[1]BASISPRIJZEN MATERIAAL'!$I$160</definedName>
    <definedName name="Plaat_postnummer_telefoon" localSheetId="0">'[3]BASISPRIJZEN MATERIAAL'!$I$160</definedName>
    <definedName name="Plaat_postnummer_telefoon">'[1]BASISPRIJZEN MATERIAAL'!$I$160</definedName>
    <definedName name="SAPBEXrevision" localSheetId="12" hidden="1">23</definedName>
    <definedName name="SAPBEXrevision" localSheetId="13" hidden="1">23</definedName>
    <definedName name="SAPBEXrevision" hidden="1">10</definedName>
    <definedName name="SAPBEXsysID" hidden="1">"BP1"</definedName>
    <definedName name="SAPBEXwbID" localSheetId="12" hidden="1">"3OXN00JDSWKKLN5ZRDB3JJU3L"</definedName>
    <definedName name="SAPBEXwbID" localSheetId="13" hidden="1">"3OXN00JDSWKKLN5ZRDB3JJU3L"</definedName>
    <definedName name="SAPBEXwbID" hidden="1">"4751QXOCD67AJ09JC6QHJDZY6"</definedName>
    <definedName name="Sleutelkastje" localSheetId="5">'[1]BASISPRIJZEN MATERIAAL'!$I$159</definedName>
    <definedName name="Sleutelkastje" localSheetId="7">'[1]BASISPRIJZEN MATERIAAL'!$I$159</definedName>
    <definedName name="Sleutelkastje" localSheetId="8">'[1]BASISPRIJZEN MATERIAAL'!$I$159</definedName>
    <definedName name="Sleutelkastje" localSheetId="11">'[2]BASISPRIJZEN MATERIAAL'!$I$159</definedName>
    <definedName name="Sleutelkastje" localSheetId="14">'[1]BASISPRIJZEN MATERIAAL'!$I$159</definedName>
    <definedName name="Sleutelkastje" localSheetId="16">'[1]BASISPRIJZEN MATERIAAL'!$I$159</definedName>
    <definedName name="Sleutelkastje" localSheetId="17">'[1]BASISPRIJZEN MATERIAAL'!$I$159</definedName>
    <definedName name="Sleutelkastje" localSheetId="0">'[3]BASISPRIJZEN MATERIAAL'!$I$159</definedName>
    <definedName name="Sleutelkastje">'[1]BASISPRIJZEN MATERIAAL'!$I$159</definedName>
    <definedName name="Slot_voor_sleutelkastje" localSheetId="5">'[1]BASISPRIJZEN MATERIAAL'!$I$158</definedName>
    <definedName name="Slot_voor_sleutelkastje" localSheetId="7">'[1]BASISPRIJZEN MATERIAAL'!$I$158</definedName>
    <definedName name="Slot_voor_sleutelkastje" localSheetId="8">'[1]BASISPRIJZEN MATERIAAL'!$I$158</definedName>
    <definedName name="Slot_voor_sleutelkastje" localSheetId="11">'[2]BASISPRIJZEN MATERIAAL'!$I$158</definedName>
    <definedName name="Slot_voor_sleutelkastje" localSheetId="14">'[1]BASISPRIJZEN MATERIAAL'!$I$158</definedName>
    <definedName name="Slot_voor_sleutelkastje" localSheetId="16">'[1]BASISPRIJZEN MATERIAAL'!$I$158</definedName>
    <definedName name="Slot_voor_sleutelkastje" localSheetId="17">'[1]BASISPRIJZEN MATERIAAL'!$I$158</definedName>
    <definedName name="Slot_voor_sleutelkastje" localSheetId="0">'[3]BASISPRIJZEN MATERIAAL'!$I$158</definedName>
    <definedName name="Slot_voor_sleutelkastje">'[1]BASISPRIJZEN MATERIAAL'!$I$158</definedName>
    <definedName name="Terminal_kunststof" localSheetId="5">'[1]BASISPRIJZEN MATERIAAL'!$I$195</definedName>
    <definedName name="Terminal_kunststof" localSheetId="7">'[1]BASISPRIJZEN MATERIAAL'!$I$195</definedName>
    <definedName name="Terminal_kunststof" localSheetId="8">'[1]BASISPRIJZEN MATERIAAL'!$I$195</definedName>
    <definedName name="Terminal_kunststof" localSheetId="11">'[2]BASISPRIJZEN MATERIAAL'!$I$195</definedName>
    <definedName name="Terminal_kunststof" localSheetId="14">'[1]BASISPRIJZEN MATERIAAL'!$I$195</definedName>
    <definedName name="Terminal_kunststof" localSheetId="16">'[1]BASISPRIJZEN MATERIAAL'!$I$195</definedName>
    <definedName name="Terminal_kunststof" localSheetId="17">'[1]BASISPRIJZEN MATERIAAL'!$I$195</definedName>
    <definedName name="Terminal_kunststof" localSheetId="0">'[3]BASISPRIJZEN MATERIAAL'!$I$195</definedName>
    <definedName name="Terminal_kunststof">'[1]BASISPRIJZEN MATERIAAL'!$I$195</definedName>
    <definedName name="Terminal_LS" localSheetId="5">'[1]BASISPRIJZEN MATERIAAL'!$I$200</definedName>
    <definedName name="Terminal_LS" localSheetId="7">'[1]BASISPRIJZEN MATERIAAL'!$I$200</definedName>
    <definedName name="Terminal_LS" localSheetId="8">'[1]BASISPRIJZEN MATERIAAL'!$I$200</definedName>
    <definedName name="Terminal_LS" localSheetId="11">'[2]BASISPRIJZEN MATERIAAL'!$I$200</definedName>
    <definedName name="Terminal_LS" localSheetId="14">'[1]BASISPRIJZEN MATERIAAL'!$I$200</definedName>
    <definedName name="Terminal_LS" localSheetId="16">'[1]BASISPRIJZEN MATERIAAL'!$I$200</definedName>
    <definedName name="Terminal_LS" localSheetId="17">'[1]BASISPRIJZEN MATERIAAL'!$I$200</definedName>
    <definedName name="Terminal_LS" localSheetId="0">'[3]BASISPRIJZEN MATERIAAL'!$I$200</definedName>
    <definedName name="Terminal_LS">'[1]BASISPRIJZEN MATERIAAL'!$I$200</definedName>
    <definedName name="Traduction1" localSheetId="5">'[4]Codes des IM'!$A$28:$D$1853</definedName>
    <definedName name="Traduction1" localSheetId="7">'[4]Codes des IM'!$A$28:$D$1853</definedName>
    <definedName name="Traduction1" localSheetId="8">'[4]Codes des IM'!$A$28:$D$1853</definedName>
    <definedName name="Traduction1" localSheetId="11">'[5]Codes des IM'!$A$28:$D$1853</definedName>
    <definedName name="Traduction1" localSheetId="14">'[4]Codes des IM'!$A$28:$D$1853</definedName>
    <definedName name="Traduction1" localSheetId="16">'[4]Codes des IM'!$A$28:$D$1853</definedName>
    <definedName name="Traduction1" localSheetId="17">'[4]Codes des IM'!$A$28:$D$1853</definedName>
    <definedName name="Traduction1" localSheetId="0">'[5]Codes des IM'!$A$28:$D$1853</definedName>
    <definedName name="Traduction1">'[4]Codes des IM'!$A$28:$D$1853</definedName>
    <definedName name="Verbinder_kunststof_M4" localSheetId="5">'[1]BASISPRIJZEN MATERIAAL'!$I$192</definedName>
    <definedName name="Verbinder_kunststof_M4" localSheetId="7">'[1]BASISPRIJZEN MATERIAAL'!$I$192</definedName>
    <definedName name="Verbinder_kunststof_M4" localSheetId="8">'[1]BASISPRIJZEN MATERIAAL'!$I$192</definedName>
    <definedName name="Verbinder_kunststof_M4" localSheetId="11">'[2]BASISPRIJZEN MATERIAAL'!$I$192</definedName>
    <definedName name="Verbinder_kunststof_M4" localSheetId="14">'[1]BASISPRIJZEN MATERIAAL'!$I$192</definedName>
    <definedName name="Verbinder_kunststof_M4" localSheetId="16">'[1]BASISPRIJZEN MATERIAAL'!$I$192</definedName>
    <definedName name="Verbinder_kunststof_M4" localSheetId="17">'[1]BASISPRIJZEN MATERIAAL'!$I$192</definedName>
    <definedName name="Verbinder_kunststof_M4" localSheetId="0">'[3]BASISPRIJZEN MATERIAAL'!$I$192</definedName>
    <definedName name="Verbinder_kunststof_M4">'[1]BASISPRIJZEN MATERIAAL'!$I$192</definedName>
    <definedName name="Verbinder_kunststof_papierlood_M3" localSheetId="5">'[1]BASISPRIJZEN MATERIAAL'!$I$192</definedName>
    <definedName name="Verbinder_kunststof_papierlood_M3" localSheetId="7">'[1]BASISPRIJZEN MATERIAAL'!$I$192</definedName>
    <definedName name="Verbinder_kunststof_papierlood_M3" localSheetId="8">'[1]BASISPRIJZEN MATERIAAL'!$I$192</definedName>
    <definedName name="Verbinder_kunststof_papierlood_M3" localSheetId="11">'[2]BASISPRIJZEN MATERIAAL'!$I$192</definedName>
    <definedName name="Verbinder_kunststof_papierlood_M3" localSheetId="14">'[1]BASISPRIJZEN MATERIAAL'!$I$192</definedName>
    <definedName name="Verbinder_kunststof_papierlood_M3" localSheetId="16">'[1]BASISPRIJZEN MATERIAAL'!$I$192</definedName>
    <definedName name="Verbinder_kunststof_papierlood_M3" localSheetId="17">'[1]BASISPRIJZEN MATERIAAL'!$I$192</definedName>
    <definedName name="Verbinder_kunststof_papierlood_M3" localSheetId="0">'[3]BASISPRIJZEN MATERIAAL'!$I$192</definedName>
    <definedName name="Verbinder_kunststof_papierlood_M3">'[1]BASISPRIJZEN MATERIAAL'!$I$192</definedName>
    <definedName name="Verbinder_papierlood_M3" localSheetId="5">'[1]BASISPRIJZEN MATERIAAL'!$I$192</definedName>
    <definedName name="Verbinder_papierlood_M3" localSheetId="7">'[1]BASISPRIJZEN MATERIAAL'!$I$192</definedName>
    <definedName name="Verbinder_papierlood_M3" localSheetId="8">'[1]BASISPRIJZEN MATERIAAL'!$I$192</definedName>
    <definedName name="Verbinder_papierlood_M3" localSheetId="11">'[2]BASISPRIJZEN MATERIAAL'!$I$192</definedName>
    <definedName name="Verbinder_papierlood_M3" localSheetId="14">'[1]BASISPRIJZEN MATERIAAL'!$I$192</definedName>
    <definedName name="Verbinder_papierlood_M3" localSheetId="16">'[1]BASISPRIJZEN MATERIAAL'!$I$192</definedName>
    <definedName name="Verbinder_papierlood_M3" localSheetId="17">'[1]BASISPRIJZEN MATERIAAL'!$I$192</definedName>
    <definedName name="Verbinder_papierlood_M3" localSheetId="0">'[3]BASISPRIJZEN MATERIAAL'!$I$192</definedName>
    <definedName name="Verbinder_papierlood_M3">'[1]BASISPRIJZEN MATERIAAL'!$I$192</definedName>
    <definedName name="Wikkeldoos_LS" localSheetId="5">'[1]BASISPRIJZEN MATERIAAL'!$I$199</definedName>
    <definedName name="Wikkeldoos_LS" localSheetId="7">'[1]BASISPRIJZEN MATERIAAL'!$I$199</definedName>
    <definedName name="Wikkeldoos_LS" localSheetId="8">'[1]BASISPRIJZEN MATERIAAL'!$I$199</definedName>
    <definedName name="Wikkeldoos_LS" localSheetId="11">'[2]BASISPRIJZEN MATERIAAL'!$I$199</definedName>
    <definedName name="Wikkeldoos_LS" localSheetId="14">'[1]BASISPRIJZEN MATERIAAL'!$I$199</definedName>
    <definedName name="Wikkeldoos_LS" localSheetId="16">'[1]BASISPRIJZEN MATERIAAL'!$I$199</definedName>
    <definedName name="Wikkeldoos_LS" localSheetId="17">'[1]BASISPRIJZEN MATERIAAL'!$I$199</definedName>
    <definedName name="Wikkeldoos_LS" localSheetId="0">'[3]BASISPRIJZEN MATERIAAL'!$I$199</definedName>
    <definedName name="Wikkeldoos_LS">'[1]BASISPRIJZEN MATERIAAL'!$I$199</definedName>
    <definedName name="Z_C8C7977F_B6BF_432B_A1A7_559450D521AF_.wvu.PrintArea" localSheetId="5" hidden="1">T4A!$A$1:$Q$69</definedName>
    <definedName name="Z_C8C7977F_B6BF_432B_A1A7_559450D521AF_.wvu.PrintArea" localSheetId="7" hidden="1">T4C!$A$1:$N$60</definedName>
    <definedName name="Z_C8C7977F_B6BF_432B_A1A7_559450D521AF_.wvu.PrintArea" localSheetId="8" hidden="1">T5A!$A$1:$Q$102</definedName>
    <definedName name="Z_C8C7977F_B6BF_432B_A1A7_559450D521AF_.wvu.PrintArea" localSheetId="14" hidden="1">T6A!$A$1:$O$123</definedName>
    <definedName name="Z_C8C7977F_B6BF_432B_A1A7_559450D521AF_.wvu.PrintArea" localSheetId="16" hidden="1">'T7'!$A$1:$O$61</definedName>
    <definedName name="Z_C8C7977F_B6BF_432B_A1A7_559450D521AF_.wvu.PrintArea" localSheetId="17" hidden="1">'T8'!$A$1:$K$49</definedName>
    <definedName name="Z_C8C7977F_B6BF_432B_A1A7_559450D521AF_.wvu.PrintArea" localSheetId="0" hidden="1">TITELBLAD!$A$1:$Q$39</definedName>
    <definedName name="Z_C8C7977F_B6BF_432B_A1A7_559450D521AF_.wvu.PrintTitles" localSheetId="5" hidden="1">T4A!$2:$2</definedName>
    <definedName name="Z_C8C7977F_B6BF_432B_A1A7_559450D521AF_.wvu.PrintTitles" localSheetId="7" hidden="1">T4C!$2:$2</definedName>
    <definedName name="Z_C8C7977F_B6BF_432B_A1A7_559450D521AF_.wvu.PrintTitles" localSheetId="8" hidden="1">T5A!$2:$2</definedName>
    <definedName name="Z_C8C7977F_B6BF_432B_A1A7_559450D521AF_.wvu.PrintTitles" localSheetId="14" hidden="1">T6A!$2:$2</definedName>
    <definedName name="Z_C8C7977F_B6BF_432B_A1A7_559450D521AF_.wvu.PrintTitles" localSheetId="16" hidden="1">'T7'!$2:$2</definedName>
    <definedName name="Z_C8C7977F_B6BF_432B_A1A7_559450D521AF_.wvu.PrintTitles" localSheetId="17" hidden="1">'T8'!$2:$2</definedName>
  </definedNames>
  <calcPr calcId="191029"/>
  <customWorkbookViews>
    <customWorkbookView name="Marc Michiels - Persoonlijke weergave" guid="{C8C7977F-B6BF-432B-A1A7-559450D521AF}" mergeInterval="0" personalView="1" maximized="1" windowWidth="1280" windowHeight="798" tabRatio="791" activeSheetId="8"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5" l="1"/>
  <c r="D33" i="5" l="1"/>
  <c r="D43" i="5"/>
  <c r="D40" i="5"/>
  <c r="Q62" i="2" l="1"/>
  <c r="Q74" i="2" s="1"/>
  <c r="P62" i="2"/>
  <c r="O62" i="2"/>
  <c r="N62" i="2"/>
  <c r="M62" i="2"/>
  <c r="L62" i="2"/>
  <c r="K62" i="2"/>
  <c r="J62" i="2"/>
  <c r="I62" i="2"/>
  <c r="H62" i="2"/>
  <c r="G62" i="2"/>
  <c r="R64" i="2"/>
  <c r="R63" i="2"/>
  <c r="R62" i="2" s="1"/>
  <c r="Q45" i="2"/>
  <c r="Q78" i="2" s="1"/>
  <c r="P45" i="2"/>
  <c r="P74" i="2" s="1"/>
  <c r="O45" i="2"/>
  <c r="O74" i="2" s="1"/>
  <c r="N45" i="2"/>
  <c r="N78" i="2" s="1"/>
  <c r="M45" i="2"/>
  <c r="L45" i="2"/>
  <c r="L74" i="2" s="1"/>
  <c r="K45" i="2"/>
  <c r="K74" i="2" s="1"/>
  <c r="J45" i="2"/>
  <c r="J78" i="2" s="1"/>
  <c r="I45" i="2"/>
  <c r="H45" i="2"/>
  <c r="H74" i="2" s="1"/>
  <c r="G45" i="2"/>
  <c r="G78" i="2" s="1"/>
  <c r="R60" i="2"/>
  <c r="R23" i="2"/>
  <c r="Q22" i="2"/>
  <c r="P22" i="2"/>
  <c r="O22" i="2"/>
  <c r="N22" i="2"/>
  <c r="M22" i="2"/>
  <c r="L22" i="2"/>
  <c r="K22" i="2"/>
  <c r="J22" i="2"/>
  <c r="I22" i="2"/>
  <c r="H22" i="2"/>
  <c r="G22" i="2"/>
  <c r="R24" i="2"/>
  <c r="Q12" i="2"/>
  <c r="Q35" i="2" s="1"/>
  <c r="P12" i="2"/>
  <c r="P35" i="2" s="1"/>
  <c r="O12" i="2"/>
  <c r="O35" i="2" s="1"/>
  <c r="N12" i="2"/>
  <c r="N35" i="2" s="1"/>
  <c r="M12" i="2"/>
  <c r="M35" i="2" s="1"/>
  <c r="L12" i="2"/>
  <c r="L35" i="2" s="1"/>
  <c r="K12" i="2"/>
  <c r="K35" i="2" s="1"/>
  <c r="J12" i="2"/>
  <c r="J35" i="2" s="1"/>
  <c r="I12" i="2"/>
  <c r="I35" i="2" s="1"/>
  <c r="H12" i="2"/>
  <c r="H35" i="2" s="1"/>
  <c r="G12" i="2"/>
  <c r="G35" i="2" s="1"/>
  <c r="R20" i="2"/>
  <c r="Q77" i="2" l="1"/>
  <c r="K78" i="2"/>
  <c r="I77" i="2"/>
  <c r="O78" i="2"/>
  <c r="I74" i="2"/>
  <c r="M74" i="2"/>
  <c r="M77" i="2"/>
  <c r="N74" i="2"/>
  <c r="G74" i="2"/>
  <c r="G77" i="2"/>
  <c r="J77" i="2"/>
  <c r="N77" i="2"/>
  <c r="H78" i="2"/>
  <c r="L78" i="2"/>
  <c r="P78" i="2"/>
  <c r="J74" i="2"/>
  <c r="K77" i="2"/>
  <c r="O77" i="2"/>
  <c r="I78" i="2"/>
  <c r="M78" i="2"/>
  <c r="H77" i="2"/>
  <c r="L77" i="2"/>
  <c r="P77" i="2"/>
  <c r="R22" i="2"/>
  <c r="A58" i="1" l="1"/>
  <c r="D13" i="41"/>
  <c r="C13" i="41"/>
  <c r="D12" i="41"/>
  <c r="C12" i="41"/>
  <c r="B2" i="41"/>
  <c r="C14" i="41" l="1"/>
  <c r="B21" i="33" s="1"/>
  <c r="D14" i="41"/>
  <c r="C21" i="33" s="1"/>
  <c r="F78" i="39"/>
  <c r="F45" i="39"/>
  <c r="F78" i="38"/>
  <c r="F45" i="38"/>
  <c r="F120" i="37"/>
  <c r="F66" i="37"/>
  <c r="F120" i="36"/>
  <c r="F66" i="36"/>
  <c r="R17" i="19" l="1"/>
  <c r="L27" i="8"/>
  <c r="K27" i="8"/>
  <c r="J27" i="8"/>
  <c r="I27" i="8"/>
  <c r="E15" i="22" l="1"/>
  <c r="D15" i="22"/>
  <c r="E14" i="22"/>
  <c r="D14" i="22"/>
  <c r="E13" i="22"/>
  <c r="D13" i="22"/>
  <c r="E12" i="22"/>
  <c r="D12" i="22"/>
  <c r="E10" i="22"/>
  <c r="D10" i="22"/>
  <c r="E9" i="22"/>
  <c r="D9" i="22"/>
  <c r="C15" i="22"/>
  <c r="C14" i="22"/>
  <c r="C13" i="22"/>
  <c r="C12" i="22"/>
  <c r="C10" i="22"/>
  <c r="C9" i="22"/>
  <c r="E168" i="5" l="1"/>
  <c r="D168" i="5"/>
  <c r="E74" i="5"/>
  <c r="D74" i="5"/>
  <c r="E68" i="5"/>
  <c r="D68" i="5"/>
  <c r="E62" i="5"/>
  <c r="D62" i="5"/>
  <c r="E56" i="5"/>
  <c r="D56" i="5"/>
  <c r="A26" i="5"/>
  <c r="E24" i="4"/>
  <c r="D16" i="4"/>
  <c r="A47" i="22" l="1"/>
  <c r="D18" i="35" l="1"/>
  <c r="C18" i="35"/>
  <c r="J88" i="22"/>
  <c r="H25" i="25"/>
  <c r="H27" i="25" s="1"/>
  <c r="I26" i="25"/>
  <c r="I27" i="25" s="1"/>
  <c r="J27" i="25"/>
  <c r="I42" i="25"/>
  <c r="J42" i="25"/>
  <c r="H56" i="25"/>
  <c r="I57" i="25"/>
  <c r="I58" i="25"/>
  <c r="J58" i="25"/>
  <c r="G24" i="25"/>
  <c r="L24" i="25"/>
  <c r="L25" i="25"/>
  <c r="L26" i="25"/>
  <c r="F85" i="25"/>
  <c r="G85" i="25"/>
  <c r="H85" i="25"/>
  <c r="F94" i="25"/>
  <c r="G94" i="25"/>
  <c r="H94" i="25"/>
  <c r="F96" i="25"/>
  <c r="G96" i="25" s="1"/>
  <c r="G40" i="25" s="1"/>
  <c r="F101" i="25"/>
  <c r="G101" i="25"/>
  <c r="H101" i="25"/>
  <c r="F103" i="25"/>
  <c r="G103" i="25" s="1"/>
  <c r="H41" i="25" s="1"/>
  <c r="H42" i="25" s="1"/>
  <c r="B618" i="29"/>
  <c r="B555" i="29"/>
  <c r="B492" i="29"/>
  <c r="B444" i="29"/>
  <c r="B381" i="29"/>
  <c r="B318" i="29"/>
  <c r="B255" i="29"/>
  <c r="N23" i="19"/>
  <c r="O23" i="19"/>
  <c r="P23" i="19"/>
  <c r="N135" i="19"/>
  <c r="N136" i="19" s="1"/>
  <c r="O136" i="19"/>
  <c r="O137" i="19" s="1"/>
  <c r="P137" i="19"/>
  <c r="N146" i="19"/>
  <c r="N147" i="19"/>
  <c r="O147" i="19"/>
  <c r="O148" i="19" s="1"/>
  <c r="P148" i="19"/>
  <c r="N168" i="19"/>
  <c r="N169" i="19" s="1"/>
  <c r="O169" i="19"/>
  <c r="O170" i="19" s="1"/>
  <c r="P170" i="19"/>
  <c r="N190" i="19"/>
  <c r="N191" i="19" s="1"/>
  <c r="O191" i="19"/>
  <c r="O192" i="19" s="1"/>
  <c r="P192" i="19"/>
  <c r="N201" i="19"/>
  <c r="N202" i="19" s="1"/>
  <c r="O202" i="19"/>
  <c r="O203" i="19" s="1"/>
  <c r="P203" i="19"/>
  <c r="B298" i="19"/>
  <c r="H57" i="25" l="1"/>
  <c r="J28" i="25"/>
  <c r="I28" i="25"/>
  <c r="H58" i="25"/>
  <c r="H28" i="25"/>
  <c r="H103" i="25"/>
  <c r="H96" i="25"/>
  <c r="F102" i="25" s="1"/>
  <c r="F104" i="25" s="1"/>
  <c r="G102" i="25"/>
  <c r="B32" i="40"/>
  <c r="H225" i="29"/>
  <c r="H614" i="29"/>
  <c r="H607" i="29"/>
  <c r="H597" i="29"/>
  <c r="H588" i="29"/>
  <c r="H551" i="29"/>
  <c r="H544" i="29"/>
  <c r="H534" i="29"/>
  <c r="H525" i="29"/>
  <c r="H486" i="29"/>
  <c r="H477" i="29"/>
  <c r="H440" i="29"/>
  <c r="H433" i="29"/>
  <c r="H423" i="29"/>
  <c r="H414" i="29"/>
  <c r="H377" i="29"/>
  <c r="H370" i="29"/>
  <c r="H360" i="29"/>
  <c r="H351" i="29"/>
  <c r="H314" i="29"/>
  <c r="H307" i="29"/>
  <c r="H297" i="29"/>
  <c r="H288" i="29"/>
  <c r="H251" i="29"/>
  <c r="H244" i="29"/>
  <c r="H234" i="29"/>
  <c r="G104" i="25" l="1"/>
  <c r="B112" i="25" s="1"/>
  <c r="G41" i="25"/>
  <c r="L41" i="25" s="1"/>
  <c r="N41" i="25" s="1"/>
  <c r="H102" i="25"/>
  <c r="H104" i="25" s="1"/>
  <c r="H276" i="26"/>
  <c r="H266" i="26"/>
  <c r="H670" i="26"/>
  <c r="H663" i="26"/>
  <c r="H652" i="26"/>
  <c r="H642" i="26"/>
  <c r="H595" i="26"/>
  <c r="H588" i="26"/>
  <c r="H577" i="26"/>
  <c r="H567" i="26"/>
  <c r="H522" i="26"/>
  <c r="H511" i="26"/>
  <c r="H501" i="26"/>
  <c r="H454" i="26"/>
  <c r="H447" i="26"/>
  <c r="H436" i="26"/>
  <c r="H426" i="26"/>
  <c r="H368" i="26"/>
  <c r="H361" i="26"/>
  <c r="H350" i="26"/>
  <c r="H340" i="26"/>
  <c r="H294" i="26"/>
  <c r="H287" i="26"/>
  <c r="H503" i="19"/>
  <c r="H492" i="19"/>
  <c r="H436" i="19"/>
  <c r="H425" i="19"/>
  <c r="H415" i="19"/>
  <c r="H368" i="19"/>
  <c r="H361" i="19"/>
  <c r="H350" i="19"/>
  <c r="H340" i="19"/>
  <c r="H294" i="19"/>
  <c r="H287" i="19"/>
  <c r="H276" i="19"/>
  <c r="H266" i="19"/>
  <c r="H726" i="19"/>
  <c r="H719" i="19"/>
  <c r="H708" i="19"/>
  <c r="H698" i="19"/>
  <c r="H651" i="19"/>
  <c r="H644" i="19"/>
  <c r="H633" i="19"/>
  <c r="H623" i="19"/>
  <c r="H578" i="19"/>
  <c r="H567" i="19"/>
  <c r="H557" i="19"/>
  <c r="H510" i="19"/>
  <c r="H482" i="19"/>
  <c r="B731" i="19"/>
  <c r="B656" i="19"/>
  <c r="B581" i="19"/>
  <c r="B515" i="19"/>
  <c r="B440" i="19"/>
  <c r="B373" i="19"/>
  <c r="J18" i="28" l="1"/>
  <c r="H18" i="28"/>
  <c r="E18" i="28"/>
  <c r="A1" i="28"/>
  <c r="Q17" i="16"/>
  <c r="O17" i="16"/>
  <c r="E17" i="16"/>
  <c r="A1" i="16"/>
  <c r="O16" i="15"/>
  <c r="M16" i="15"/>
  <c r="E16" i="15"/>
  <c r="A1" i="15"/>
  <c r="P15" i="13"/>
  <c r="N15" i="13"/>
  <c r="F15" i="13"/>
  <c r="A1" i="13"/>
  <c r="E40" i="5" l="1"/>
  <c r="E43" i="5"/>
  <c r="D39" i="5" l="1"/>
  <c r="E39" i="5"/>
  <c r="B1" i="2"/>
  <c r="A64" i="1"/>
  <c r="A63" i="1"/>
  <c r="A62" i="1"/>
  <c r="A61" i="1"/>
  <c r="A60" i="1"/>
  <c r="A59" i="1"/>
  <c r="A57" i="1"/>
  <c r="A56" i="1"/>
  <c r="A52" i="1"/>
  <c r="A51" i="1"/>
  <c r="A50" i="1"/>
  <c r="A49" i="1"/>
  <c r="A48" i="1"/>
  <c r="A47" i="1"/>
  <c r="A46" i="1"/>
  <c r="A45" i="1"/>
  <c r="A44" i="1"/>
  <c r="A43" i="1"/>
  <c r="A42" i="1"/>
  <c r="A41" i="1"/>
  <c r="A40" i="1"/>
  <c r="A39" i="1"/>
  <c r="A38" i="1"/>
  <c r="K2" i="40"/>
  <c r="K1" i="40"/>
  <c r="H78" i="39"/>
  <c r="G78" i="39"/>
  <c r="D4" i="39" s="1"/>
  <c r="D78" i="39"/>
  <c r="C78" i="39"/>
  <c r="E76" i="39"/>
  <c r="I76" i="39" s="1"/>
  <c r="E75" i="39"/>
  <c r="I75" i="39" s="1"/>
  <c r="E74" i="39"/>
  <c r="I74" i="39" s="1"/>
  <c r="E73" i="39"/>
  <c r="I73" i="39" s="1"/>
  <c r="E72" i="39"/>
  <c r="I72" i="39" s="1"/>
  <c r="E71" i="39"/>
  <c r="I71" i="39" s="1"/>
  <c r="E70" i="39"/>
  <c r="I70" i="39" s="1"/>
  <c r="E69" i="39"/>
  <c r="I69" i="39" s="1"/>
  <c r="E68" i="39"/>
  <c r="I68" i="39" s="1"/>
  <c r="E67" i="39"/>
  <c r="I67" i="39" s="1"/>
  <c r="E66" i="39"/>
  <c r="I66" i="39" s="1"/>
  <c r="E65" i="39"/>
  <c r="I65" i="39" s="1"/>
  <c r="E64" i="39"/>
  <c r="I64" i="39" s="1"/>
  <c r="E63" i="39"/>
  <c r="I63" i="39" s="1"/>
  <c r="E62" i="39"/>
  <c r="I62" i="39" s="1"/>
  <c r="E61" i="39"/>
  <c r="I61" i="39" s="1"/>
  <c r="E60" i="39"/>
  <c r="I60" i="39" s="1"/>
  <c r="E59" i="39"/>
  <c r="I59" i="39" s="1"/>
  <c r="E58" i="39"/>
  <c r="I58" i="39" s="1"/>
  <c r="E57" i="39"/>
  <c r="I57" i="39" s="1"/>
  <c r="E56" i="39"/>
  <c r="I56" i="39" s="1"/>
  <c r="E55" i="39"/>
  <c r="I55" i="39" s="1"/>
  <c r="E54" i="39"/>
  <c r="I54" i="39" s="1"/>
  <c r="E53" i="39"/>
  <c r="I53" i="39" s="1"/>
  <c r="H45" i="39"/>
  <c r="G45" i="39"/>
  <c r="C4" i="39" s="1"/>
  <c r="D45" i="39"/>
  <c r="C45" i="39"/>
  <c r="E43" i="39"/>
  <c r="I43" i="39" s="1"/>
  <c r="E42" i="39"/>
  <c r="I42" i="39" s="1"/>
  <c r="E41" i="39"/>
  <c r="I41" i="39" s="1"/>
  <c r="E40" i="39"/>
  <c r="I40" i="39" s="1"/>
  <c r="E39" i="39"/>
  <c r="I39" i="39" s="1"/>
  <c r="E38" i="39"/>
  <c r="I38" i="39" s="1"/>
  <c r="E37" i="39"/>
  <c r="I37" i="39" s="1"/>
  <c r="E36" i="39"/>
  <c r="I36" i="39" s="1"/>
  <c r="E35" i="39"/>
  <c r="I35" i="39" s="1"/>
  <c r="E34" i="39"/>
  <c r="I34" i="39" s="1"/>
  <c r="E33" i="39"/>
  <c r="I33" i="39" s="1"/>
  <c r="E32" i="39"/>
  <c r="I32" i="39" s="1"/>
  <c r="E31" i="39"/>
  <c r="I31" i="39" s="1"/>
  <c r="E30" i="39"/>
  <c r="I30" i="39" s="1"/>
  <c r="E29" i="39"/>
  <c r="I29" i="39" s="1"/>
  <c r="E28" i="39"/>
  <c r="I28" i="39" s="1"/>
  <c r="E27" i="39"/>
  <c r="I27" i="39" s="1"/>
  <c r="E26" i="39"/>
  <c r="I26" i="39" s="1"/>
  <c r="E25" i="39"/>
  <c r="I25" i="39" s="1"/>
  <c r="E24" i="39"/>
  <c r="I24" i="39" s="1"/>
  <c r="E23" i="39"/>
  <c r="I23" i="39" s="1"/>
  <c r="E22" i="39"/>
  <c r="I22" i="39" s="1"/>
  <c r="E21" i="39"/>
  <c r="I21" i="39" s="1"/>
  <c r="E20" i="39"/>
  <c r="B4" i="39"/>
  <c r="J1" i="39"/>
  <c r="H78" i="38"/>
  <c r="G78" i="38"/>
  <c r="D4" i="38" s="1"/>
  <c r="D78" i="38"/>
  <c r="C78" i="38"/>
  <c r="E76" i="38"/>
  <c r="I76" i="38" s="1"/>
  <c r="I75" i="38"/>
  <c r="E75" i="38"/>
  <c r="E74" i="38"/>
  <c r="I74" i="38" s="1"/>
  <c r="E73" i="38"/>
  <c r="I73" i="38" s="1"/>
  <c r="E72" i="38"/>
  <c r="I72" i="38" s="1"/>
  <c r="E71" i="38"/>
  <c r="I71" i="38" s="1"/>
  <c r="E70" i="38"/>
  <c r="I70" i="38" s="1"/>
  <c r="E69" i="38"/>
  <c r="I69" i="38" s="1"/>
  <c r="E68" i="38"/>
  <c r="I68" i="38" s="1"/>
  <c r="E67" i="38"/>
  <c r="I67" i="38" s="1"/>
  <c r="E66" i="38"/>
  <c r="I66" i="38" s="1"/>
  <c r="E65" i="38"/>
  <c r="I65" i="38" s="1"/>
  <c r="E64" i="38"/>
  <c r="I64" i="38" s="1"/>
  <c r="E63" i="38"/>
  <c r="I63" i="38" s="1"/>
  <c r="E62" i="38"/>
  <c r="I62" i="38" s="1"/>
  <c r="E61" i="38"/>
  <c r="I61" i="38" s="1"/>
  <c r="E60" i="38"/>
  <c r="I60" i="38" s="1"/>
  <c r="E59" i="38"/>
  <c r="I59" i="38" s="1"/>
  <c r="E58" i="38"/>
  <c r="I58" i="38" s="1"/>
  <c r="E57" i="38"/>
  <c r="I57" i="38" s="1"/>
  <c r="E56" i="38"/>
  <c r="I56" i="38" s="1"/>
  <c r="E55" i="38"/>
  <c r="I55" i="38" s="1"/>
  <c r="E54" i="38"/>
  <c r="I54" i="38" s="1"/>
  <c r="E53" i="38"/>
  <c r="I53" i="38" s="1"/>
  <c r="E33" i="38"/>
  <c r="I33" i="38" s="1"/>
  <c r="H45" i="38"/>
  <c r="J1" i="38"/>
  <c r="G45" i="38"/>
  <c r="C4" i="38" s="1"/>
  <c r="D45" i="38"/>
  <c r="C45" i="38"/>
  <c r="E43" i="38"/>
  <c r="I43" i="38" s="1"/>
  <c r="E42" i="38"/>
  <c r="I42" i="38" s="1"/>
  <c r="E41" i="38"/>
  <c r="I41" i="38" s="1"/>
  <c r="E40" i="38"/>
  <c r="I40" i="38" s="1"/>
  <c r="E39" i="38"/>
  <c r="I39" i="38" s="1"/>
  <c r="E38" i="38"/>
  <c r="I38" i="38" s="1"/>
  <c r="E37" i="38"/>
  <c r="I37" i="38" s="1"/>
  <c r="E36" i="38"/>
  <c r="I36" i="38" s="1"/>
  <c r="E35" i="38"/>
  <c r="I35" i="38" s="1"/>
  <c r="E34" i="38"/>
  <c r="I34" i="38" s="1"/>
  <c r="E32" i="38"/>
  <c r="I32" i="38" s="1"/>
  <c r="E31" i="38"/>
  <c r="I31" i="38" s="1"/>
  <c r="E30" i="38"/>
  <c r="I30" i="38" s="1"/>
  <c r="E29" i="38"/>
  <c r="I29" i="38" s="1"/>
  <c r="E28" i="38"/>
  <c r="I28" i="38" s="1"/>
  <c r="E27" i="38"/>
  <c r="I27" i="38" s="1"/>
  <c r="E26" i="38"/>
  <c r="I26" i="38" s="1"/>
  <c r="E25" i="38"/>
  <c r="I25" i="38" s="1"/>
  <c r="E24" i="38"/>
  <c r="I24" i="38" s="1"/>
  <c r="E23" i="38"/>
  <c r="I23" i="38" s="1"/>
  <c r="E22" i="38"/>
  <c r="I22" i="38" s="1"/>
  <c r="E21" i="38"/>
  <c r="I21" i="38" s="1"/>
  <c r="E20" i="38"/>
  <c r="I20" i="38" s="1"/>
  <c r="B4" i="38"/>
  <c r="B4" i="37"/>
  <c r="H120" i="36"/>
  <c r="G120" i="36"/>
  <c r="D4" i="36" s="1"/>
  <c r="D120" i="36"/>
  <c r="C120" i="36"/>
  <c r="E118" i="36"/>
  <c r="I118" i="36" s="1"/>
  <c r="E117" i="36"/>
  <c r="I117" i="36" s="1"/>
  <c r="E116" i="36"/>
  <c r="I116" i="36" s="1"/>
  <c r="E115" i="36"/>
  <c r="I115" i="36" s="1"/>
  <c r="E114" i="36"/>
  <c r="I114" i="36" s="1"/>
  <c r="E113" i="36"/>
  <c r="I113" i="36" s="1"/>
  <c r="E112" i="36"/>
  <c r="I112" i="36" s="1"/>
  <c r="E111" i="36"/>
  <c r="I111" i="36" s="1"/>
  <c r="E110" i="36"/>
  <c r="I110" i="36" s="1"/>
  <c r="E109" i="36"/>
  <c r="I109" i="36" s="1"/>
  <c r="E108" i="36"/>
  <c r="I108" i="36" s="1"/>
  <c r="E107" i="36"/>
  <c r="I107" i="36" s="1"/>
  <c r="E106" i="36"/>
  <c r="I106" i="36" s="1"/>
  <c r="E105" i="36"/>
  <c r="I105" i="36" s="1"/>
  <c r="E104" i="36"/>
  <c r="I104" i="36" s="1"/>
  <c r="E103" i="36"/>
  <c r="I103" i="36" s="1"/>
  <c r="E102" i="36"/>
  <c r="I102" i="36" s="1"/>
  <c r="E101" i="36"/>
  <c r="I101" i="36" s="1"/>
  <c r="E100" i="36"/>
  <c r="I100" i="36" s="1"/>
  <c r="E99" i="36"/>
  <c r="I99" i="36" s="1"/>
  <c r="E98" i="36"/>
  <c r="I98" i="36" s="1"/>
  <c r="E97" i="36"/>
  <c r="I97" i="36" s="1"/>
  <c r="E96" i="36"/>
  <c r="I96" i="36" s="1"/>
  <c r="E95" i="36"/>
  <c r="I95" i="36" s="1"/>
  <c r="E94" i="36"/>
  <c r="I94" i="36" s="1"/>
  <c r="E93" i="36"/>
  <c r="I93" i="36" s="1"/>
  <c r="E92" i="36"/>
  <c r="I92" i="36" s="1"/>
  <c r="E91" i="36"/>
  <c r="I91" i="36" s="1"/>
  <c r="E90" i="36"/>
  <c r="I90" i="36" s="1"/>
  <c r="E89" i="36"/>
  <c r="I89" i="36" s="1"/>
  <c r="E88" i="36"/>
  <c r="I88" i="36" s="1"/>
  <c r="E87" i="36"/>
  <c r="I87" i="36" s="1"/>
  <c r="E86" i="36"/>
  <c r="I86" i="36" s="1"/>
  <c r="E85" i="36"/>
  <c r="I85" i="36" s="1"/>
  <c r="E84" i="36"/>
  <c r="I84" i="36" s="1"/>
  <c r="E83" i="36"/>
  <c r="I83" i="36" s="1"/>
  <c r="E82" i="36"/>
  <c r="I82" i="36" s="1"/>
  <c r="E81" i="36"/>
  <c r="I81" i="36" s="1"/>
  <c r="E80" i="36"/>
  <c r="I80" i="36" s="1"/>
  <c r="E79" i="36"/>
  <c r="I79" i="36" s="1"/>
  <c r="E78" i="36"/>
  <c r="I78" i="36" s="1"/>
  <c r="E77" i="36"/>
  <c r="I77" i="36" s="1"/>
  <c r="E76" i="36"/>
  <c r="I76" i="36" s="1"/>
  <c r="E75" i="36"/>
  <c r="I75" i="36" s="1"/>
  <c r="E74" i="36"/>
  <c r="H120" i="37"/>
  <c r="G120" i="37"/>
  <c r="D4" i="37" s="1"/>
  <c r="D120" i="37"/>
  <c r="C120" i="37"/>
  <c r="E118" i="37"/>
  <c r="I118" i="37" s="1"/>
  <c r="E117" i="37"/>
  <c r="I117" i="37" s="1"/>
  <c r="E116" i="37"/>
  <c r="I116" i="37" s="1"/>
  <c r="E115" i="37"/>
  <c r="I115" i="37" s="1"/>
  <c r="E114" i="37"/>
  <c r="I114" i="37" s="1"/>
  <c r="E113" i="37"/>
  <c r="I113" i="37" s="1"/>
  <c r="E112" i="37"/>
  <c r="I112" i="37" s="1"/>
  <c r="E111" i="37"/>
  <c r="I111" i="37" s="1"/>
  <c r="E110" i="37"/>
  <c r="I110" i="37" s="1"/>
  <c r="E109" i="37"/>
  <c r="I109" i="37" s="1"/>
  <c r="E108" i="37"/>
  <c r="I108" i="37" s="1"/>
  <c r="E107" i="37"/>
  <c r="I107" i="37" s="1"/>
  <c r="E106" i="37"/>
  <c r="I106" i="37" s="1"/>
  <c r="E105" i="37"/>
  <c r="I105" i="37" s="1"/>
  <c r="E104" i="37"/>
  <c r="I104" i="37" s="1"/>
  <c r="E103" i="37"/>
  <c r="I103" i="37" s="1"/>
  <c r="E102" i="37"/>
  <c r="I102" i="37" s="1"/>
  <c r="E101" i="37"/>
  <c r="I101" i="37" s="1"/>
  <c r="E100" i="37"/>
  <c r="I100" i="37" s="1"/>
  <c r="E99" i="37"/>
  <c r="I99" i="37" s="1"/>
  <c r="E98" i="37"/>
  <c r="I98" i="37" s="1"/>
  <c r="E97" i="37"/>
  <c r="I97" i="37" s="1"/>
  <c r="E96" i="37"/>
  <c r="I96" i="37" s="1"/>
  <c r="E95" i="37"/>
  <c r="I95" i="37" s="1"/>
  <c r="E94" i="37"/>
  <c r="I94" i="37" s="1"/>
  <c r="E93" i="37"/>
  <c r="I93" i="37" s="1"/>
  <c r="E92" i="37"/>
  <c r="I92" i="37" s="1"/>
  <c r="E91" i="37"/>
  <c r="I91" i="37" s="1"/>
  <c r="E90" i="37"/>
  <c r="I90" i="37" s="1"/>
  <c r="E89" i="37"/>
  <c r="I89" i="37" s="1"/>
  <c r="E88" i="37"/>
  <c r="I88" i="37" s="1"/>
  <c r="E87" i="37"/>
  <c r="I87" i="37" s="1"/>
  <c r="E86" i="37"/>
  <c r="I86" i="37" s="1"/>
  <c r="E85" i="37"/>
  <c r="I85" i="37" s="1"/>
  <c r="E84" i="37"/>
  <c r="I84" i="37" s="1"/>
  <c r="E83" i="37"/>
  <c r="I83" i="37" s="1"/>
  <c r="E82" i="37"/>
  <c r="I82" i="37" s="1"/>
  <c r="E81" i="37"/>
  <c r="I81" i="37" s="1"/>
  <c r="E80" i="37"/>
  <c r="I80" i="37" s="1"/>
  <c r="E79" i="37"/>
  <c r="I79" i="37" s="1"/>
  <c r="E78" i="37"/>
  <c r="I78" i="37" s="1"/>
  <c r="E77" i="37"/>
  <c r="I77" i="37" s="1"/>
  <c r="E76" i="37"/>
  <c r="I76" i="37" s="1"/>
  <c r="E75" i="37"/>
  <c r="I75" i="37" s="1"/>
  <c r="E74" i="37"/>
  <c r="I74" i="37" s="1"/>
  <c r="H66" i="37"/>
  <c r="G66" i="37"/>
  <c r="C4" i="37" s="1"/>
  <c r="D66" i="37"/>
  <c r="C66" i="37"/>
  <c r="E64" i="37"/>
  <c r="I64" i="37" s="1"/>
  <c r="E63" i="37"/>
  <c r="I63" i="37" s="1"/>
  <c r="E62" i="37"/>
  <c r="I62" i="37" s="1"/>
  <c r="E61" i="37"/>
  <c r="I61" i="37" s="1"/>
  <c r="E60" i="37"/>
  <c r="I60" i="37" s="1"/>
  <c r="E59" i="37"/>
  <c r="I59" i="37" s="1"/>
  <c r="E58" i="37"/>
  <c r="I58" i="37" s="1"/>
  <c r="E57" i="37"/>
  <c r="I57" i="37" s="1"/>
  <c r="E56" i="37"/>
  <c r="I56" i="37" s="1"/>
  <c r="E55" i="37"/>
  <c r="I55" i="37" s="1"/>
  <c r="E54" i="37"/>
  <c r="I54" i="37" s="1"/>
  <c r="E53" i="37"/>
  <c r="I53" i="37" s="1"/>
  <c r="E52" i="37"/>
  <c r="I52" i="37" s="1"/>
  <c r="E51" i="37"/>
  <c r="I51" i="37" s="1"/>
  <c r="E50" i="37"/>
  <c r="I50" i="37" s="1"/>
  <c r="E49" i="37"/>
  <c r="I49" i="37" s="1"/>
  <c r="E48" i="37"/>
  <c r="I48" i="37" s="1"/>
  <c r="E47" i="37"/>
  <c r="I47" i="37" s="1"/>
  <c r="E46" i="37"/>
  <c r="I46" i="37" s="1"/>
  <c r="E45" i="37"/>
  <c r="I45" i="37" s="1"/>
  <c r="E44" i="37"/>
  <c r="I44" i="37" s="1"/>
  <c r="E43" i="37"/>
  <c r="I43" i="37" s="1"/>
  <c r="E42" i="37"/>
  <c r="I42" i="37" s="1"/>
  <c r="E41" i="37"/>
  <c r="I41" i="37" s="1"/>
  <c r="E40" i="37"/>
  <c r="I40" i="37" s="1"/>
  <c r="E39" i="37"/>
  <c r="I39" i="37" s="1"/>
  <c r="E38" i="37"/>
  <c r="I38" i="37" s="1"/>
  <c r="E37" i="37"/>
  <c r="I37" i="37" s="1"/>
  <c r="E36" i="37"/>
  <c r="I36" i="37" s="1"/>
  <c r="E35" i="37"/>
  <c r="I35" i="37" s="1"/>
  <c r="E34" i="37"/>
  <c r="I34" i="37" s="1"/>
  <c r="E33" i="37"/>
  <c r="I33" i="37" s="1"/>
  <c r="E32" i="37"/>
  <c r="I32" i="37" s="1"/>
  <c r="E31" i="37"/>
  <c r="I31" i="37" s="1"/>
  <c r="E30" i="37"/>
  <c r="I30" i="37" s="1"/>
  <c r="E29" i="37"/>
  <c r="I29" i="37" s="1"/>
  <c r="E28" i="37"/>
  <c r="I28" i="37" s="1"/>
  <c r="E27" i="37"/>
  <c r="I27" i="37" s="1"/>
  <c r="E26" i="37"/>
  <c r="I26" i="37" s="1"/>
  <c r="E25" i="37"/>
  <c r="I25" i="37" s="1"/>
  <c r="E24" i="37"/>
  <c r="I24" i="37" s="1"/>
  <c r="E23" i="37"/>
  <c r="I23" i="37" s="1"/>
  <c r="E22" i="37"/>
  <c r="I22" i="37" s="1"/>
  <c r="E21" i="37"/>
  <c r="I21" i="37" s="1"/>
  <c r="E20" i="37"/>
  <c r="I20" i="37" s="1"/>
  <c r="K1" i="37"/>
  <c r="K1" i="36"/>
  <c r="E63" i="36"/>
  <c r="I63" i="36" s="1"/>
  <c r="E56" i="36"/>
  <c r="I56" i="36" s="1"/>
  <c r="G66" i="36"/>
  <c r="C4" i="36" s="1"/>
  <c r="B4" i="36"/>
  <c r="H66" i="36"/>
  <c r="D66" i="36"/>
  <c r="C66" i="36"/>
  <c r="E64" i="36"/>
  <c r="I64" i="36" s="1"/>
  <c r="E62" i="36"/>
  <c r="I62" i="36" s="1"/>
  <c r="E61" i="36"/>
  <c r="I61" i="36" s="1"/>
  <c r="E60" i="36"/>
  <c r="I60" i="36" s="1"/>
  <c r="E59" i="36"/>
  <c r="I59" i="36" s="1"/>
  <c r="E58" i="36"/>
  <c r="I58" i="36" s="1"/>
  <c r="E57" i="36"/>
  <c r="I57" i="36" s="1"/>
  <c r="E55" i="36"/>
  <c r="I55" i="36" s="1"/>
  <c r="E54" i="36"/>
  <c r="I54" i="36" s="1"/>
  <c r="E53" i="36"/>
  <c r="I53" i="36" s="1"/>
  <c r="E52" i="36"/>
  <c r="I52" i="36" s="1"/>
  <c r="E51" i="36"/>
  <c r="I51" i="36" s="1"/>
  <c r="E50" i="36"/>
  <c r="I50" i="36" s="1"/>
  <c r="E49" i="36"/>
  <c r="I49" i="36" s="1"/>
  <c r="E48" i="36"/>
  <c r="I48" i="36" s="1"/>
  <c r="E47" i="36"/>
  <c r="I47" i="36" s="1"/>
  <c r="E46" i="36"/>
  <c r="I46" i="36" s="1"/>
  <c r="E45" i="36"/>
  <c r="I45" i="36" s="1"/>
  <c r="E44" i="36"/>
  <c r="I44" i="36" s="1"/>
  <c r="E43" i="36"/>
  <c r="I43" i="36" s="1"/>
  <c r="E42" i="36"/>
  <c r="I42" i="36" s="1"/>
  <c r="E41" i="36"/>
  <c r="I41" i="36" s="1"/>
  <c r="E40" i="36"/>
  <c r="I40" i="36" s="1"/>
  <c r="E39" i="36"/>
  <c r="I39" i="36" s="1"/>
  <c r="E38" i="36"/>
  <c r="I38" i="36" s="1"/>
  <c r="E37" i="36"/>
  <c r="I37" i="36" s="1"/>
  <c r="E36" i="36"/>
  <c r="I36" i="36" s="1"/>
  <c r="E35" i="36"/>
  <c r="I35" i="36" s="1"/>
  <c r="E34" i="36"/>
  <c r="I34" i="36" s="1"/>
  <c r="E33" i="36"/>
  <c r="I33" i="36" s="1"/>
  <c r="E32" i="36"/>
  <c r="I32" i="36" s="1"/>
  <c r="E31" i="36"/>
  <c r="I31" i="36" s="1"/>
  <c r="E30" i="36"/>
  <c r="I30" i="36" s="1"/>
  <c r="E29" i="36"/>
  <c r="I29" i="36" s="1"/>
  <c r="E28" i="36"/>
  <c r="I28" i="36" s="1"/>
  <c r="E27" i="36"/>
  <c r="I27" i="36" s="1"/>
  <c r="E26" i="36"/>
  <c r="I26" i="36" s="1"/>
  <c r="E25" i="36"/>
  <c r="I25" i="36" s="1"/>
  <c r="E24" i="36"/>
  <c r="I24" i="36" s="1"/>
  <c r="E23" i="36"/>
  <c r="I23" i="36" s="1"/>
  <c r="E22" i="36"/>
  <c r="I22" i="36" s="1"/>
  <c r="E21" i="36"/>
  <c r="I21" i="36" s="1"/>
  <c r="E20" i="36"/>
  <c r="I20" i="36" s="1"/>
  <c r="H72" i="37" l="1"/>
  <c r="H18" i="37"/>
  <c r="F18" i="36"/>
  <c r="H18" i="36"/>
  <c r="H72" i="36"/>
  <c r="B11" i="40"/>
  <c r="E32" i="40"/>
  <c r="D32" i="40"/>
  <c r="H18" i="38"/>
  <c r="H51" i="38"/>
  <c r="H51" i="39"/>
  <c r="H18" i="39"/>
  <c r="E120" i="36"/>
  <c r="E7" i="40" s="1"/>
  <c r="F51" i="38"/>
  <c r="F18" i="38"/>
  <c r="I18" i="37"/>
  <c r="F72" i="37"/>
  <c r="F18" i="37"/>
  <c r="G51" i="39"/>
  <c r="F51" i="39"/>
  <c r="F18" i="39"/>
  <c r="E45" i="39"/>
  <c r="I78" i="39"/>
  <c r="I66" i="37"/>
  <c r="F72" i="36"/>
  <c r="I51" i="38"/>
  <c r="G18" i="38"/>
  <c r="D51" i="38"/>
  <c r="E72" i="36"/>
  <c r="A17" i="38"/>
  <c r="I51" i="39"/>
  <c r="E18" i="39"/>
  <c r="E51" i="38"/>
  <c r="G18" i="39"/>
  <c r="A50" i="38"/>
  <c r="G51" i="38"/>
  <c r="D51" i="39"/>
  <c r="I18" i="39"/>
  <c r="C51" i="38"/>
  <c r="A17" i="39"/>
  <c r="C51" i="39"/>
  <c r="D18" i="39"/>
  <c r="C18" i="39"/>
  <c r="E51" i="39"/>
  <c r="B26" i="40"/>
  <c r="E19" i="40"/>
  <c r="D18" i="40"/>
  <c r="E18" i="40"/>
  <c r="D19" i="40"/>
  <c r="D14" i="40"/>
  <c r="E14" i="40"/>
  <c r="B7" i="40"/>
  <c r="D15" i="40"/>
  <c r="E15" i="40"/>
  <c r="D4" i="40"/>
  <c r="E4" i="40"/>
  <c r="B22" i="40"/>
  <c r="E78" i="39"/>
  <c r="I20" i="39"/>
  <c r="I45" i="39" s="1"/>
  <c r="A50" i="39"/>
  <c r="I78" i="38"/>
  <c r="E78" i="38"/>
  <c r="I45" i="38"/>
  <c r="C18" i="38"/>
  <c r="E18" i="38"/>
  <c r="I18" i="38"/>
  <c r="D18" i="38"/>
  <c r="E45" i="38"/>
  <c r="E72" i="37"/>
  <c r="A71" i="37"/>
  <c r="G72" i="37"/>
  <c r="C72" i="37"/>
  <c r="A17" i="37"/>
  <c r="D72" i="37"/>
  <c r="I72" i="37"/>
  <c r="A71" i="36"/>
  <c r="G72" i="36"/>
  <c r="C72" i="36"/>
  <c r="A17" i="36"/>
  <c r="D72" i="36"/>
  <c r="I72" i="36"/>
  <c r="I74" i="36"/>
  <c r="I120" i="36" s="1"/>
  <c r="I120" i="37"/>
  <c r="E120" i="37"/>
  <c r="E8" i="40" s="1"/>
  <c r="C18" i="37"/>
  <c r="E18" i="37"/>
  <c r="E66" i="37"/>
  <c r="D8" i="40" s="1"/>
  <c r="G18" i="37"/>
  <c r="D18" i="37"/>
  <c r="I66" i="36"/>
  <c r="G18" i="36"/>
  <c r="D18" i="36"/>
  <c r="E18" i="36"/>
  <c r="E66" i="36"/>
  <c r="D7" i="40" s="1"/>
  <c r="C18" i="36"/>
  <c r="I18" i="36"/>
  <c r="D12" i="35"/>
  <c r="C12" i="35"/>
  <c r="D11" i="35"/>
  <c r="C11" i="35"/>
  <c r="D10" i="35"/>
  <c r="C10" i="35"/>
  <c r="B2" i="35"/>
  <c r="B2" i="34"/>
  <c r="C4" i="33"/>
  <c r="A13" i="33"/>
  <c r="A10" i="33"/>
  <c r="C6" i="33"/>
  <c r="B6" i="33"/>
  <c r="C3" i="33"/>
  <c r="D17" i="35"/>
  <c r="D19" i="35" s="1"/>
  <c r="C22" i="33" s="1"/>
  <c r="C17" i="35"/>
  <c r="C19" i="35" s="1"/>
  <c r="B22" i="33" s="1"/>
  <c r="D9" i="41" l="1"/>
  <c r="C9" i="41"/>
  <c r="D8" i="34"/>
  <c r="C8" i="41"/>
  <c r="D8" i="41"/>
  <c r="D7" i="41"/>
  <c r="C7" i="41"/>
  <c r="F10" i="25"/>
  <c r="B10" i="30"/>
  <c r="C7" i="34"/>
  <c r="B28" i="40"/>
  <c r="D7" i="34"/>
  <c r="C9" i="34"/>
  <c r="C12" i="34" s="1"/>
  <c r="C33" i="33"/>
  <c r="B33" i="33"/>
  <c r="C8" i="34"/>
  <c r="D23" i="40"/>
  <c r="D11" i="40"/>
  <c r="E22" i="40"/>
  <c r="E11" i="40"/>
  <c r="E23" i="40"/>
  <c r="D22" i="40"/>
  <c r="D9" i="34"/>
  <c r="B19" i="33"/>
  <c r="B32" i="33" s="1"/>
  <c r="C19" i="33"/>
  <c r="C32" i="33" s="1"/>
  <c r="D12" i="34" l="1"/>
  <c r="C13" i="34"/>
  <c r="C15" i="34" s="1"/>
  <c r="B20" i="33" s="1"/>
  <c r="B24" i="33" s="1"/>
  <c r="D13" i="34"/>
  <c r="D26" i="40"/>
  <c r="D29" i="40" s="1"/>
  <c r="D34" i="40" s="1"/>
  <c r="B34" i="33" s="1"/>
  <c r="B36" i="33" s="1"/>
  <c r="E26" i="40"/>
  <c r="E29" i="40" s="1"/>
  <c r="E34" i="40" s="1"/>
  <c r="C34" i="33" s="1"/>
  <c r="C36" i="33" s="1"/>
  <c r="D15" i="34" l="1"/>
  <c r="C20" i="33" s="1"/>
  <c r="C38" i="33"/>
  <c r="C10" i="30" s="1"/>
  <c r="L24" i="16"/>
  <c r="F25" i="7"/>
  <c r="G26" i="7"/>
  <c r="H27" i="7"/>
  <c r="I28" i="7"/>
  <c r="J29" i="7"/>
  <c r="F25" i="20"/>
  <c r="F28" i="20" s="1"/>
  <c r="G26" i="20"/>
  <c r="G28" i="20" s="1"/>
  <c r="H27" i="20"/>
  <c r="H28" i="20" s="1"/>
  <c r="I28" i="20"/>
  <c r="C24" i="4"/>
  <c r="B24" i="4"/>
  <c r="C20" i="30"/>
  <c r="D21" i="30"/>
  <c r="F23" i="25"/>
  <c r="F89" i="25" s="1"/>
  <c r="C24" i="33" l="1"/>
  <c r="C26" i="33" s="1"/>
  <c r="G10" i="25" s="1"/>
  <c r="G95" i="25"/>
  <c r="G89" i="25"/>
  <c r="O24" i="16"/>
  <c r="Q24" i="16" s="1"/>
  <c r="F116" i="22"/>
  <c r="G117" i="22"/>
  <c r="H118" i="22"/>
  <c r="I119" i="22"/>
  <c r="G94" i="8"/>
  <c r="H95" i="8"/>
  <c r="I96" i="8"/>
  <c r="J97" i="8"/>
  <c r="K98" i="8"/>
  <c r="L99" i="8"/>
  <c r="F93" i="8"/>
  <c r="H56" i="20"/>
  <c r="H63" i="7"/>
  <c r="C22" i="7"/>
  <c r="D23" i="7"/>
  <c r="E24" i="7"/>
  <c r="R1" i="5"/>
  <c r="H89" i="25" l="1"/>
  <c r="F95" i="25" s="1"/>
  <c r="F39" i="25"/>
  <c r="G97" i="25"/>
  <c r="B111" i="25" s="1"/>
  <c r="F40" i="25"/>
  <c r="L40" i="25" s="1"/>
  <c r="N40" i="25" s="1"/>
  <c r="H95" i="25"/>
  <c r="H97" i="25" s="1"/>
  <c r="F97" i="25"/>
  <c r="D72" i="5"/>
  <c r="F62" i="30"/>
  <c r="G62" i="30" s="1"/>
  <c r="D33" i="30" s="1"/>
  <c r="F55" i="30"/>
  <c r="G55" i="30" s="1"/>
  <c r="C32" i="30" s="1"/>
  <c r="H60" i="30"/>
  <c r="G60" i="30"/>
  <c r="F60" i="30"/>
  <c r="H54" i="30"/>
  <c r="G54" i="30"/>
  <c r="F54" i="30"/>
  <c r="F46" i="30"/>
  <c r="E45" i="30"/>
  <c r="D44" i="30"/>
  <c r="C43" i="30"/>
  <c r="H43" i="30" s="1"/>
  <c r="F34" i="30"/>
  <c r="E34" i="30"/>
  <c r="F23" i="30"/>
  <c r="E22" i="30"/>
  <c r="E23" i="30" s="1"/>
  <c r="D23" i="30"/>
  <c r="H20" i="30"/>
  <c r="C20" i="25"/>
  <c r="L20" i="25" s="1"/>
  <c r="D21" i="25"/>
  <c r="L21" i="25" s="1"/>
  <c r="H77" i="25"/>
  <c r="G77" i="25"/>
  <c r="F77" i="25"/>
  <c r="G55" i="25"/>
  <c r="G56" i="25" s="1"/>
  <c r="G57" i="25" s="1"/>
  <c r="G58" i="25" s="1"/>
  <c r="L58" i="25" s="1"/>
  <c r="F54" i="25"/>
  <c r="L35" i="25"/>
  <c r="G27" i="25"/>
  <c r="F27" i="25"/>
  <c r="E22" i="25"/>
  <c r="L22" i="25" s="1"/>
  <c r="F24" i="30" l="1"/>
  <c r="G56" i="30"/>
  <c r="B70" i="30" s="1"/>
  <c r="H55" i="30"/>
  <c r="F61" i="30" s="1"/>
  <c r="G61" i="30"/>
  <c r="H62" i="30"/>
  <c r="E46" i="30"/>
  <c r="H22" i="30"/>
  <c r="D45" i="30"/>
  <c r="E24" i="30"/>
  <c r="C44" i="30"/>
  <c r="D34" i="30"/>
  <c r="D24" i="30" s="1"/>
  <c r="D46" i="30"/>
  <c r="H19" i="30"/>
  <c r="H21" i="30"/>
  <c r="C23" i="30"/>
  <c r="L23" i="25"/>
  <c r="N35" i="25"/>
  <c r="F80" i="25"/>
  <c r="D27" i="25"/>
  <c r="F55" i="25"/>
  <c r="F56" i="25" s="1"/>
  <c r="F57" i="25" s="1"/>
  <c r="L57" i="25" s="1"/>
  <c r="F66" i="25"/>
  <c r="E27" i="25"/>
  <c r="C54" i="22"/>
  <c r="G15" i="29" s="1"/>
  <c r="G112" i="29" s="1"/>
  <c r="P112" i="29" s="1"/>
  <c r="C55" i="22"/>
  <c r="G16" i="29" s="1"/>
  <c r="G121" i="29" s="1"/>
  <c r="C56" i="22"/>
  <c r="G17" i="29" s="1"/>
  <c r="C57" i="22"/>
  <c r="C58" i="22"/>
  <c r="G19" i="29" s="1"/>
  <c r="G148" i="29" s="1"/>
  <c r="P148" i="29" s="1"/>
  <c r="C59" i="22"/>
  <c r="G20" i="29" s="1"/>
  <c r="G157" i="29" s="1"/>
  <c r="C60" i="22"/>
  <c r="G21" i="29" s="1"/>
  <c r="G166" i="29" s="1"/>
  <c r="G569" i="29" s="1"/>
  <c r="I569" i="29" s="1"/>
  <c r="J569" i="29" s="1"/>
  <c r="K569" i="29" s="1"/>
  <c r="G574" i="29" s="1"/>
  <c r="P3" i="22"/>
  <c r="P85" i="29"/>
  <c r="P76" i="29"/>
  <c r="P67" i="29"/>
  <c r="P58" i="29"/>
  <c r="P49" i="29"/>
  <c r="P40" i="29"/>
  <c r="B621" i="29"/>
  <c r="I614" i="29"/>
  <c r="G614" i="29"/>
  <c r="I607" i="29"/>
  <c r="G607" i="29"/>
  <c r="I597" i="29"/>
  <c r="G597" i="29"/>
  <c r="I588" i="29"/>
  <c r="G588" i="29"/>
  <c r="M580" i="29"/>
  <c r="L580" i="29"/>
  <c r="K580" i="29"/>
  <c r="J580" i="29"/>
  <c r="I580" i="29"/>
  <c r="H580" i="29"/>
  <c r="G580" i="29"/>
  <c r="M573" i="29"/>
  <c r="L573" i="29"/>
  <c r="K573" i="29"/>
  <c r="J573" i="29"/>
  <c r="I573" i="29"/>
  <c r="H573" i="29"/>
  <c r="G573" i="29"/>
  <c r="K568" i="29"/>
  <c r="J568" i="29"/>
  <c r="I568" i="29"/>
  <c r="H568" i="29"/>
  <c r="G568" i="29"/>
  <c r="B558" i="29"/>
  <c r="I551" i="29"/>
  <c r="G551" i="29"/>
  <c r="I544" i="29"/>
  <c r="G544" i="29"/>
  <c r="I534" i="29"/>
  <c r="G534" i="29"/>
  <c r="I525" i="29"/>
  <c r="G525" i="29"/>
  <c r="M517" i="29"/>
  <c r="L517" i="29"/>
  <c r="K517" i="29"/>
  <c r="J517" i="29"/>
  <c r="I517" i="29"/>
  <c r="H517" i="29"/>
  <c r="G517" i="29"/>
  <c r="M510" i="29"/>
  <c r="L510" i="29"/>
  <c r="K510" i="29"/>
  <c r="J510" i="29"/>
  <c r="I510" i="29"/>
  <c r="H510" i="29"/>
  <c r="G510" i="29"/>
  <c r="K505" i="29"/>
  <c r="J505" i="29"/>
  <c r="I505" i="29"/>
  <c r="H505" i="29"/>
  <c r="G505" i="29"/>
  <c r="B495" i="29"/>
  <c r="I486" i="29"/>
  <c r="G486" i="29"/>
  <c r="I477" i="29"/>
  <c r="G477" i="29"/>
  <c r="M469" i="29"/>
  <c r="L469" i="29"/>
  <c r="K469" i="29"/>
  <c r="J469" i="29"/>
  <c r="I469" i="29"/>
  <c r="H469" i="29"/>
  <c r="G469" i="29"/>
  <c r="M462" i="29"/>
  <c r="L462" i="29"/>
  <c r="K462" i="29"/>
  <c r="J462" i="29"/>
  <c r="I462" i="29"/>
  <c r="H462" i="29"/>
  <c r="G462" i="29"/>
  <c r="K457" i="29"/>
  <c r="J457" i="29"/>
  <c r="I457" i="29"/>
  <c r="H457" i="29"/>
  <c r="G457" i="29"/>
  <c r="B447" i="29"/>
  <c r="I440" i="29"/>
  <c r="G440" i="29"/>
  <c r="I433" i="29"/>
  <c r="G433" i="29"/>
  <c r="I423" i="29"/>
  <c r="G423" i="29"/>
  <c r="I414" i="29"/>
  <c r="G414" i="29"/>
  <c r="M406" i="29"/>
  <c r="L406" i="29"/>
  <c r="K406" i="29"/>
  <c r="J406" i="29"/>
  <c r="I406" i="29"/>
  <c r="H406" i="29"/>
  <c r="G406" i="29"/>
  <c r="M399" i="29"/>
  <c r="L399" i="29"/>
  <c r="K399" i="29"/>
  <c r="J399" i="29"/>
  <c r="I399" i="29"/>
  <c r="H399" i="29"/>
  <c r="G399" i="29"/>
  <c r="K394" i="29"/>
  <c r="J394" i="29"/>
  <c r="I394" i="29"/>
  <c r="H394" i="29"/>
  <c r="G394" i="29"/>
  <c r="B384" i="29"/>
  <c r="I377" i="29"/>
  <c r="G377" i="29"/>
  <c r="I370" i="29"/>
  <c r="G370" i="29"/>
  <c r="I360" i="29"/>
  <c r="G360" i="29"/>
  <c r="I351" i="29"/>
  <c r="G351" i="29"/>
  <c r="M343" i="29"/>
  <c r="L343" i="29"/>
  <c r="K343" i="29"/>
  <c r="J343" i="29"/>
  <c r="I343" i="29"/>
  <c r="H343" i="29"/>
  <c r="G343" i="29"/>
  <c r="M336" i="29"/>
  <c r="L336" i="29"/>
  <c r="K336" i="29"/>
  <c r="J336" i="29"/>
  <c r="I336" i="29"/>
  <c r="H336" i="29"/>
  <c r="G336" i="29"/>
  <c r="K331" i="29"/>
  <c r="J331" i="29"/>
  <c r="I331" i="29"/>
  <c r="H331" i="29"/>
  <c r="G331" i="29"/>
  <c r="B321" i="29"/>
  <c r="I314" i="29"/>
  <c r="G314" i="29"/>
  <c r="I307" i="29"/>
  <c r="G307" i="29"/>
  <c r="I297" i="29"/>
  <c r="G297" i="29"/>
  <c r="I288" i="29"/>
  <c r="G288" i="29"/>
  <c r="M280" i="29"/>
  <c r="L280" i="29"/>
  <c r="K280" i="29"/>
  <c r="J280" i="29"/>
  <c r="I280" i="29"/>
  <c r="H280" i="29"/>
  <c r="G280" i="29"/>
  <c r="M273" i="29"/>
  <c r="L273" i="29"/>
  <c r="K273" i="29"/>
  <c r="J273" i="29"/>
  <c r="I273" i="29"/>
  <c r="H273" i="29"/>
  <c r="G273" i="29"/>
  <c r="K268" i="29"/>
  <c r="J268" i="29"/>
  <c r="I268" i="29"/>
  <c r="H268" i="29"/>
  <c r="G268" i="29"/>
  <c r="K217" i="29"/>
  <c r="J217" i="29"/>
  <c r="K210" i="29"/>
  <c r="J210" i="29"/>
  <c r="H217" i="29"/>
  <c r="H210" i="29"/>
  <c r="J205" i="29"/>
  <c r="H205" i="29"/>
  <c r="G205" i="29"/>
  <c r="I205" i="29"/>
  <c r="K205" i="29"/>
  <c r="G210" i="29"/>
  <c r="I210" i="29"/>
  <c r="L210" i="29"/>
  <c r="M210" i="29"/>
  <c r="G217" i="29"/>
  <c r="I217" i="29"/>
  <c r="L217" i="29"/>
  <c r="M217" i="29"/>
  <c r="P31" i="29"/>
  <c r="G18" i="29"/>
  <c r="G139" i="29" s="1"/>
  <c r="H175" i="29"/>
  <c r="I175" i="29" s="1"/>
  <c r="J175" i="29" s="1"/>
  <c r="K175" i="29" s="1"/>
  <c r="L175" i="29" s="1"/>
  <c r="M175" i="29" s="1"/>
  <c r="N175" i="29" s="1"/>
  <c r="H109" i="29"/>
  <c r="I109" i="29" s="1"/>
  <c r="H95" i="29"/>
  <c r="I95" i="29" s="1"/>
  <c r="J95" i="29" s="1"/>
  <c r="K95" i="29" s="1"/>
  <c r="L95" i="29" s="1"/>
  <c r="M95" i="29" s="1"/>
  <c r="N95" i="29" s="1"/>
  <c r="H28" i="29"/>
  <c r="I28" i="29" s="1"/>
  <c r="J28" i="29" s="1"/>
  <c r="K28" i="29" s="1"/>
  <c r="L28" i="29" s="1"/>
  <c r="M28" i="29" s="1"/>
  <c r="N28" i="29" s="1"/>
  <c r="B148" i="29"/>
  <c r="J120" i="22"/>
  <c r="B258" i="29"/>
  <c r="I251" i="29"/>
  <c r="G251" i="29"/>
  <c r="I244" i="29"/>
  <c r="G244" i="29"/>
  <c r="I234" i="29"/>
  <c r="G234" i="29"/>
  <c r="I225" i="29"/>
  <c r="G225" i="29"/>
  <c r="B177" i="29"/>
  <c r="B67" i="29"/>
  <c r="B7" i="29"/>
  <c r="B4" i="29"/>
  <c r="E2" i="29"/>
  <c r="D2" i="29"/>
  <c r="B2" i="29"/>
  <c r="J103" i="22"/>
  <c r="J68" i="22"/>
  <c r="I68" i="22"/>
  <c r="B86" i="22" s="1"/>
  <c r="B101" i="22" s="1"/>
  <c r="B119" i="22" s="1"/>
  <c r="H68" i="22"/>
  <c r="H79" i="22" s="1"/>
  <c r="H94" i="22" s="1"/>
  <c r="H112" i="22" s="1"/>
  <c r="G68" i="22"/>
  <c r="B84" i="22" s="1"/>
  <c r="B99" i="22" s="1"/>
  <c r="B117" i="22" s="1"/>
  <c r="F68" i="22"/>
  <c r="B83" i="22" s="1"/>
  <c r="B98" i="22" s="1"/>
  <c r="B116" i="22" s="1"/>
  <c r="E68" i="22"/>
  <c r="D68" i="22"/>
  <c r="J52" i="22"/>
  <c r="I52" i="22"/>
  <c r="G190" i="29" l="1"/>
  <c r="G130" i="29"/>
  <c r="P130" i="29" s="1"/>
  <c r="G80" i="25"/>
  <c r="H80" i="25" s="1"/>
  <c r="F88" i="25" s="1"/>
  <c r="G88" i="25"/>
  <c r="E39" i="25" s="1"/>
  <c r="G63" i="30"/>
  <c r="B71" i="30" s="1"/>
  <c r="C33" i="30"/>
  <c r="H33" i="30" s="1"/>
  <c r="J33" i="30" s="1"/>
  <c r="I79" i="22"/>
  <c r="I94" i="22" s="1"/>
  <c r="I112" i="22" s="1"/>
  <c r="B85" i="22"/>
  <c r="B100" i="22" s="1"/>
  <c r="B118" i="22" s="1"/>
  <c r="F63" i="30"/>
  <c r="H61" i="30"/>
  <c r="H63" i="30" s="1"/>
  <c r="F56" i="30"/>
  <c r="H56" i="30"/>
  <c r="C45" i="30"/>
  <c r="H45" i="30" s="1"/>
  <c r="H23" i="30"/>
  <c r="B19" i="30"/>
  <c r="B30" i="30" s="1"/>
  <c r="B43" i="30" s="1"/>
  <c r="C18" i="30"/>
  <c r="C29" i="30" s="1"/>
  <c r="C42" i="30" s="1"/>
  <c r="D7" i="30"/>
  <c r="H32" i="30"/>
  <c r="J32" i="30" s="1"/>
  <c r="G86" i="29"/>
  <c r="P86" i="29" s="1"/>
  <c r="P121" i="29"/>
  <c r="G332" i="29"/>
  <c r="I332" i="29" s="1"/>
  <c r="J332" i="29" s="1"/>
  <c r="P139" i="29"/>
  <c r="G506" i="29"/>
  <c r="G458" i="29"/>
  <c r="G395" i="29"/>
  <c r="I395" i="29" s="1"/>
  <c r="J395" i="29" s="1"/>
  <c r="G269" i="29"/>
  <c r="I269" i="29" s="1"/>
  <c r="J269" i="29" s="1"/>
  <c r="G206" i="29"/>
  <c r="I206" i="29" s="1"/>
  <c r="J206" i="29" s="1"/>
  <c r="G23" i="29"/>
  <c r="B58" i="29"/>
  <c r="B76" i="29"/>
  <c r="B166" i="29"/>
  <c r="B121" i="29"/>
  <c r="B97" i="29"/>
  <c r="B85" i="29"/>
  <c r="B31" i="29"/>
  <c r="B139" i="29"/>
  <c r="B49" i="29"/>
  <c r="B40" i="29"/>
  <c r="H13" i="29"/>
  <c r="B32" i="29" s="1"/>
  <c r="B157" i="29"/>
  <c r="B130" i="29"/>
  <c r="B112" i="29"/>
  <c r="J109" i="29"/>
  <c r="K109" i="29" s="1"/>
  <c r="L109" i="29" s="1"/>
  <c r="M109" i="29" s="1"/>
  <c r="N109" i="29" s="1"/>
  <c r="P166" i="29"/>
  <c r="G79" i="22"/>
  <c r="G94" i="22" s="1"/>
  <c r="G112" i="22" s="1"/>
  <c r="H52" i="22"/>
  <c r="G52" i="22"/>
  <c r="G35" i="22"/>
  <c r="F26" i="22"/>
  <c r="E26" i="22"/>
  <c r="D26" i="22"/>
  <c r="G26" i="22"/>
  <c r="F8" i="22"/>
  <c r="G8" i="22"/>
  <c r="F79" i="22"/>
  <c r="F94" i="22" s="1"/>
  <c r="F112" i="22" s="1"/>
  <c r="F52" i="22"/>
  <c r="F35" i="22"/>
  <c r="D73" i="5" l="1"/>
  <c r="H88" i="25"/>
  <c r="E38" i="25"/>
  <c r="E42" i="25" s="1"/>
  <c r="F42" i="25"/>
  <c r="F28" i="25" s="1"/>
  <c r="G42" i="25"/>
  <c r="G28" i="25" s="1"/>
  <c r="C34" i="30"/>
  <c r="C24" i="30" s="1"/>
  <c r="B20" i="30"/>
  <c r="B31" i="30" s="1"/>
  <c r="B44" i="30" s="1"/>
  <c r="E7" i="30"/>
  <c r="D18" i="30"/>
  <c r="D29" i="30" s="1"/>
  <c r="D42" i="30" s="1"/>
  <c r="C46" i="30"/>
  <c r="H46" i="30" s="1"/>
  <c r="G167" i="29"/>
  <c r="K269" i="29"/>
  <c r="G274" i="29" s="1"/>
  <c r="G41" i="29"/>
  <c r="K206" i="29"/>
  <c r="G211" i="29" s="1"/>
  <c r="G32" i="29"/>
  <c r="K395" i="29"/>
  <c r="G400" i="29" s="1"/>
  <c r="G59" i="29"/>
  <c r="K332" i="29"/>
  <c r="G337" i="29" s="1"/>
  <c r="G50" i="29"/>
  <c r="B158" i="29"/>
  <c r="B167" i="29"/>
  <c r="B131" i="29"/>
  <c r="B178" i="29"/>
  <c r="B140" i="29"/>
  <c r="B50" i="29"/>
  <c r="B149" i="29"/>
  <c r="I13" i="29"/>
  <c r="B113" i="29"/>
  <c r="B77" i="29"/>
  <c r="B68" i="29"/>
  <c r="B59" i="29"/>
  <c r="B86" i="29"/>
  <c r="B122" i="29"/>
  <c r="B98" i="29"/>
  <c r="B41" i="29"/>
  <c r="P157" i="29"/>
  <c r="H25" i="28"/>
  <c r="J25" i="28" s="1"/>
  <c r="H22" i="28"/>
  <c r="J22" i="28" s="1"/>
  <c r="E20" i="28"/>
  <c r="E28" i="28" s="1"/>
  <c r="P17" i="28"/>
  <c r="O17" i="28"/>
  <c r="L17" i="28"/>
  <c r="L16" i="28"/>
  <c r="L30" i="16"/>
  <c r="O30" i="16" s="1"/>
  <c r="Q30" i="16" s="1"/>
  <c r="L33" i="16"/>
  <c r="O33" i="16" s="1"/>
  <c r="L27" i="16"/>
  <c r="L21" i="16"/>
  <c r="K19" i="16"/>
  <c r="K36" i="16" s="1"/>
  <c r="J19" i="16"/>
  <c r="J36" i="16" s="1"/>
  <c r="I19" i="16"/>
  <c r="I36" i="16" s="1"/>
  <c r="H19" i="16"/>
  <c r="H36" i="16" s="1"/>
  <c r="G19" i="16"/>
  <c r="G36" i="16" s="1"/>
  <c r="F19" i="16"/>
  <c r="F36" i="16" s="1"/>
  <c r="Q14" i="15"/>
  <c r="J29" i="15"/>
  <c r="M29" i="15" s="1"/>
  <c r="J26" i="15"/>
  <c r="M26" i="15" s="1"/>
  <c r="J23" i="15"/>
  <c r="M23" i="15" s="1"/>
  <c r="J20" i="15"/>
  <c r="M20" i="15" s="1"/>
  <c r="I32" i="15"/>
  <c r="H32" i="15"/>
  <c r="G32" i="15"/>
  <c r="F32" i="15"/>
  <c r="F17" i="13"/>
  <c r="K27" i="13"/>
  <c r="N27" i="13" s="1"/>
  <c r="K44" i="13"/>
  <c r="N44" i="13" s="1"/>
  <c r="K38" i="13"/>
  <c r="N38" i="13" s="1"/>
  <c r="P38" i="13" s="1"/>
  <c r="K33" i="13"/>
  <c r="N33" i="13" s="1"/>
  <c r="P33" i="13" s="1"/>
  <c r="K31" i="13"/>
  <c r="K24" i="13"/>
  <c r="N24" i="13" s="1"/>
  <c r="K21" i="13"/>
  <c r="K18" i="13"/>
  <c r="J30" i="13"/>
  <c r="J17" i="13"/>
  <c r="I30" i="13"/>
  <c r="I17" i="13"/>
  <c r="H30" i="13"/>
  <c r="H47" i="13" s="1"/>
  <c r="H17" i="13"/>
  <c r="G30" i="13"/>
  <c r="G17" i="13"/>
  <c r="C27" i="8"/>
  <c r="G15" i="26" s="1"/>
  <c r="D27" i="8"/>
  <c r="H15" i="26" s="1"/>
  <c r="E27" i="8"/>
  <c r="I15" i="26" s="1"/>
  <c r="F27" i="8"/>
  <c r="J15" i="26" s="1"/>
  <c r="G27" i="8"/>
  <c r="K15" i="26" s="1"/>
  <c r="H27" i="8"/>
  <c r="L15" i="26" s="1"/>
  <c r="C28" i="8"/>
  <c r="G16" i="26" s="1"/>
  <c r="D28" i="8"/>
  <c r="H16" i="26" s="1"/>
  <c r="E28" i="8"/>
  <c r="I16" i="26" s="1"/>
  <c r="F28" i="8"/>
  <c r="J16" i="26" s="1"/>
  <c r="G28" i="8"/>
  <c r="K16" i="26" s="1"/>
  <c r="H28" i="8"/>
  <c r="L16" i="26" s="1"/>
  <c r="C30" i="8"/>
  <c r="G18" i="26" s="1"/>
  <c r="D30" i="8"/>
  <c r="H18" i="26" s="1"/>
  <c r="E30" i="8"/>
  <c r="I18" i="26" s="1"/>
  <c r="F30" i="8"/>
  <c r="J18" i="26" s="1"/>
  <c r="G30" i="8"/>
  <c r="K18" i="26" s="1"/>
  <c r="H30" i="8"/>
  <c r="L18" i="26" s="1"/>
  <c r="C31" i="8"/>
  <c r="G19" i="26" s="1"/>
  <c r="D31" i="8"/>
  <c r="H19" i="26" s="1"/>
  <c r="E31" i="8"/>
  <c r="I19" i="26" s="1"/>
  <c r="F31" i="8"/>
  <c r="J19" i="26" s="1"/>
  <c r="G31" i="8"/>
  <c r="K19" i="26" s="1"/>
  <c r="H31" i="8"/>
  <c r="L19" i="26" s="1"/>
  <c r="C32" i="8"/>
  <c r="G20" i="26" s="1"/>
  <c r="D32" i="8"/>
  <c r="H20" i="26" s="1"/>
  <c r="E32" i="8"/>
  <c r="I20" i="26" s="1"/>
  <c r="F32" i="8"/>
  <c r="J20" i="26" s="1"/>
  <c r="G32" i="8"/>
  <c r="K20" i="26" s="1"/>
  <c r="H32" i="8"/>
  <c r="L20" i="26" s="1"/>
  <c r="C33" i="8"/>
  <c r="G21" i="26" s="1"/>
  <c r="D33" i="8"/>
  <c r="H21" i="26" s="1"/>
  <c r="E33" i="8"/>
  <c r="I21" i="26" s="1"/>
  <c r="F33" i="8"/>
  <c r="J21" i="26" s="1"/>
  <c r="G33" i="8"/>
  <c r="K21" i="26" s="1"/>
  <c r="H33" i="8"/>
  <c r="L21" i="26" s="1"/>
  <c r="I522" i="26"/>
  <c r="G522" i="26"/>
  <c r="K176" i="19"/>
  <c r="I578" i="19"/>
  <c r="G578" i="19"/>
  <c r="O26" i="15" l="1"/>
  <c r="O29" i="15"/>
  <c r="O23" i="15"/>
  <c r="P44" i="13"/>
  <c r="G47" i="13"/>
  <c r="N31" i="13"/>
  <c r="P31" i="13" s="1"/>
  <c r="P27" i="13"/>
  <c r="J47" i="13"/>
  <c r="O20" i="15"/>
  <c r="J32" i="15"/>
  <c r="P24" i="13"/>
  <c r="I47" i="13"/>
  <c r="J20" i="28"/>
  <c r="J28" i="28" s="1"/>
  <c r="H20" i="28"/>
  <c r="H28" i="28" s="1"/>
  <c r="Q33" i="16"/>
  <c r="O21" i="16"/>
  <c r="Q21" i="16" s="1"/>
  <c r="O27" i="16"/>
  <c r="Q27" i="16" s="1"/>
  <c r="F7" i="30"/>
  <c r="E18" i="30"/>
  <c r="E29" i="30" s="1"/>
  <c r="E42" i="30" s="1"/>
  <c r="B21" i="30"/>
  <c r="B32" i="30" s="1"/>
  <c r="B45" i="30" s="1"/>
  <c r="P41" i="29"/>
  <c r="G122" i="29"/>
  <c r="P59" i="29"/>
  <c r="G140" i="29"/>
  <c r="P50" i="29"/>
  <c r="G131" i="29"/>
  <c r="P32" i="29"/>
  <c r="G113" i="29"/>
  <c r="J13" i="29"/>
  <c r="B168" i="29"/>
  <c r="B60" i="29"/>
  <c r="B159" i="29"/>
  <c r="B33" i="29"/>
  <c r="B179" i="29"/>
  <c r="B141" i="29"/>
  <c r="B150" i="29"/>
  <c r="B99" i="29"/>
  <c r="B51" i="29"/>
  <c r="B42" i="29"/>
  <c r="B114" i="29"/>
  <c r="B87" i="29"/>
  <c r="B132" i="29"/>
  <c r="B69" i="29"/>
  <c r="B78" i="29"/>
  <c r="B123" i="29"/>
  <c r="L19" i="16"/>
  <c r="L36" i="16" s="1"/>
  <c r="K30" i="13"/>
  <c r="K17" i="13"/>
  <c r="N18" i="13"/>
  <c r="P18" i="13" s="1"/>
  <c r="N21" i="13"/>
  <c r="P21" i="13" s="1"/>
  <c r="P15" i="26"/>
  <c r="O15" i="26"/>
  <c r="O136" i="26" s="1"/>
  <c r="O137" i="26" s="1"/>
  <c r="N15" i="26"/>
  <c r="N135" i="26" s="1"/>
  <c r="N136" i="26" s="1"/>
  <c r="G296" i="26" s="1"/>
  <c r="C90" i="8"/>
  <c r="E92" i="8"/>
  <c r="D91" i="8"/>
  <c r="I670" i="26"/>
  <c r="G670" i="26"/>
  <c r="I663" i="26"/>
  <c r="G663" i="26"/>
  <c r="I652" i="26"/>
  <c r="G652" i="26"/>
  <c r="I642" i="26"/>
  <c r="G642" i="26"/>
  <c r="M633" i="26"/>
  <c r="L633" i="26"/>
  <c r="I633" i="26"/>
  <c r="H633" i="26"/>
  <c r="G633" i="26"/>
  <c r="M625" i="26"/>
  <c r="L625" i="26"/>
  <c r="I625" i="26"/>
  <c r="H625" i="26"/>
  <c r="G625" i="26"/>
  <c r="M618" i="26"/>
  <c r="L618" i="26"/>
  <c r="I618" i="26"/>
  <c r="H618" i="26"/>
  <c r="G618" i="26"/>
  <c r="K613" i="26"/>
  <c r="I613" i="26"/>
  <c r="H613" i="26"/>
  <c r="G613" i="26"/>
  <c r="I595" i="26"/>
  <c r="G595" i="26"/>
  <c r="I588" i="26"/>
  <c r="G588" i="26"/>
  <c r="I577" i="26"/>
  <c r="G577" i="26"/>
  <c r="I567" i="26"/>
  <c r="G567" i="26"/>
  <c r="M558" i="26"/>
  <c r="L558" i="26"/>
  <c r="I558" i="26"/>
  <c r="H558" i="26"/>
  <c r="G558" i="26"/>
  <c r="M550" i="26"/>
  <c r="L550" i="26"/>
  <c r="I550" i="26"/>
  <c r="H550" i="26"/>
  <c r="G550" i="26"/>
  <c r="M543" i="26"/>
  <c r="L543" i="26"/>
  <c r="I543" i="26"/>
  <c r="H543" i="26"/>
  <c r="G543" i="26"/>
  <c r="K538" i="26"/>
  <c r="I538" i="26"/>
  <c r="H538" i="26"/>
  <c r="G538" i="26"/>
  <c r="I511" i="26"/>
  <c r="G511" i="26"/>
  <c r="I501" i="26"/>
  <c r="G501" i="26"/>
  <c r="M492" i="26"/>
  <c r="L492" i="26"/>
  <c r="I492" i="26"/>
  <c r="H492" i="26"/>
  <c r="G492" i="26"/>
  <c r="M484" i="26"/>
  <c r="L484" i="26"/>
  <c r="I484" i="26"/>
  <c r="H484" i="26"/>
  <c r="G484" i="26"/>
  <c r="M477" i="26"/>
  <c r="L477" i="26"/>
  <c r="I477" i="26"/>
  <c r="H477" i="26"/>
  <c r="G477" i="26"/>
  <c r="K472" i="26"/>
  <c r="I472" i="26"/>
  <c r="H472" i="26"/>
  <c r="G472" i="26"/>
  <c r="I454" i="26"/>
  <c r="G454" i="26"/>
  <c r="I447" i="26"/>
  <c r="G447" i="26"/>
  <c r="I436" i="26"/>
  <c r="G436" i="26"/>
  <c r="I426" i="26"/>
  <c r="G426" i="26"/>
  <c r="M417" i="26"/>
  <c r="L417" i="26"/>
  <c r="I417" i="26"/>
  <c r="H417" i="26"/>
  <c r="G417" i="26"/>
  <c r="M409" i="26"/>
  <c r="L409" i="26"/>
  <c r="I409" i="26"/>
  <c r="H409" i="26"/>
  <c r="G409" i="26"/>
  <c r="M402" i="26"/>
  <c r="L402" i="26"/>
  <c r="I402" i="26"/>
  <c r="H402" i="26"/>
  <c r="G402" i="26"/>
  <c r="K397" i="26"/>
  <c r="I397" i="26"/>
  <c r="H397" i="26"/>
  <c r="G397" i="26"/>
  <c r="I368" i="26"/>
  <c r="G368" i="26"/>
  <c r="I361" i="26"/>
  <c r="G361" i="26"/>
  <c r="I350" i="26"/>
  <c r="G350" i="26"/>
  <c r="I340" i="26"/>
  <c r="G340" i="26"/>
  <c r="M331" i="26"/>
  <c r="L331" i="26"/>
  <c r="I331" i="26"/>
  <c r="H331" i="26"/>
  <c r="G331" i="26"/>
  <c r="M323" i="26"/>
  <c r="L323" i="26"/>
  <c r="I323" i="26"/>
  <c r="H323" i="26"/>
  <c r="G323" i="26"/>
  <c r="M316" i="26"/>
  <c r="L316" i="26"/>
  <c r="I316" i="26"/>
  <c r="H316" i="26"/>
  <c r="G316" i="26"/>
  <c r="K311" i="26"/>
  <c r="I311" i="26"/>
  <c r="H311" i="26"/>
  <c r="G311" i="26"/>
  <c r="B301" i="26"/>
  <c r="I294" i="26"/>
  <c r="G294" i="26"/>
  <c r="I287" i="26"/>
  <c r="G287" i="26"/>
  <c r="I276" i="26"/>
  <c r="G276" i="26"/>
  <c r="I266" i="26"/>
  <c r="G266" i="26"/>
  <c r="M257" i="26"/>
  <c r="L257" i="26"/>
  <c r="I257" i="26"/>
  <c r="H257" i="26"/>
  <c r="G257" i="26"/>
  <c r="M249" i="26"/>
  <c r="L249" i="26"/>
  <c r="I249" i="26"/>
  <c r="H249" i="26"/>
  <c r="G249" i="26"/>
  <c r="M242" i="26"/>
  <c r="L242" i="26"/>
  <c r="I242" i="26"/>
  <c r="H242" i="26"/>
  <c r="G242" i="26"/>
  <c r="K237" i="26"/>
  <c r="I237" i="26"/>
  <c r="H237" i="26"/>
  <c r="G237" i="26"/>
  <c r="B207" i="26"/>
  <c r="H205" i="26"/>
  <c r="I205" i="26" s="1"/>
  <c r="J205" i="26" s="1"/>
  <c r="K205" i="26" s="1"/>
  <c r="L205" i="26" s="1"/>
  <c r="M205" i="26" s="1"/>
  <c r="N205" i="26" s="1"/>
  <c r="O205" i="26" s="1"/>
  <c r="P205" i="26" s="1"/>
  <c r="L199" i="26"/>
  <c r="L200" i="26" s="1"/>
  <c r="K198" i="26"/>
  <c r="K199" i="26" s="1"/>
  <c r="J197" i="26"/>
  <c r="J198" i="26" s="1"/>
  <c r="G637" i="26" s="1"/>
  <c r="I196" i="26"/>
  <c r="I197" i="26" s="1"/>
  <c r="G628" i="26" s="1"/>
  <c r="H195" i="26"/>
  <c r="H196" i="26" s="1"/>
  <c r="G194" i="26"/>
  <c r="R194" i="26" s="1"/>
  <c r="B194" i="26"/>
  <c r="L188" i="26"/>
  <c r="L189" i="26" s="1"/>
  <c r="K187" i="26"/>
  <c r="K188" i="26" s="1"/>
  <c r="J186" i="26"/>
  <c r="J187" i="26" s="1"/>
  <c r="G562" i="26" s="1"/>
  <c r="I185" i="26"/>
  <c r="I186" i="26" s="1"/>
  <c r="G553" i="26" s="1"/>
  <c r="H184" i="26"/>
  <c r="H185" i="26" s="1"/>
  <c r="G183" i="26"/>
  <c r="B183" i="26"/>
  <c r="L177" i="26"/>
  <c r="L178" i="26" s="1"/>
  <c r="K176" i="26"/>
  <c r="K177" i="26" s="1"/>
  <c r="G506" i="26" s="1"/>
  <c r="H516" i="26" s="1"/>
  <c r="J175" i="26"/>
  <c r="J176" i="26" s="1"/>
  <c r="I174" i="26"/>
  <c r="I175" i="26" s="1"/>
  <c r="H173" i="26"/>
  <c r="H174" i="26" s="1"/>
  <c r="G172" i="26"/>
  <c r="G173" i="26" s="1"/>
  <c r="B172" i="26"/>
  <c r="L166" i="26"/>
  <c r="L167" i="26" s="1"/>
  <c r="G442" i="26" s="1"/>
  <c r="H448" i="26" s="1"/>
  <c r="K165" i="26"/>
  <c r="K166" i="26" s="1"/>
  <c r="G431" i="26" s="1"/>
  <c r="J164" i="26"/>
  <c r="J165" i="26" s="1"/>
  <c r="I163" i="26"/>
  <c r="I164" i="26" s="1"/>
  <c r="H162" i="26"/>
  <c r="H163" i="26" s="1"/>
  <c r="G161" i="26"/>
  <c r="R161" i="26" s="1"/>
  <c r="B161" i="26"/>
  <c r="B150" i="26"/>
  <c r="L144" i="26"/>
  <c r="L145" i="26" s="1"/>
  <c r="G356" i="26" s="1"/>
  <c r="H362" i="26" s="1"/>
  <c r="K143" i="26"/>
  <c r="K144" i="26" s="1"/>
  <c r="G345" i="26" s="1"/>
  <c r="H355" i="26" s="1"/>
  <c r="J142" i="26"/>
  <c r="J143" i="26" s="1"/>
  <c r="I141" i="26"/>
  <c r="I142" i="26" s="1"/>
  <c r="H140" i="26"/>
  <c r="H141" i="26" s="1"/>
  <c r="G139" i="26"/>
  <c r="R139" i="26" s="1"/>
  <c r="B139" i="26"/>
  <c r="L133" i="26"/>
  <c r="L134" i="26" s="1"/>
  <c r="G282" i="26" s="1"/>
  <c r="H288" i="26" s="1"/>
  <c r="K132" i="26"/>
  <c r="K133" i="26" s="1"/>
  <c r="G271" i="26" s="1"/>
  <c r="H281" i="26" s="1"/>
  <c r="J131" i="26"/>
  <c r="J132" i="26" s="1"/>
  <c r="I130" i="26"/>
  <c r="I131" i="26" s="1"/>
  <c r="H129" i="26"/>
  <c r="H130" i="26" s="1"/>
  <c r="G128" i="26"/>
  <c r="R128" i="26" s="1"/>
  <c r="B128" i="26"/>
  <c r="H125" i="26"/>
  <c r="I125" i="26" s="1"/>
  <c r="J125" i="26" s="1"/>
  <c r="K125" i="26" s="1"/>
  <c r="B111" i="26"/>
  <c r="H109" i="26"/>
  <c r="I109" i="26" s="1"/>
  <c r="J109" i="26" s="1"/>
  <c r="K109" i="26" s="1"/>
  <c r="L109" i="26" s="1"/>
  <c r="M109" i="26" s="1"/>
  <c r="N109" i="26" s="1"/>
  <c r="O109" i="26" s="1"/>
  <c r="P109" i="26" s="1"/>
  <c r="R98" i="26"/>
  <c r="R97" i="26"/>
  <c r="B97" i="26"/>
  <c r="R87" i="26"/>
  <c r="R86" i="26"/>
  <c r="B86" i="26"/>
  <c r="R76" i="26"/>
  <c r="R75" i="26"/>
  <c r="B75" i="26"/>
  <c r="R65" i="26"/>
  <c r="R64" i="26"/>
  <c r="B64" i="26"/>
  <c r="B53" i="26"/>
  <c r="R43" i="26"/>
  <c r="R42" i="26"/>
  <c r="B42" i="26"/>
  <c r="R32" i="26"/>
  <c r="R31" i="26"/>
  <c r="B31" i="26"/>
  <c r="H28" i="26"/>
  <c r="I28" i="26" s="1"/>
  <c r="J28" i="26" s="1"/>
  <c r="K28" i="26" s="1"/>
  <c r="L28" i="26" s="1"/>
  <c r="M28" i="26" s="1"/>
  <c r="N28" i="26" s="1"/>
  <c r="O28" i="26" s="1"/>
  <c r="P28" i="26" s="1"/>
  <c r="L23" i="26"/>
  <c r="K23" i="26"/>
  <c r="J23" i="26"/>
  <c r="I23" i="26"/>
  <c r="H23" i="26"/>
  <c r="G23" i="26"/>
  <c r="R19" i="26"/>
  <c r="H13" i="26"/>
  <c r="B7" i="26"/>
  <c r="B4" i="26"/>
  <c r="E2" i="26"/>
  <c r="D2" i="26"/>
  <c r="B2" i="26"/>
  <c r="L80" i="8"/>
  <c r="K80" i="8"/>
  <c r="N71" i="8"/>
  <c r="L63" i="8"/>
  <c r="L64" i="8" s="1"/>
  <c r="K41" i="8"/>
  <c r="B61" i="8" s="1"/>
  <c r="B78" i="8" s="1"/>
  <c r="B98" i="8" s="1"/>
  <c r="J41" i="8"/>
  <c r="B60" i="8" s="1"/>
  <c r="B77" i="8" s="1"/>
  <c r="B97" i="8" s="1"/>
  <c r="I41" i="8"/>
  <c r="B59" i="8" s="1"/>
  <c r="B76" i="8" s="1"/>
  <c r="B96" i="8" s="1"/>
  <c r="H41" i="8"/>
  <c r="B58" i="8" s="1"/>
  <c r="B75" i="8" s="1"/>
  <c r="B95" i="8" s="1"/>
  <c r="L33" i="8"/>
  <c r="P21" i="26" s="1"/>
  <c r="P203" i="26" s="1"/>
  <c r="K33" i="8"/>
  <c r="O21" i="26" s="1"/>
  <c r="O202" i="26" s="1"/>
  <c r="O203" i="26" s="1"/>
  <c r="J33" i="8"/>
  <c r="N21" i="26" s="1"/>
  <c r="N201" i="26" s="1"/>
  <c r="N202" i="26" s="1"/>
  <c r="G672" i="26" s="1"/>
  <c r="I33" i="8"/>
  <c r="M21" i="26" s="1"/>
  <c r="L32" i="8"/>
  <c r="P20" i="26" s="1"/>
  <c r="P192" i="26" s="1"/>
  <c r="K32" i="8"/>
  <c r="O20" i="26" s="1"/>
  <c r="O191" i="26" s="1"/>
  <c r="O192" i="26" s="1"/>
  <c r="J32" i="8"/>
  <c r="N20" i="26" s="1"/>
  <c r="N190" i="26" s="1"/>
  <c r="N191" i="26" s="1"/>
  <c r="G597" i="26" s="1"/>
  <c r="I32" i="8"/>
  <c r="M20" i="26" s="1"/>
  <c r="L30" i="8"/>
  <c r="P18" i="26" s="1"/>
  <c r="P170" i="26" s="1"/>
  <c r="K30" i="8"/>
  <c r="O18" i="26" s="1"/>
  <c r="O169" i="26" s="1"/>
  <c r="O170" i="26" s="1"/>
  <c r="J30" i="8"/>
  <c r="N18" i="26" s="1"/>
  <c r="N168" i="26" s="1"/>
  <c r="N169" i="26" s="1"/>
  <c r="G456" i="26" s="1"/>
  <c r="I30" i="8"/>
  <c r="L28" i="8"/>
  <c r="P16" i="26" s="1"/>
  <c r="P148" i="26" s="1"/>
  <c r="K28" i="8"/>
  <c r="O16" i="26" s="1"/>
  <c r="O147" i="26" s="1"/>
  <c r="O148" i="26" s="1"/>
  <c r="J28" i="8"/>
  <c r="N16" i="26" s="1"/>
  <c r="I28" i="8"/>
  <c r="M16" i="26" s="1"/>
  <c r="H26" i="8"/>
  <c r="H42" i="8" s="1"/>
  <c r="H59" i="8" s="1"/>
  <c r="H96" i="8" s="1"/>
  <c r="F26" i="8"/>
  <c r="F42" i="8" s="1"/>
  <c r="F57" i="8" s="1"/>
  <c r="F94" i="8" s="1"/>
  <c r="D26" i="8"/>
  <c r="D42" i="8" s="1"/>
  <c r="D55" i="8" s="1"/>
  <c r="N55" i="8" s="1"/>
  <c r="E26" i="8"/>
  <c r="E42" i="8" s="1"/>
  <c r="E56" i="8" s="1"/>
  <c r="N56" i="8" s="1"/>
  <c r="K17" i="8"/>
  <c r="J17" i="8"/>
  <c r="I17" i="8"/>
  <c r="H17" i="8"/>
  <c r="K8" i="8"/>
  <c r="J8" i="8"/>
  <c r="I8" i="8"/>
  <c r="H8" i="8"/>
  <c r="C22" i="20"/>
  <c r="K22" i="20" s="1"/>
  <c r="M36" i="20" s="1"/>
  <c r="D23" i="20"/>
  <c r="K23" i="20" s="1"/>
  <c r="E24" i="20"/>
  <c r="K24" i="20" s="1"/>
  <c r="K36" i="20"/>
  <c r="B56" i="20"/>
  <c r="H42" i="20"/>
  <c r="H29" i="20" s="1"/>
  <c r="F98" i="20"/>
  <c r="G98" i="20" s="1"/>
  <c r="H98" i="20" s="1"/>
  <c r="H93" i="20"/>
  <c r="G93" i="20"/>
  <c r="F93" i="20"/>
  <c r="K27" i="20"/>
  <c r="K26" i="20"/>
  <c r="K25" i="20"/>
  <c r="B26" i="20"/>
  <c r="B40" i="20" s="1"/>
  <c r="I20" i="20"/>
  <c r="I34" i="20" s="1"/>
  <c r="I50" i="20" s="1"/>
  <c r="H20" i="20"/>
  <c r="H34" i="20" s="1"/>
  <c r="H50" i="20" s="1"/>
  <c r="C20" i="20"/>
  <c r="D20" i="20"/>
  <c r="E20" i="20"/>
  <c r="F20" i="20"/>
  <c r="G20" i="20"/>
  <c r="K21" i="20"/>
  <c r="B21" i="20"/>
  <c r="B22" i="20"/>
  <c r="B23" i="20"/>
  <c r="B24" i="20"/>
  <c r="B25" i="20"/>
  <c r="B27" i="20"/>
  <c r="I42" i="20"/>
  <c r="I29" i="20" s="1"/>
  <c r="I57" i="20"/>
  <c r="H64" i="20"/>
  <c r="H69" i="20"/>
  <c r="H76" i="20"/>
  <c r="H84" i="20"/>
  <c r="N4" i="20"/>
  <c r="O4" i="20"/>
  <c r="P4" i="20"/>
  <c r="R98" i="19"/>
  <c r="R97" i="19"/>
  <c r="R87" i="19"/>
  <c r="R86" i="19"/>
  <c r="R76" i="19"/>
  <c r="R75" i="19"/>
  <c r="R65" i="19"/>
  <c r="R64" i="19"/>
  <c r="R54" i="19"/>
  <c r="R53" i="19"/>
  <c r="R43" i="19"/>
  <c r="R42" i="19"/>
  <c r="R32" i="19"/>
  <c r="G728" i="19"/>
  <c r="H728" i="19" s="1"/>
  <c r="N106" i="19" s="1"/>
  <c r="N203" i="19" s="1"/>
  <c r="M200" i="19"/>
  <c r="M201" i="19" s="1"/>
  <c r="L199" i="19"/>
  <c r="L200" i="19" s="1"/>
  <c r="K198" i="19"/>
  <c r="K199" i="19" s="1"/>
  <c r="G703" i="19" s="1"/>
  <c r="J197" i="19"/>
  <c r="J198" i="19" s="1"/>
  <c r="I196" i="19"/>
  <c r="I197" i="19" s="1"/>
  <c r="H195" i="19"/>
  <c r="G194" i="19"/>
  <c r="R194" i="19" s="1"/>
  <c r="M189" i="19"/>
  <c r="M190" i="19" s="1"/>
  <c r="L188" i="19"/>
  <c r="L189" i="19" s="1"/>
  <c r="K187" i="19"/>
  <c r="K188" i="19" s="1"/>
  <c r="G628" i="19" s="1"/>
  <c r="J186" i="19"/>
  <c r="I185" i="19"/>
  <c r="H184" i="19"/>
  <c r="G183" i="19"/>
  <c r="R183" i="19" s="1"/>
  <c r="L177" i="19"/>
  <c r="L178" i="19" s="1"/>
  <c r="K177" i="19"/>
  <c r="J175" i="19"/>
  <c r="I174" i="19"/>
  <c r="H173" i="19"/>
  <c r="G172" i="19"/>
  <c r="R172" i="19" s="1"/>
  <c r="G512" i="19"/>
  <c r="H512" i="19" s="1"/>
  <c r="N73" i="19" s="1"/>
  <c r="N170" i="19" s="1"/>
  <c r="M167" i="19"/>
  <c r="L166" i="19"/>
  <c r="L167" i="19" s="1"/>
  <c r="K165" i="19"/>
  <c r="K166" i="19" s="1"/>
  <c r="G487" i="19" s="1"/>
  <c r="J164" i="19"/>
  <c r="I163" i="19"/>
  <c r="H162" i="19"/>
  <c r="G161" i="19"/>
  <c r="R161" i="19" s="1"/>
  <c r="L155" i="19"/>
  <c r="L156" i="19" s="1"/>
  <c r="K154" i="19"/>
  <c r="K155" i="19" s="1"/>
  <c r="J153" i="19"/>
  <c r="I152" i="19"/>
  <c r="H151" i="19"/>
  <c r="G150" i="19"/>
  <c r="R150" i="19" s="1"/>
  <c r="G370" i="19"/>
  <c r="M145" i="19"/>
  <c r="M146" i="19" s="1"/>
  <c r="L144" i="19"/>
  <c r="L145" i="19" s="1"/>
  <c r="K143" i="19"/>
  <c r="K144" i="19" s="1"/>
  <c r="J142" i="19"/>
  <c r="I141" i="19"/>
  <c r="H140" i="19"/>
  <c r="G139" i="19"/>
  <c r="R139" i="19" s="1"/>
  <c r="M134" i="19"/>
  <c r="M135" i="19" s="1"/>
  <c r="L133" i="19"/>
  <c r="L134" i="19" s="1"/>
  <c r="R19" i="19"/>
  <c r="I726" i="19"/>
  <c r="G726" i="19"/>
  <c r="I719" i="19"/>
  <c r="G719" i="19"/>
  <c r="I708" i="19"/>
  <c r="G708" i="19"/>
  <c r="I698" i="19"/>
  <c r="G698" i="19"/>
  <c r="I651" i="19"/>
  <c r="G651" i="19"/>
  <c r="I644" i="19"/>
  <c r="G644" i="19"/>
  <c r="I633" i="19"/>
  <c r="G633" i="19"/>
  <c r="I623" i="19"/>
  <c r="G623" i="19"/>
  <c r="I567" i="19"/>
  <c r="G567" i="19"/>
  <c r="I557" i="19"/>
  <c r="G557" i="19"/>
  <c r="I510" i="19"/>
  <c r="G510" i="19"/>
  <c r="I503" i="19"/>
  <c r="G503" i="19"/>
  <c r="I492" i="19"/>
  <c r="G492" i="19"/>
  <c r="I482" i="19"/>
  <c r="G482" i="19"/>
  <c r="I436" i="19"/>
  <c r="G436" i="19"/>
  <c r="I425" i="19"/>
  <c r="G425" i="19"/>
  <c r="I415" i="19"/>
  <c r="G415" i="19"/>
  <c r="I368" i="19"/>
  <c r="G368" i="19"/>
  <c r="I361" i="19"/>
  <c r="G361" i="19"/>
  <c r="I350" i="19"/>
  <c r="G350" i="19"/>
  <c r="I340" i="19"/>
  <c r="G340" i="19"/>
  <c r="I294" i="19"/>
  <c r="G294" i="19"/>
  <c r="I287" i="19"/>
  <c r="G287" i="19"/>
  <c r="I276" i="19"/>
  <c r="G276" i="19"/>
  <c r="B301" i="19"/>
  <c r="B207" i="19"/>
  <c r="B194" i="19"/>
  <c r="B183" i="19"/>
  <c r="B172" i="19"/>
  <c r="B161" i="19"/>
  <c r="B150" i="19"/>
  <c r="B139" i="19"/>
  <c r="B128" i="19"/>
  <c r="B111" i="19"/>
  <c r="B97" i="19"/>
  <c r="B86" i="19"/>
  <c r="B75" i="19"/>
  <c r="B64" i="19"/>
  <c r="B53" i="19"/>
  <c r="B42" i="19"/>
  <c r="I266" i="19"/>
  <c r="G266" i="19"/>
  <c r="M23" i="19"/>
  <c r="L23" i="19"/>
  <c r="D63" i="8" l="1"/>
  <c r="E63" i="8"/>
  <c r="N59" i="8"/>
  <c r="F63" i="8"/>
  <c r="D92" i="8"/>
  <c r="N57" i="8"/>
  <c r="E93" i="8"/>
  <c r="N23" i="26"/>
  <c r="M15" i="26"/>
  <c r="M134" i="26" s="1"/>
  <c r="M135" i="26" s="1"/>
  <c r="G289" i="26" s="1"/>
  <c r="H295" i="26" s="1"/>
  <c r="M18" i="26"/>
  <c r="G573" i="19"/>
  <c r="H579" i="19" s="1"/>
  <c r="L83" i="19" s="1"/>
  <c r="R83" i="19" s="1"/>
  <c r="G431" i="19"/>
  <c r="H431" i="19" s="1"/>
  <c r="M168" i="19"/>
  <c r="G356" i="19"/>
  <c r="H362" i="19" s="1"/>
  <c r="L50" i="19" s="1"/>
  <c r="G498" i="19"/>
  <c r="H498" i="19" s="1"/>
  <c r="P23" i="26"/>
  <c r="P24" i="26" s="1"/>
  <c r="P137" i="26"/>
  <c r="R16" i="26"/>
  <c r="R20" i="26"/>
  <c r="R21" i="26"/>
  <c r="N146" i="26"/>
  <c r="N147" i="26" s="1"/>
  <c r="G370" i="26" s="1"/>
  <c r="H370" i="26" s="1"/>
  <c r="N51" i="26" s="1"/>
  <c r="N148" i="26" s="1"/>
  <c r="O23" i="26"/>
  <c r="M189" i="26"/>
  <c r="M190" i="26" s="1"/>
  <c r="G590" i="26" s="1"/>
  <c r="H596" i="26" s="1"/>
  <c r="M145" i="26"/>
  <c r="M146" i="26" s="1"/>
  <c r="G363" i="26" s="1"/>
  <c r="H369" i="26" s="1"/>
  <c r="M200" i="26"/>
  <c r="M201" i="26" s="1"/>
  <c r="G665" i="26" s="1"/>
  <c r="H671" i="26" s="1"/>
  <c r="G562" i="19"/>
  <c r="H572" i="19" s="1"/>
  <c r="K82" i="19" s="1"/>
  <c r="F18" i="30"/>
  <c r="F29" i="30" s="1"/>
  <c r="F42" i="30" s="1"/>
  <c r="B22" i="30"/>
  <c r="B33" i="30" s="1"/>
  <c r="B46" i="30" s="1"/>
  <c r="K13" i="29"/>
  <c r="B100" i="29"/>
  <c r="B124" i="29"/>
  <c r="B43" i="29"/>
  <c r="B61" i="29"/>
  <c r="B34" i="29"/>
  <c r="B79" i="29"/>
  <c r="B115" i="29"/>
  <c r="B133" i="29"/>
  <c r="B169" i="29"/>
  <c r="B180" i="29"/>
  <c r="B142" i="29"/>
  <c r="B88" i="29"/>
  <c r="B151" i="29"/>
  <c r="B70" i="29"/>
  <c r="B160" i="29"/>
  <c r="B52" i="29"/>
  <c r="K47" i="13"/>
  <c r="H63" i="8"/>
  <c r="L24" i="26" s="1"/>
  <c r="J24" i="26"/>
  <c r="H24" i="26"/>
  <c r="I24" i="26"/>
  <c r="G222" i="26"/>
  <c r="G583" i="26"/>
  <c r="H589" i="26" s="1"/>
  <c r="H431" i="26"/>
  <c r="K70" i="26" s="1"/>
  <c r="K167" i="26" s="1"/>
  <c r="H441" i="26"/>
  <c r="H370" i="19"/>
  <c r="H703" i="19"/>
  <c r="K103" i="19" s="1"/>
  <c r="K200" i="19" s="1"/>
  <c r="H713" i="19"/>
  <c r="K104" i="19" s="1"/>
  <c r="H487" i="19"/>
  <c r="K70" i="19" s="1"/>
  <c r="K167" i="19" s="1"/>
  <c r="H497" i="19"/>
  <c r="K71" i="19" s="1"/>
  <c r="H628" i="19"/>
  <c r="I628" i="19" s="1"/>
  <c r="G638" i="19" s="1"/>
  <c r="H638" i="19"/>
  <c r="K93" i="19" s="1"/>
  <c r="K331" i="26"/>
  <c r="K633" i="26"/>
  <c r="K558" i="26"/>
  <c r="K484" i="26"/>
  <c r="K477" i="26"/>
  <c r="J409" i="26"/>
  <c r="J402" i="26"/>
  <c r="K625" i="26"/>
  <c r="K492" i="26"/>
  <c r="J397" i="26"/>
  <c r="J618" i="26"/>
  <c r="J550" i="26"/>
  <c r="J633" i="26"/>
  <c r="J613" i="26"/>
  <c r="J558" i="26"/>
  <c r="J538" i="26"/>
  <c r="J484" i="26"/>
  <c r="J477" i="26"/>
  <c r="K417" i="26"/>
  <c r="K618" i="26"/>
  <c r="K550" i="26"/>
  <c r="K543" i="26"/>
  <c r="J417" i="26"/>
  <c r="J625" i="26"/>
  <c r="J543" i="26"/>
  <c r="J492" i="26"/>
  <c r="J472" i="26"/>
  <c r="K409" i="26"/>
  <c r="K402" i="26"/>
  <c r="G140" i="26"/>
  <c r="R140" i="26" s="1"/>
  <c r="G162" i="26"/>
  <c r="G398" i="26" s="1"/>
  <c r="I398" i="26" s="1"/>
  <c r="J398" i="26" s="1"/>
  <c r="R172" i="26"/>
  <c r="K257" i="26"/>
  <c r="G129" i="26"/>
  <c r="R129" i="26" s="1"/>
  <c r="G195" i="26"/>
  <c r="G614" i="26" s="1"/>
  <c r="I614" i="26" s="1"/>
  <c r="J614" i="26" s="1"/>
  <c r="J237" i="26"/>
  <c r="J257" i="26"/>
  <c r="J316" i="26"/>
  <c r="J323" i="26"/>
  <c r="K323" i="26"/>
  <c r="J242" i="26"/>
  <c r="J249" i="26"/>
  <c r="J311" i="26"/>
  <c r="J331" i="26"/>
  <c r="K316" i="26"/>
  <c r="K242" i="26"/>
  <c r="K249" i="26"/>
  <c r="I26" i="8"/>
  <c r="B195" i="26"/>
  <c r="B173" i="26"/>
  <c r="B162" i="26"/>
  <c r="B151" i="26"/>
  <c r="B140" i="26"/>
  <c r="B129" i="26"/>
  <c r="B208" i="26"/>
  <c r="B184" i="26"/>
  <c r="B98" i="26"/>
  <c r="G412" i="26"/>
  <c r="H442" i="26"/>
  <c r="L71" i="26" s="1"/>
  <c r="L168" i="26" s="1"/>
  <c r="G184" i="26"/>
  <c r="R183" i="26"/>
  <c r="G658" i="26"/>
  <c r="H664" i="26" s="1"/>
  <c r="I13" i="26"/>
  <c r="B65" i="26"/>
  <c r="B87" i="26"/>
  <c r="B112" i="26"/>
  <c r="P125" i="26"/>
  <c r="L125" i="26"/>
  <c r="M125" i="26" s="1"/>
  <c r="N125" i="26" s="1"/>
  <c r="O125" i="26" s="1"/>
  <c r="G252" i="26"/>
  <c r="H282" i="26"/>
  <c r="L38" i="26" s="1"/>
  <c r="L135" i="26" s="1"/>
  <c r="G487" i="26"/>
  <c r="G517" i="26"/>
  <c r="H523" i="26" s="1"/>
  <c r="H672" i="26"/>
  <c r="N106" i="26" s="1"/>
  <c r="N203" i="26" s="1"/>
  <c r="B54" i="26"/>
  <c r="G335" i="26"/>
  <c r="B32" i="26"/>
  <c r="B76" i="26"/>
  <c r="G326" i="26"/>
  <c r="H356" i="26"/>
  <c r="L49" i="26" s="1"/>
  <c r="L146" i="26" s="1"/>
  <c r="G404" i="26"/>
  <c r="G421" i="26"/>
  <c r="H456" i="26"/>
  <c r="N73" i="26" s="1"/>
  <c r="N170" i="26" s="1"/>
  <c r="G473" i="26"/>
  <c r="I473" i="26" s="1"/>
  <c r="J473" i="26" s="1"/>
  <c r="R173" i="26"/>
  <c r="G545" i="26"/>
  <c r="G572" i="26"/>
  <c r="H582" i="26" s="1"/>
  <c r="G318" i="26"/>
  <c r="B43" i="26"/>
  <c r="G244" i="26"/>
  <c r="G261" i="26"/>
  <c r="H296" i="26"/>
  <c r="N40" i="26" s="1"/>
  <c r="N137" i="26" s="1"/>
  <c r="G479" i="26"/>
  <c r="G496" i="26"/>
  <c r="G620" i="26"/>
  <c r="H271" i="26"/>
  <c r="K37" i="26" s="1"/>
  <c r="K134" i="26" s="1"/>
  <c r="H345" i="26"/>
  <c r="K48" i="26" s="1"/>
  <c r="K145" i="26" s="1"/>
  <c r="H506" i="26"/>
  <c r="K81" i="26" s="1"/>
  <c r="K178" i="26" s="1"/>
  <c r="H597" i="26"/>
  <c r="N95" i="26" s="1"/>
  <c r="N192" i="26" s="1"/>
  <c r="G647" i="26"/>
  <c r="H657" i="26" s="1"/>
  <c r="I52" i="8"/>
  <c r="I69" i="8" s="1"/>
  <c r="I89" i="8" s="1"/>
  <c r="J52" i="8"/>
  <c r="J69" i="8" s="1"/>
  <c r="J89" i="8" s="1"/>
  <c r="K52" i="8"/>
  <c r="K69" i="8" s="1"/>
  <c r="K89" i="8" s="1"/>
  <c r="G26" i="8"/>
  <c r="G42" i="8" s="1"/>
  <c r="G58" i="8" s="1"/>
  <c r="J26" i="8"/>
  <c r="J42" i="8" s="1"/>
  <c r="J61" i="8" s="1"/>
  <c r="J98" i="8" s="1"/>
  <c r="H52" i="8"/>
  <c r="H69" i="8" s="1"/>
  <c r="H89" i="8" s="1"/>
  <c r="L26" i="8"/>
  <c r="L42" i="8" s="1"/>
  <c r="K26" i="8"/>
  <c r="K42" i="8" s="1"/>
  <c r="K62" i="8" s="1"/>
  <c r="K99" i="8" s="1"/>
  <c r="H57" i="20"/>
  <c r="G41" i="20"/>
  <c r="G42" i="20" s="1"/>
  <c r="G29" i="20" s="1"/>
  <c r="E28" i="20"/>
  <c r="D28" i="20"/>
  <c r="K28" i="20"/>
  <c r="C28" i="20"/>
  <c r="G653" i="19"/>
  <c r="H653" i="19" s="1"/>
  <c r="N95" i="19" s="1"/>
  <c r="N192" i="19" s="1"/>
  <c r="G289" i="19"/>
  <c r="G363" i="19"/>
  <c r="G296" i="19"/>
  <c r="H296" i="19" s="1"/>
  <c r="N40" i="19" s="1"/>
  <c r="N137" i="19" s="1"/>
  <c r="G646" i="19"/>
  <c r="G345" i="19"/>
  <c r="G282" i="19"/>
  <c r="G721" i="19"/>
  <c r="G714" i="19"/>
  <c r="G639" i="19"/>
  <c r="I512" i="19"/>
  <c r="G420" i="19"/>
  <c r="I728" i="19"/>
  <c r="K66" i="7"/>
  <c r="J65" i="7"/>
  <c r="J66" i="7" s="1"/>
  <c r="I64" i="7"/>
  <c r="I65" i="7" s="1"/>
  <c r="K48" i="7"/>
  <c r="B43" i="7"/>
  <c r="B63" i="7" s="1"/>
  <c r="K37" i="7"/>
  <c r="K57" i="7" s="1"/>
  <c r="N29" i="7"/>
  <c r="N28" i="7"/>
  <c r="N26" i="7"/>
  <c r="N25" i="7"/>
  <c r="N24" i="7"/>
  <c r="N23" i="7"/>
  <c r="N22" i="7"/>
  <c r="K30" i="7"/>
  <c r="N30" i="7" s="1"/>
  <c r="N27" i="7"/>
  <c r="L31" i="7"/>
  <c r="J31" i="7"/>
  <c r="N24" i="19" s="1"/>
  <c r="I31" i="7"/>
  <c r="M24" i="19" s="1"/>
  <c r="G31" i="7"/>
  <c r="F31" i="7"/>
  <c r="E31" i="7"/>
  <c r="D31" i="7"/>
  <c r="B29" i="7"/>
  <c r="B46" i="7" s="1"/>
  <c r="B66" i="7" s="1"/>
  <c r="B28" i="7"/>
  <c r="B45" i="7" s="1"/>
  <c r="B65" i="7" s="1"/>
  <c r="B27" i="7"/>
  <c r="B44" i="7" s="1"/>
  <c r="B64" i="7" s="1"/>
  <c r="B26" i="7"/>
  <c r="H20" i="7"/>
  <c r="H37" i="7" s="1"/>
  <c r="H57" i="7" s="1"/>
  <c r="I20" i="7"/>
  <c r="I37" i="7" s="1"/>
  <c r="I57" i="7" s="1"/>
  <c r="J20" i="7"/>
  <c r="J37" i="7" s="1"/>
  <c r="J57" i="7" s="1"/>
  <c r="E119" i="5"/>
  <c r="D119" i="5"/>
  <c r="E116" i="5"/>
  <c r="D116" i="5"/>
  <c r="D71" i="5"/>
  <c r="E180" i="5"/>
  <c r="D180" i="5"/>
  <c r="E182" i="5"/>
  <c r="D182" i="5"/>
  <c r="E38" i="5"/>
  <c r="E107" i="5"/>
  <c r="E103" i="5"/>
  <c r="E14" i="5"/>
  <c r="E207" i="5" s="1"/>
  <c r="E13" i="5"/>
  <c r="E206" i="5" s="1"/>
  <c r="I42" i="8" l="1"/>
  <c r="I60" i="8" s="1"/>
  <c r="G95" i="8"/>
  <c r="G63" i="8"/>
  <c r="K24" i="26" s="1"/>
  <c r="N58" i="8"/>
  <c r="R15" i="26"/>
  <c r="K63" i="8"/>
  <c r="K64" i="8" s="1"/>
  <c r="N62" i="8"/>
  <c r="N61" i="8"/>
  <c r="J63" i="8"/>
  <c r="N24" i="26" s="1"/>
  <c r="H573" i="19"/>
  <c r="I573" i="19" s="1"/>
  <c r="G579" i="19" s="1"/>
  <c r="I579" i="19" s="1"/>
  <c r="M23" i="26"/>
  <c r="R23" i="26" s="1"/>
  <c r="R18" i="26"/>
  <c r="M167" i="26"/>
  <c r="M168" i="26" s="1"/>
  <c r="G449" i="26" s="1"/>
  <c r="H455" i="26" s="1"/>
  <c r="O24" i="26"/>
  <c r="K67" i="7"/>
  <c r="K31" i="7"/>
  <c r="K32" i="7" s="1"/>
  <c r="P24" i="19"/>
  <c r="K201" i="19"/>
  <c r="I370" i="19"/>
  <c r="N51" i="19"/>
  <c r="N148" i="19" s="1"/>
  <c r="H356" i="19"/>
  <c r="K168" i="19"/>
  <c r="I498" i="19"/>
  <c r="G504" i="19" s="1"/>
  <c r="L71" i="19"/>
  <c r="L168" i="19" s="1"/>
  <c r="I431" i="19"/>
  <c r="G437" i="19" s="1"/>
  <c r="L60" i="19"/>
  <c r="L157" i="19" s="1"/>
  <c r="H437" i="19"/>
  <c r="L61" i="19" s="1"/>
  <c r="G505" i="19"/>
  <c r="H504" i="19"/>
  <c r="L72" i="19" s="1"/>
  <c r="E231" i="5"/>
  <c r="D23" i="4" s="1"/>
  <c r="D29" i="4" s="1"/>
  <c r="E230" i="5"/>
  <c r="D26" i="4" s="1"/>
  <c r="E225" i="5"/>
  <c r="D20" i="4" s="1"/>
  <c r="H562" i="19"/>
  <c r="I562" i="19" s="1"/>
  <c r="G572" i="19" s="1"/>
  <c r="I487" i="19"/>
  <c r="G497" i="19" s="1"/>
  <c r="I497" i="19" s="1"/>
  <c r="K92" i="19"/>
  <c r="K189" i="19" s="1"/>
  <c r="K190" i="19" s="1"/>
  <c r="L13" i="29"/>
  <c r="B80" i="29"/>
  <c r="B125" i="29"/>
  <c r="B71" i="29"/>
  <c r="B161" i="29"/>
  <c r="B53" i="29"/>
  <c r="B35" i="29"/>
  <c r="B44" i="29"/>
  <c r="B170" i="29"/>
  <c r="B181" i="29"/>
  <c r="B89" i="29"/>
  <c r="B152" i="29"/>
  <c r="B134" i="29"/>
  <c r="B143" i="29"/>
  <c r="B62" i="29"/>
  <c r="B101" i="29"/>
  <c r="B116" i="29"/>
  <c r="E229" i="5"/>
  <c r="D25" i="4" s="1"/>
  <c r="E228" i="5"/>
  <c r="D24" i="4" s="1"/>
  <c r="E224" i="5"/>
  <c r="D19" i="4" s="1"/>
  <c r="E227" i="5"/>
  <c r="D22" i="4" s="1"/>
  <c r="E226" i="5"/>
  <c r="D21" i="4" s="1"/>
  <c r="R162" i="26"/>
  <c r="G312" i="26"/>
  <c r="I312" i="26" s="1"/>
  <c r="J312" i="26" s="1"/>
  <c r="K312" i="26" s="1"/>
  <c r="G317" i="26" s="1"/>
  <c r="L83" i="26"/>
  <c r="R83" i="26" s="1"/>
  <c r="R195" i="26"/>
  <c r="I431" i="26"/>
  <c r="G441" i="26" s="1"/>
  <c r="H583" i="26"/>
  <c r="L93" i="26" s="1"/>
  <c r="L190" i="26" s="1"/>
  <c r="H282" i="19"/>
  <c r="L38" i="19" s="1"/>
  <c r="L135" i="19" s="1"/>
  <c r="H288" i="19"/>
  <c r="L39" i="19" s="1"/>
  <c r="H289" i="19"/>
  <c r="H295" i="19"/>
  <c r="H345" i="19"/>
  <c r="I345" i="19" s="1"/>
  <c r="G355" i="19" s="1"/>
  <c r="H355" i="19"/>
  <c r="K49" i="19" s="1"/>
  <c r="H639" i="19"/>
  <c r="L93" i="19" s="1"/>
  <c r="L190" i="19" s="1"/>
  <c r="H645" i="19"/>
  <c r="L94" i="19" s="1"/>
  <c r="H646" i="19"/>
  <c r="M94" i="19" s="1"/>
  <c r="M191" i="19" s="1"/>
  <c r="H652" i="19"/>
  <c r="I703" i="19"/>
  <c r="G713" i="19" s="1"/>
  <c r="H420" i="19"/>
  <c r="I420" i="19" s="1"/>
  <c r="G430" i="19" s="1"/>
  <c r="H430" i="19"/>
  <c r="K60" i="19" s="1"/>
  <c r="H721" i="19"/>
  <c r="M105" i="19" s="1"/>
  <c r="M202" i="19" s="1"/>
  <c r="H727" i="19"/>
  <c r="M106" i="19" s="1"/>
  <c r="R106" i="19" s="1"/>
  <c r="H714" i="19"/>
  <c r="L104" i="19" s="1"/>
  <c r="L201" i="19" s="1"/>
  <c r="H720" i="19"/>
  <c r="L105" i="19" s="1"/>
  <c r="H363" i="19"/>
  <c r="H369" i="19"/>
  <c r="M51" i="19" s="1"/>
  <c r="G238" i="26"/>
  <c r="I238" i="26" s="1"/>
  <c r="J238" i="26" s="1"/>
  <c r="K238" i="26" s="1"/>
  <c r="G243" i="26" s="1"/>
  <c r="I370" i="26"/>
  <c r="I506" i="26"/>
  <c r="G516" i="26" s="1"/>
  <c r="I345" i="26"/>
  <c r="G355" i="26" s="1"/>
  <c r="K49" i="26" s="1"/>
  <c r="K146" i="26" s="1"/>
  <c r="I271" i="26"/>
  <c r="G281" i="26" s="1"/>
  <c r="I296" i="26"/>
  <c r="I456" i="26"/>
  <c r="I672" i="26"/>
  <c r="K614" i="26"/>
  <c r="G619" i="26" s="1"/>
  <c r="G99" i="26"/>
  <c r="K398" i="26"/>
  <c r="G403" i="26" s="1"/>
  <c r="G66" i="26"/>
  <c r="H363" i="26"/>
  <c r="M50" i="26" s="1"/>
  <c r="M147" i="26" s="1"/>
  <c r="H590" i="26"/>
  <c r="M94" i="26" s="1"/>
  <c r="M191" i="26" s="1"/>
  <c r="I597" i="26"/>
  <c r="K82" i="26"/>
  <c r="K179" i="26" s="1"/>
  <c r="K71" i="26"/>
  <c r="K168" i="26" s="1"/>
  <c r="H665" i="26"/>
  <c r="M105" i="26" s="1"/>
  <c r="M202" i="26" s="1"/>
  <c r="I356" i="26"/>
  <c r="G362" i="26" s="1"/>
  <c r="H289" i="26"/>
  <c r="M39" i="26" s="1"/>
  <c r="M136" i="26" s="1"/>
  <c r="H517" i="26"/>
  <c r="L82" i="26" s="1"/>
  <c r="L179" i="26" s="1"/>
  <c r="I282" i="26"/>
  <c r="G288" i="26" s="1"/>
  <c r="H658" i="26"/>
  <c r="L104" i="26" s="1"/>
  <c r="L201" i="26" s="1"/>
  <c r="G539" i="26"/>
  <c r="I539" i="26" s="1"/>
  <c r="J539" i="26" s="1"/>
  <c r="R184" i="26"/>
  <c r="H647" i="26"/>
  <c r="K103" i="26" s="1"/>
  <c r="K200" i="26" s="1"/>
  <c r="H572" i="26"/>
  <c r="K92" i="26" s="1"/>
  <c r="K189" i="26" s="1"/>
  <c r="K473" i="26"/>
  <c r="G478" i="26" s="1"/>
  <c r="G77" i="26"/>
  <c r="B174" i="26"/>
  <c r="B163" i="26"/>
  <c r="B152" i="26"/>
  <c r="B141" i="26"/>
  <c r="B130" i="26"/>
  <c r="B196" i="26"/>
  <c r="B185" i="26"/>
  <c r="B113" i="26"/>
  <c r="B209" i="26"/>
  <c r="B88" i="26"/>
  <c r="B66" i="26"/>
  <c r="B55" i="26"/>
  <c r="J13" i="26"/>
  <c r="B77" i="26"/>
  <c r="B33" i="26"/>
  <c r="B99" i="26"/>
  <c r="B44" i="26"/>
  <c r="I442" i="26"/>
  <c r="G448" i="26" s="1"/>
  <c r="I653" i="19"/>
  <c r="I296" i="19"/>
  <c r="H31" i="7"/>
  <c r="L24" i="19" s="1"/>
  <c r="H64" i="7"/>
  <c r="I638" i="19"/>
  <c r="L3" i="8"/>
  <c r="G3" i="8"/>
  <c r="F3" i="8"/>
  <c r="E3" i="8"/>
  <c r="D3" i="8"/>
  <c r="C3" i="8"/>
  <c r="J70" i="25"/>
  <c r="I70" i="25"/>
  <c r="I65" i="25"/>
  <c r="L70" i="25"/>
  <c r="K70" i="25"/>
  <c r="H70" i="25"/>
  <c r="G70" i="25"/>
  <c r="F70" i="25"/>
  <c r="J65" i="25"/>
  <c r="H65" i="25"/>
  <c r="G65" i="25"/>
  <c r="F65" i="25"/>
  <c r="L84" i="20"/>
  <c r="K84" i="20"/>
  <c r="J84" i="20"/>
  <c r="I84" i="20"/>
  <c r="G84" i="20"/>
  <c r="F84" i="20"/>
  <c r="L76" i="20"/>
  <c r="K76" i="20"/>
  <c r="J76" i="20"/>
  <c r="I76" i="20"/>
  <c r="G76" i="20"/>
  <c r="F76" i="20"/>
  <c r="L69" i="20"/>
  <c r="K69" i="20"/>
  <c r="J69" i="20"/>
  <c r="I69" i="20"/>
  <c r="G69" i="20"/>
  <c r="F69" i="20"/>
  <c r="J64" i="20"/>
  <c r="I64" i="20"/>
  <c r="G64" i="20"/>
  <c r="F64" i="20"/>
  <c r="M689" i="19"/>
  <c r="L689" i="19"/>
  <c r="K689" i="19"/>
  <c r="J689" i="19"/>
  <c r="I689" i="19"/>
  <c r="H689" i="19"/>
  <c r="G689" i="19"/>
  <c r="M681" i="19"/>
  <c r="L681" i="19"/>
  <c r="K681" i="19"/>
  <c r="J681" i="19"/>
  <c r="I681" i="19"/>
  <c r="H681" i="19"/>
  <c r="G681" i="19"/>
  <c r="M674" i="19"/>
  <c r="L674" i="19"/>
  <c r="K674" i="19"/>
  <c r="J674" i="19"/>
  <c r="I674" i="19"/>
  <c r="H674" i="19"/>
  <c r="G674" i="19"/>
  <c r="K669" i="19"/>
  <c r="J669" i="19"/>
  <c r="I669" i="19"/>
  <c r="H669" i="19"/>
  <c r="G669" i="19"/>
  <c r="M614" i="19"/>
  <c r="L614" i="19"/>
  <c r="K614" i="19"/>
  <c r="J614" i="19"/>
  <c r="I614" i="19"/>
  <c r="H614" i="19"/>
  <c r="G614" i="19"/>
  <c r="M606" i="19"/>
  <c r="L606" i="19"/>
  <c r="K606" i="19"/>
  <c r="J606" i="19"/>
  <c r="I606" i="19"/>
  <c r="H606" i="19"/>
  <c r="G606" i="19"/>
  <c r="M599" i="19"/>
  <c r="L599" i="19"/>
  <c r="K599" i="19"/>
  <c r="J599" i="19"/>
  <c r="I599" i="19"/>
  <c r="H599" i="19"/>
  <c r="G599" i="19"/>
  <c r="K594" i="19"/>
  <c r="J594" i="19"/>
  <c r="I594" i="19"/>
  <c r="H594" i="19"/>
  <c r="G594" i="19"/>
  <c r="M548" i="19"/>
  <c r="L548" i="19"/>
  <c r="K548" i="19"/>
  <c r="J548" i="19"/>
  <c r="I548" i="19"/>
  <c r="H548" i="19"/>
  <c r="G548" i="19"/>
  <c r="M540" i="19"/>
  <c r="L540" i="19"/>
  <c r="K540" i="19"/>
  <c r="J540" i="19"/>
  <c r="I540" i="19"/>
  <c r="H540" i="19"/>
  <c r="G540" i="19"/>
  <c r="M533" i="19"/>
  <c r="L533" i="19"/>
  <c r="K533" i="19"/>
  <c r="J533" i="19"/>
  <c r="I533" i="19"/>
  <c r="H533" i="19"/>
  <c r="G533" i="19"/>
  <c r="K528" i="19"/>
  <c r="J528" i="19"/>
  <c r="I528" i="19"/>
  <c r="H528" i="19"/>
  <c r="G528" i="19"/>
  <c r="M473" i="19"/>
  <c r="L473" i="19"/>
  <c r="K473" i="19"/>
  <c r="J473" i="19"/>
  <c r="I473" i="19"/>
  <c r="H473" i="19"/>
  <c r="G473" i="19"/>
  <c r="M465" i="19"/>
  <c r="L465" i="19"/>
  <c r="K465" i="19"/>
  <c r="J465" i="19"/>
  <c r="I465" i="19"/>
  <c r="H465" i="19"/>
  <c r="G465" i="19"/>
  <c r="M458" i="19"/>
  <c r="L458" i="19"/>
  <c r="K458" i="19"/>
  <c r="J458" i="19"/>
  <c r="I458" i="19"/>
  <c r="H458" i="19"/>
  <c r="G458" i="19"/>
  <c r="K453" i="19"/>
  <c r="J453" i="19"/>
  <c r="I453" i="19"/>
  <c r="H453" i="19"/>
  <c r="G453" i="19"/>
  <c r="M406" i="19"/>
  <c r="L406" i="19"/>
  <c r="K406" i="19"/>
  <c r="J406" i="19"/>
  <c r="I406" i="19"/>
  <c r="H406" i="19"/>
  <c r="G406" i="19"/>
  <c r="M398" i="19"/>
  <c r="L398" i="19"/>
  <c r="K398" i="19"/>
  <c r="J398" i="19"/>
  <c r="I398" i="19"/>
  <c r="H398" i="19"/>
  <c r="G398" i="19"/>
  <c r="M391" i="19"/>
  <c r="L391" i="19"/>
  <c r="K391" i="19"/>
  <c r="J391" i="19"/>
  <c r="I391" i="19"/>
  <c r="H391" i="19"/>
  <c r="G391" i="19"/>
  <c r="K386" i="19"/>
  <c r="J386" i="19"/>
  <c r="I386" i="19"/>
  <c r="H386" i="19"/>
  <c r="G386" i="19"/>
  <c r="K242" i="19"/>
  <c r="H331" i="19"/>
  <c r="H323" i="19"/>
  <c r="H316" i="19"/>
  <c r="H311" i="19"/>
  <c r="H257" i="19"/>
  <c r="H249" i="19"/>
  <c r="H242" i="19"/>
  <c r="H237" i="19"/>
  <c r="M331" i="19"/>
  <c r="L331" i="19"/>
  <c r="K331" i="19"/>
  <c r="J331" i="19"/>
  <c r="I331" i="19"/>
  <c r="G331" i="19"/>
  <c r="M323" i="19"/>
  <c r="L323" i="19"/>
  <c r="K323" i="19"/>
  <c r="J323" i="19"/>
  <c r="I323" i="19"/>
  <c r="G323" i="19"/>
  <c r="M316" i="19"/>
  <c r="L316" i="19"/>
  <c r="K316" i="19"/>
  <c r="J316" i="19"/>
  <c r="I316" i="19"/>
  <c r="G316" i="19"/>
  <c r="K311" i="19"/>
  <c r="J311" i="19"/>
  <c r="I311" i="19"/>
  <c r="G311" i="19"/>
  <c r="M257" i="19"/>
  <c r="L257" i="19"/>
  <c r="K257" i="19"/>
  <c r="J257" i="19"/>
  <c r="I257" i="19"/>
  <c r="G257" i="19"/>
  <c r="M249" i="19"/>
  <c r="L249" i="19"/>
  <c r="K249" i="19"/>
  <c r="J249" i="19"/>
  <c r="I249" i="19"/>
  <c r="G249" i="19"/>
  <c r="M242" i="19"/>
  <c r="L242" i="19"/>
  <c r="J242" i="19"/>
  <c r="I242" i="19"/>
  <c r="G242" i="19"/>
  <c r="K237" i="19"/>
  <c r="J237" i="19"/>
  <c r="I237" i="19"/>
  <c r="G237" i="19"/>
  <c r="G693" i="19"/>
  <c r="G684" i="19"/>
  <c r="H196" i="19"/>
  <c r="I186" i="19"/>
  <c r="G609" i="19" s="1"/>
  <c r="H185" i="19"/>
  <c r="J176" i="19"/>
  <c r="I175" i="19"/>
  <c r="H174" i="19"/>
  <c r="J165" i="19"/>
  <c r="I164" i="19"/>
  <c r="H163" i="19"/>
  <c r="J154" i="19"/>
  <c r="I153" i="19"/>
  <c r="H152" i="19"/>
  <c r="J143" i="19"/>
  <c r="I142" i="19"/>
  <c r="H141" i="19"/>
  <c r="K132" i="19"/>
  <c r="J131" i="19"/>
  <c r="I130" i="19"/>
  <c r="H129" i="19"/>
  <c r="J187" i="19"/>
  <c r="E35" i="22"/>
  <c r="D35" i="22"/>
  <c r="A37" i="1"/>
  <c r="H205" i="19"/>
  <c r="I205" i="19" s="1"/>
  <c r="J205" i="19" s="1"/>
  <c r="K205" i="19" s="1"/>
  <c r="L205" i="19" s="1"/>
  <c r="M205" i="19" s="1"/>
  <c r="N205" i="19" s="1"/>
  <c r="O205" i="19" s="1"/>
  <c r="P205" i="19" s="1"/>
  <c r="H109" i="19"/>
  <c r="I109" i="19" s="1"/>
  <c r="J109" i="19" s="1"/>
  <c r="K109" i="19" s="1"/>
  <c r="L109" i="19" s="1"/>
  <c r="M109" i="19" s="1"/>
  <c r="N109" i="19" s="1"/>
  <c r="O109" i="19" s="1"/>
  <c r="P109" i="19" s="1"/>
  <c r="R31" i="19"/>
  <c r="B31" i="19"/>
  <c r="R21" i="19"/>
  <c r="R20" i="19"/>
  <c r="R18" i="19"/>
  <c r="R16" i="19"/>
  <c r="R15" i="19"/>
  <c r="E52" i="22"/>
  <c r="D52" i="22"/>
  <c r="C52" i="22"/>
  <c r="A29" i="5"/>
  <c r="A32" i="5" s="1"/>
  <c r="A35" i="5" s="1"/>
  <c r="D7" i="25"/>
  <c r="E7" i="25" s="1"/>
  <c r="F7" i="25" s="1"/>
  <c r="B22" i="25" s="1"/>
  <c r="B37" i="25" s="1"/>
  <c r="B54" i="25" s="1"/>
  <c r="E53" i="25"/>
  <c r="E54" i="25" s="1"/>
  <c r="E55" i="25" s="1"/>
  <c r="E56" i="25" s="1"/>
  <c r="D52" i="25"/>
  <c r="D53" i="25" s="1"/>
  <c r="C51" i="25"/>
  <c r="L51" i="25" s="1"/>
  <c r="E28" i="25"/>
  <c r="L34" i="25"/>
  <c r="C27" i="25"/>
  <c r="L19" i="25"/>
  <c r="L27" i="25" s="1"/>
  <c r="B19" i="25"/>
  <c r="B34" i="25" s="1"/>
  <c r="B51" i="25" s="1"/>
  <c r="L17" i="8"/>
  <c r="G17" i="8"/>
  <c r="F17" i="8"/>
  <c r="E17" i="8"/>
  <c r="D17" i="8"/>
  <c r="C17" i="8"/>
  <c r="L8" i="8"/>
  <c r="G8" i="8"/>
  <c r="F8" i="8"/>
  <c r="E8" i="8"/>
  <c r="D8" i="8"/>
  <c r="C8" i="8"/>
  <c r="E8" i="22"/>
  <c r="D8" i="22"/>
  <c r="C8" i="22"/>
  <c r="E115" i="22"/>
  <c r="D114" i="22"/>
  <c r="C113" i="22"/>
  <c r="L113" i="22" s="1"/>
  <c r="L95" i="22"/>
  <c r="L80" i="22"/>
  <c r="B87" i="22"/>
  <c r="B102" i="22" s="1"/>
  <c r="B120" i="22" s="1"/>
  <c r="J79" i="22"/>
  <c r="J94" i="22" s="1"/>
  <c r="J112" i="22" s="1"/>
  <c r="B82" i="22"/>
  <c r="B97" i="22" s="1"/>
  <c r="B115" i="22" s="1"/>
  <c r="D79" i="22"/>
  <c r="D94" i="22" s="1"/>
  <c r="D112" i="22" s="1"/>
  <c r="C68" i="22"/>
  <c r="C79" i="22" s="1"/>
  <c r="C94" i="22" s="1"/>
  <c r="C112" i="22" s="1"/>
  <c r="C5" i="22"/>
  <c r="C4" i="22"/>
  <c r="Q3" i="22"/>
  <c r="O3" i="22"/>
  <c r="E2" i="19"/>
  <c r="L41" i="8"/>
  <c r="L52" i="8" s="1"/>
  <c r="L69" i="8" s="1"/>
  <c r="L89" i="8" s="1"/>
  <c r="G41" i="8"/>
  <c r="B57" i="8" s="1"/>
  <c r="B74" i="8" s="1"/>
  <c r="B94" i="8" s="1"/>
  <c r="F41" i="8"/>
  <c r="F52" i="8" s="1"/>
  <c r="F69" i="8" s="1"/>
  <c r="F89" i="8" s="1"/>
  <c r="E41" i="8"/>
  <c r="B55" i="8" s="1"/>
  <c r="B72" i="8" s="1"/>
  <c r="B92" i="8" s="1"/>
  <c r="D41" i="8"/>
  <c r="B54" i="8" s="1"/>
  <c r="B71" i="8" s="1"/>
  <c r="B91" i="8" s="1"/>
  <c r="C41" i="8"/>
  <c r="B53" i="8" s="1"/>
  <c r="B70" i="8" s="1"/>
  <c r="B81" i="22"/>
  <c r="B96" i="22" s="1"/>
  <c r="B114" i="22" s="1"/>
  <c r="G55" i="20"/>
  <c r="F54" i="20"/>
  <c r="F55" i="20" s="1"/>
  <c r="E53" i="20"/>
  <c r="E54" i="20" s="1"/>
  <c r="D52" i="20"/>
  <c r="D53" i="20" s="1"/>
  <c r="C51" i="20"/>
  <c r="K51" i="20" s="1"/>
  <c r="K35" i="20"/>
  <c r="M35" i="20" s="1"/>
  <c r="B41" i="20"/>
  <c r="B57" i="20" s="1"/>
  <c r="B39" i="20"/>
  <c r="B55" i="20" s="1"/>
  <c r="B38" i="20"/>
  <c r="B54" i="20" s="1"/>
  <c r="B37" i="20"/>
  <c r="B53" i="20" s="1"/>
  <c r="F65" i="20"/>
  <c r="B36" i="20"/>
  <c r="B52" i="20" s="1"/>
  <c r="B35" i="20"/>
  <c r="B51" i="20" s="1"/>
  <c r="G34" i="20"/>
  <c r="G50" i="20" s="1"/>
  <c r="F34" i="20"/>
  <c r="F50" i="20" s="1"/>
  <c r="E34" i="20"/>
  <c r="E50" i="20" s="1"/>
  <c r="D34" i="20"/>
  <c r="D50" i="20" s="1"/>
  <c r="C34" i="20"/>
  <c r="C50" i="20" s="1"/>
  <c r="C7" i="20"/>
  <c r="C6" i="20"/>
  <c r="D2" i="19"/>
  <c r="B2" i="19"/>
  <c r="G162" i="19"/>
  <c r="G140" i="19"/>
  <c r="G128" i="19"/>
  <c r="H125" i="19"/>
  <c r="I125" i="19" s="1"/>
  <c r="J125" i="19" s="1"/>
  <c r="K125" i="19" s="1"/>
  <c r="H28" i="19"/>
  <c r="I28" i="19" s="1"/>
  <c r="J28" i="19" s="1"/>
  <c r="K28" i="19" s="1"/>
  <c r="L28" i="19" s="1"/>
  <c r="M28" i="19" s="1"/>
  <c r="N28" i="19" s="1"/>
  <c r="O28" i="19" s="1"/>
  <c r="P28" i="19" s="1"/>
  <c r="H13" i="19"/>
  <c r="I13" i="19" s="1"/>
  <c r="K23" i="19"/>
  <c r="J23" i="19"/>
  <c r="J24" i="19" s="1"/>
  <c r="I23" i="19"/>
  <c r="I24" i="19" s="1"/>
  <c r="H23" i="19"/>
  <c r="H24" i="19" s="1"/>
  <c r="G23" i="19"/>
  <c r="B7" i="19"/>
  <c r="B4" i="19"/>
  <c r="N21" i="7"/>
  <c r="F30" i="13"/>
  <c r="F47" i="13" s="1"/>
  <c r="D107" i="5"/>
  <c r="D103" i="5"/>
  <c r="W16" i="16"/>
  <c r="V16" i="16"/>
  <c r="S16" i="16"/>
  <c r="S15" i="16"/>
  <c r="U15" i="15"/>
  <c r="T15" i="15"/>
  <c r="Q15" i="15"/>
  <c r="R1" i="13"/>
  <c r="U2" i="13"/>
  <c r="T2" i="13"/>
  <c r="R2" i="13"/>
  <c r="S4" i="8"/>
  <c r="R4" i="8"/>
  <c r="Q4" i="8"/>
  <c r="S4" i="7"/>
  <c r="R4" i="7"/>
  <c r="Q4" i="7"/>
  <c r="S1" i="5"/>
  <c r="O1" i="5"/>
  <c r="Q2" i="2"/>
  <c r="P2" i="2"/>
  <c r="E19" i="16"/>
  <c r="E36" i="16" s="1"/>
  <c r="E32" i="15"/>
  <c r="R71" i="2"/>
  <c r="R69" i="2"/>
  <c r="R67" i="2"/>
  <c r="R59" i="2"/>
  <c r="R57" i="2"/>
  <c r="R56" i="2"/>
  <c r="R54" i="2"/>
  <c r="R51" i="2"/>
  <c r="R49" i="2"/>
  <c r="R48" i="2"/>
  <c r="R47" i="2"/>
  <c r="R32" i="2"/>
  <c r="R30" i="2"/>
  <c r="R27" i="2"/>
  <c r="R19" i="2"/>
  <c r="R18" i="2"/>
  <c r="R17" i="2"/>
  <c r="R14" i="2"/>
  <c r="D14" i="5"/>
  <c r="D207" i="5" s="1"/>
  <c r="D13" i="5"/>
  <c r="D206" i="5" s="1"/>
  <c r="C7" i="7"/>
  <c r="C6" i="7"/>
  <c r="C5" i="8"/>
  <c r="C4" i="8"/>
  <c r="E6" i="4"/>
  <c r="L67" i="7"/>
  <c r="G62" i="7"/>
  <c r="G63" i="7" s="1"/>
  <c r="F61" i="7"/>
  <c r="F62" i="7" s="1"/>
  <c r="E60" i="7"/>
  <c r="E61" i="7" s="1"/>
  <c r="N70" i="8"/>
  <c r="B21" i="7"/>
  <c r="B38" i="7" s="1"/>
  <c r="B58" i="7" s="1"/>
  <c r="C20" i="7"/>
  <c r="N39" i="7"/>
  <c r="P39" i="7" s="1"/>
  <c r="N38" i="7"/>
  <c r="A12" i="4"/>
  <c r="A9" i="4"/>
  <c r="D6" i="4"/>
  <c r="D4" i="4"/>
  <c r="D3" i="4"/>
  <c r="L48" i="7"/>
  <c r="L32" i="7" s="1"/>
  <c r="B22" i="7"/>
  <c r="B39" i="7" s="1"/>
  <c r="B59" i="7" s="1"/>
  <c r="B23" i="7"/>
  <c r="B40" i="7" s="1"/>
  <c r="B60" i="7" s="1"/>
  <c r="E20" i="7"/>
  <c r="D20" i="7"/>
  <c r="N30" i="13"/>
  <c r="P30" i="13"/>
  <c r="D59" i="7"/>
  <c r="D60" i="7" s="1"/>
  <c r="D38" i="5"/>
  <c r="F20" i="7"/>
  <c r="B24" i="7"/>
  <c r="B41" i="7" s="1"/>
  <c r="B61" i="7" s="1"/>
  <c r="B25" i="7"/>
  <c r="B42" i="7" s="1"/>
  <c r="B62" i="7" s="1"/>
  <c r="G20" i="7"/>
  <c r="B30" i="7"/>
  <c r="B47" i="7" s="1"/>
  <c r="B67" i="7" s="1"/>
  <c r="L20" i="7"/>
  <c r="C58" i="7"/>
  <c r="N58" i="7" s="1"/>
  <c r="C31" i="7"/>
  <c r="N90" i="8"/>
  <c r="N53" i="8"/>
  <c r="C18" i="25"/>
  <c r="C33" i="25" s="1"/>
  <c r="C50" i="25" s="1"/>
  <c r="H66" i="25"/>
  <c r="I66" i="25" s="1"/>
  <c r="C36" i="25" s="1"/>
  <c r="L36" i="25" s="1"/>
  <c r="N36" i="25" s="1"/>
  <c r="B20" i="25"/>
  <c r="B35" i="25" s="1"/>
  <c r="B52" i="25" s="1"/>
  <c r="F72" i="25"/>
  <c r="F71" i="20"/>
  <c r="F88" i="20"/>
  <c r="O19" i="16"/>
  <c r="O36" i="16" s="1"/>
  <c r="G52" i="8"/>
  <c r="G69" i="8" s="1"/>
  <c r="G89" i="8" s="1"/>
  <c r="A48" i="22" l="1"/>
  <c r="F46" i="22"/>
  <c r="E46" i="22"/>
  <c r="B62" i="8"/>
  <c r="B79" i="8" s="1"/>
  <c r="B99" i="8" s="1"/>
  <c r="D52" i="8"/>
  <c r="D69" i="8" s="1"/>
  <c r="D89" i="8" s="1"/>
  <c r="O24" i="19"/>
  <c r="R12" i="2"/>
  <c r="R45" i="2"/>
  <c r="C52" i="25"/>
  <c r="I63" i="8"/>
  <c r="M24" i="26" s="1"/>
  <c r="N60" i="8"/>
  <c r="I97" i="8"/>
  <c r="L82" i="19"/>
  <c r="L179" i="19" s="1"/>
  <c r="L180" i="19" s="1"/>
  <c r="R180" i="19" s="1"/>
  <c r="N79" i="2"/>
  <c r="O79" i="2"/>
  <c r="G79" i="2"/>
  <c r="H449" i="26"/>
  <c r="M72" i="26" s="1"/>
  <c r="M169" i="26" s="1"/>
  <c r="J79" i="2"/>
  <c r="D12" i="5"/>
  <c r="B73" i="5" s="1"/>
  <c r="E17" i="4"/>
  <c r="C18" i="4"/>
  <c r="B18" i="4"/>
  <c r="D17" i="4"/>
  <c r="A38" i="5"/>
  <c r="D28" i="4"/>
  <c r="D30" i="4" s="1"/>
  <c r="L169" i="19"/>
  <c r="D37" i="7"/>
  <c r="D57" i="7" s="1"/>
  <c r="C37" i="7"/>
  <c r="C57" i="7" s="1"/>
  <c r="F37" i="7"/>
  <c r="F57" i="7" s="1"/>
  <c r="G37" i="7"/>
  <c r="G57" i="7" s="1"/>
  <c r="E37" i="7"/>
  <c r="E57" i="7" s="1"/>
  <c r="L37" i="7"/>
  <c r="L57" i="7" s="1"/>
  <c r="G506" i="19"/>
  <c r="M203" i="19"/>
  <c r="R203" i="19" s="1"/>
  <c r="R51" i="19"/>
  <c r="O217" i="19"/>
  <c r="P217" i="19"/>
  <c r="I504" i="19"/>
  <c r="H654" i="19"/>
  <c r="C662" i="19" s="1"/>
  <c r="M95" i="19"/>
  <c r="R95" i="19" s="1"/>
  <c r="R105" i="19"/>
  <c r="L136" i="19"/>
  <c r="L158" i="19"/>
  <c r="H364" i="19"/>
  <c r="C378" i="19" s="1"/>
  <c r="M50" i="19"/>
  <c r="L202" i="19"/>
  <c r="R202" i="19" s="1"/>
  <c r="R94" i="19"/>
  <c r="H297" i="19"/>
  <c r="C304" i="19" s="1"/>
  <c r="M40" i="19"/>
  <c r="R40" i="19" s="1"/>
  <c r="I437" i="19"/>
  <c r="L191" i="19"/>
  <c r="R191" i="19" s="1"/>
  <c r="I289" i="19"/>
  <c r="G295" i="19" s="1"/>
  <c r="G297" i="19" s="1"/>
  <c r="M39" i="19"/>
  <c r="M136" i="19" s="1"/>
  <c r="M137" i="19" s="1"/>
  <c r="R137" i="19" s="1"/>
  <c r="I356" i="19"/>
  <c r="G362" i="19" s="1"/>
  <c r="L49" i="19"/>
  <c r="L146" i="19" s="1"/>
  <c r="L147" i="19" s="1"/>
  <c r="H511" i="19"/>
  <c r="H505" i="19"/>
  <c r="M72" i="19" s="1"/>
  <c r="M169" i="19" s="1"/>
  <c r="G438" i="19"/>
  <c r="K81" i="19"/>
  <c r="K178" i="19" s="1"/>
  <c r="K179" i="19" s="1"/>
  <c r="G56" i="20"/>
  <c r="G57" i="20" s="1"/>
  <c r="I639" i="19"/>
  <c r="G645" i="19" s="1"/>
  <c r="G647" i="19" s="1"/>
  <c r="B80" i="22"/>
  <c r="B95" i="22" s="1"/>
  <c r="B113" i="22" s="1"/>
  <c r="L180" i="26"/>
  <c r="R180" i="26" s="1"/>
  <c r="B56" i="8"/>
  <c r="B73" i="8" s="1"/>
  <c r="B93" i="8" s="1"/>
  <c r="B90" i="8"/>
  <c r="G44" i="26"/>
  <c r="G141" i="26" s="1"/>
  <c r="I355" i="19"/>
  <c r="I282" i="19"/>
  <c r="G288" i="19" s="1"/>
  <c r="I288" i="19" s="1"/>
  <c r="B180" i="5"/>
  <c r="T1" i="5"/>
  <c r="E72" i="5" s="1"/>
  <c r="E73" i="5"/>
  <c r="H101" i="22"/>
  <c r="G101" i="22"/>
  <c r="I102" i="22"/>
  <c r="I103" i="22" s="1"/>
  <c r="H102" i="22"/>
  <c r="H31" i="30"/>
  <c r="J31" i="30" s="1"/>
  <c r="B21" i="25"/>
  <c r="B36" i="25" s="1"/>
  <c r="B53" i="25" s="1"/>
  <c r="E18" i="25"/>
  <c r="E33" i="25" s="1"/>
  <c r="E50" i="25" s="1"/>
  <c r="D18" i="25"/>
  <c r="D33" i="25" s="1"/>
  <c r="D50" i="25" s="1"/>
  <c r="L52" i="25"/>
  <c r="N34" i="25"/>
  <c r="G7" i="25"/>
  <c r="H7" i="25" s="1"/>
  <c r="F18" i="25"/>
  <c r="F33" i="25" s="1"/>
  <c r="F50" i="25" s="1"/>
  <c r="M13" i="29"/>
  <c r="B171" i="29"/>
  <c r="B135" i="29"/>
  <c r="B90" i="29"/>
  <c r="B63" i="29"/>
  <c r="B45" i="29"/>
  <c r="B144" i="29"/>
  <c r="B36" i="29"/>
  <c r="B126" i="29"/>
  <c r="B102" i="29"/>
  <c r="B54" i="29"/>
  <c r="B72" i="29"/>
  <c r="B162" i="29"/>
  <c r="B117" i="29"/>
  <c r="B81" i="29"/>
  <c r="B153" i="29"/>
  <c r="B182" i="29"/>
  <c r="N95" i="22"/>
  <c r="G48" i="22"/>
  <c r="N15" i="29"/>
  <c r="M15" i="29"/>
  <c r="L15" i="29"/>
  <c r="D46" i="22"/>
  <c r="G49" i="22"/>
  <c r="E79" i="22"/>
  <c r="E94" i="22" s="1"/>
  <c r="E112" i="22" s="1"/>
  <c r="C53" i="22"/>
  <c r="Q19" i="16"/>
  <c r="Q36" i="16" s="1"/>
  <c r="O32" i="15"/>
  <c r="E223" i="5"/>
  <c r="E222" i="5" s="1"/>
  <c r="I46" i="7"/>
  <c r="H46" i="7"/>
  <c r="J47" i="7"/>
  <c r="I47" i="7"/>
  <c r="I665" i="26"/>
  <c r="G671" i="26" s="1"/>
  <c r="I671" i="26" s="1"/>
  <c r="I673" i="26" s="1"/>
  <c r="I583" i="26"/>
  <c r="G589" i="26" s="1"/>
  <c r="G591" i="26" s="1"/>
  <c r="H404" i="26"/>
  <c r="I404" i="26" s="1"/>
  <c r="I721" i="19"/>
  <c r="G727" i="19" s="1"/>
  <c r="G729" i="19" s="1"/>
  <c r="I646" i="19"/>
  <c r="G652" i="19" s="1"/>
  <c r="G654" i="19" s="1"/>
  <c r="K59" i="19"/>
  <c r="K156" i="19" s="1"/>
  <c r="K157" i="19" s="1"/>
  <c r="K48" i="19"/>
  <c r="K145" i="19" s="1"/>
  <c r="K146" i="19" s="1"/>
  <c r="I714" i="19"/>
  <c r="G720" i="19" s="1"/>
  <c r="G722" i="19" s="1"/>
  <c r="I363" i="19"/>
  <c r="G369" i="19" s="1"/>
  <c r="G371" i="19" s="1"/>
  <c r="G222" i="19"/>
  <c r="G33" i="26"/>
  <c r="G130" i="26" s="1"/>
  <c r="H403" i="26"/>
  <c r="H619" i="26"/>
  <c r="I619" i="26" s="1"/>
  <c r="I516" i="26"/>
  <c r="I363" i="26"/>
  <c r="G369" i="26" s="1"/>
  <c r="G371" i="26" s="1"/>
  <c r="I517" i="26"/>
  <c r="G523" i="26" s="1"/>
  <c r="I523" i="26" s="1"/>
  <c r="I441" i="26"/>
  <c r="J79" i="8"/>
  <c r="J99" i="8" s="1"/>
  <c r="H78" i="8"/>
  <c r="I79" i="8"/>
  <c r="I78" i="8"/>
  <c r="I98" i="8" s="1"/>
  <c r="P70" i="8"/>
  <c r="G245" i="26"/>
  <c r="R77" i="26"/>
  <c r="G174" i="26"/>
  <c r="I449" i="26"/>
  <c r="G455" i="26" s="1"/>
  <c r="I658" i="26"/>
  <c r="G664" i="26" s="1"/>
  <c r="G319" i="26"/>
  <c r="H478" i="26"/>
  <c r="I478" i="26" s="1"/>
  <c r="I355" i="26"/>
  <c r="G163" i="26"/>
  <c r="R66" i="26"/>
  <c r="G621" i="26"/>
  <c r="B197" i="26"/>
  <c r="B186" i="26"/>
  <c r="B100" i="26"/>
  <c r="B210" i="26"/>
  <c r="B114" i="26"/>
  <c r="B142" i="26"/>
  <c r="B78" i="26"/>
  <c r="B34" i="26"/>
  <c r="K13" i="26"/>
  <c r="B175" i="26"/>
  <c r="B131" i="26"/>
  <c r="B89" i="26"/>
  <c r="B67" i="26"/>
  <c r="B45" i="26"/>
  <c r="B164" i="26"/>
  <c r="B56" i="26"/>
  <c r="B153" i="26"/>
  <c r="G480" i="26"/>
  <c r="I647" i="26"/>
  <c r="G657" i="26" s="1"/>
  <c r="K539" i="26"/>
  <c r="G88" i="26"/>
  <c r="H479" i="26"/>
  <c r="I479" i="26" s="1"/>
  <c r="I590" i="26"/>
  <c r="G596" i="26" s="1"/>
  <c r="G405" i="26"/>
  <c r="K38" i="26"/>
  <c r="K135" i="26" s="1"/>
  <c r="I572" i="26"/>
  <c r="G582" i="26" s="1"/>
  <c r="I288" i="26"/>
  <c r="G290" i="26"/>
  <c r="I289" i="26"/>
  <c r="G295" i="26" s="1"/>
  <c r="H317" i="26"/>
  <c r="I317" i="26" s="1"/>
  <c r="H243" i="26"/>
  <c r="I243" i="26" s="1"/>
  <c r="G450" i="26"/>
  <c r="I362" i="26"/>
  <c r="G364" i="26"/>
  <c r="H318" i="26"/>
  <c r="I318" i="26" s="1"/>
  <c r="R99" i="26"/>
  <c r="G196" i="26"/>
  <c r="H244" i="26"/>
  <c r="I244" i="26" s="1"/>
  <c r="E52" i="8"/>
  <c r="E69" i="8" s="1"/>
  <c r="E89" i="8" s="1"/>
  <c r="C52" i="8"/>
  <c r="C69" i="8" s="1"/>
  <c r="C89" i="8" s="1"/>
  <c r="C26" i="8"/>
  <c r="C42" i="8" s="1"/>
  <c r="H65" i="20"/>
  <c r="I65" i="20" s="1"/>
  <c r="C52" i="20"/>
  <c r="K52" i="20" s="1"/>
  <c r="I572" i="19"/>
  <c r="C59" i="7"/>
  <c r="N59" i="7" s="1"/>
  <c r="G24" i="19"/>
  <c r="R128" i="19"/>
  <c r="I131" i="19"/>
  <c r="G326" i="19"/>
  <c r="G410" i="19"/>
  <c r="G535" i="19"/>
  <c r="G312" i="19"/>
  <c r="I312" i="19" s="1"/>
  <c r="J312" i="19" s="1"/>
  <c r="K312" i="19" s="1"/>
  <c r="R140" i="19"/>
  <c r="J132" i="19"/>
  <c r="G335" i="19"/>
  <c r="G543" i="19"/>
  <c r="H722" i="19"/>
  <c r="C736" i="19" s="1"/>
  <c r="G460" i="19"/>
  <c r="G454" i="19"/>
  <c r="I454" i="19" s="1"/>
  <c r="J454" i="19" s="1"/>
  <c r="G66" i="19" s="1"/>
  <c r="R66" i="19" s="1"/>
  <c r="R162" i="19"/>
  <c r="G618" i="19"/>
  <c r="K133" i="19"/>
  <c r="G393" i="19"/>
  <c r="G468" i="19"/>
  <c r="G552" i="19"/>
  <c r="H130" i="19"/>
  <c r="G318" i="19"/>
  <c r="G401" i="19"/>
  <c r="G477" i="19"/>
  <c r="G601" i="19"/>
  <c r="G676" i="19"/>
  <c r="H729" i="19"/>
  <c r="C737" i="19" s="1"/>
  <c r="I713" i="19"/>
  <c r="I430" i="19"/>
  <c r="L125" i="19"/>
  <c r="M125" i="19" s="1"/>
  <c r="N125" i="19" s="1"/>
  <c r="O125" i="19" s="1"/>
  <c r="G195" i="19"/>
  <c r="B173" i="19"/>
  <c r="B129" i="19"/>
  <c r="B112" i="19"/>
  <c r="B184" i="19"/>
  <c r="B162" i="19"/>
  <c r="B140" i="19"/>
  <c r="B98" i="19"/>
  <c r="B87" i="19"/>
  <c r="B65" i="19"/>
  <c r="B43" i="19"/>
  <c r="B195" i="19"/>
  <c r="B151" i="19"/>
  <c r="B54" i="19"/>
  <c r="B208" i="19"/>
  <c r="B76" i="19"/>
  <c r="B185" i="19"/>
  <c r="B163" i="19"/>
  <c r="B141" i="19"/>
  <c r="B99" i="19"/>
  <c r="B88" i="19"/>
  <c r="B66" i="19"/>
  <c r="B44" i="19"/>
  <c r="B209" i="19"/>
  <c r="B196" i="19"/>
  <c r="B174" i="19"/>
  <c r="B152" i="19"/>
  <c r="B130" i="19"/>
  <c r="B113" i="19"/>
  <c r="B77" i="19"/>
  <c r="B55" i="19"/>
  <c r="G129" i="19"/>
  <c r="B33" i="19"/>
  <c r="G184" i="19"/>
  <c r="G151" i="19"/>
  <c r="G173" i="19"/>
  <c r="G529" i="19" s="1"/>
  <c r="J13" i="19"/>
  <c r="B32" i="19"/>
  <c r="R23" i="19"/>
  <c r="P38" i="7"/>
  <c r="Q79" i="2"/>
  <c r="P79" i="2"/>
  <c r="K79" i="2"/>
  <c r="M79" i="2"/>
  <c r="B49" i="5"/>
  <c r="B179" i="5"/>
  <c r="B50" i="5"/>
  <c r="N31" i="7"/>
  <c r="N17" i="13"/>
  <c r="N47" i="13" s="1"/>
  <c r="M32" i="15"/>
  <c r="H79" i="2"/>
  <c r="L79" i="2"/>
  <c r="J66" i="25"/>
  <c r="P17" i="13"/>
  <c r="P47" i="13" s="1"/>
  <c r="F79" i="20"/>
  <c r="R169" i="19" l="1"/>
  <c r="R78" i="2"/>
  <c r="R74" i="2"/>
  <c r="R35" i="2"/>
  <c r="R77" i="2"/>
  <c r="C69" i="22"/>
  <c r="C81" i="22" s="1"/>
  <c r="C54" i="8"/>
  <c r="I79" i="2"/>
  <c r="G54" i="22"/>
  <c r="K15" i="29" s="1"/>
  <c r="D205" i="5"/>
  <c r="B233" i="5" s="1"/>
  <c r="D36" i="5"/>
  <c r="E36" i="5" s="1"/>
  <c r="B54" i="5"/>
  <c r="B71" i="5"/>
  <c r="B59" i="5"/>
  <c r="B60" i="5"/>
  <c r="E12" i="5"/>
  <c r="E205" i="5" s="1"/>
  <c r="B55" i="5"/>
  <c r="B66" i="5"/>
  <c r="B56" i="5"/>
  <c r="B61" i="5"/>
  <c r="B68" i="5"/>
  <c r="B46" i="5"/>
  <c r="B53" i="5"/>
  <c r="B65" i="5"/>
  <c r="B62" i="5"/>
  <c r="B74" i="5"/>
  <c r="B67" i="5"/>
  <c r="B72" i="5"/>
  <c r="B43" i="5"/>
  <c r="B39" i="5"/>
  <c r="B44" i="5"/>
  <c r="B42" i="5"/>
  <c r="B40" i="5"/>
  <c r="B45" i="5"/>
  <c r="B41" i="5"/>
  <c r="I295" i="19"/>
  <c r="I297" i="19" s="1"/>
  <c r="G57" i="22"/>
  <c r="K18" i="29" s="1"/>
  <c r="K143" i="29" s="1"/>
  <c r="G428" i="29" s="1"/>
  <c r="G55" i="22"/>
  <c r="K16" i="29" s="1"/>
  <c r="K125" i="29" s="1"/>
  <c r="G302" i="29" s="1"/>
  <c r="G365" i="29"/>
  <c r="G60" i="22"/>
  <c r="K21" i="29" s="1"/>
  <c r="K170" i="29" s="1"/>
  <c r="G602" i="29" s="1"/>
  <c r="G59" i="22"/>
  <c r="K20" i="29" s="1"/>
  <c r="K161" i="29" s="1"/>
  <c r="G539" i="29" s="1"/>
  <c r="I7" i="25"/>
  <c r="H18" i="25"/>
  <c r="H33" i="25" s="1"/>
  <c r="H50" i="25" s="1"/>
  <c r="B24" i="25"/>
  <c r="B39" i="25" s="1"/>
  <c r="B56" i="25" s="1"/>
  <c r="B23" i="25"/>
  <c r="B38" i="25" s="1"/>
  <c r="B55" i="25" s="1"/>
  <c r="R158" i="19"/>
  <c r="R61" i="19"/>
  <c r="M192" i="19"/>
  <c r="R192" i="19" s="1"/>
  <c r="H513" i="19"/>
  <c r="C521" i="19" s="1"/>
  <c r="M73" i="19"/>
  <c r="R73" i="19" s="1"/>
  <c r="R136" i="19"/>
  <c r="R39" i="19"/>
  <c r="R72" i="19"/>
  <c r="M147" i="19"/>
  <c r="M148" i="19" s="1"/>
  <c r="R148" i="19" s="1"/>
  <c r="R50" i="19"/>
  <c r="G364" i="19"/>
  <c r="I362" i="19"/>
  <c r="I364" i="19" s="1"/>
  <c r="I505" i="19"/>
  <c r="H506" i="19"/>
  <c r="C520" i="19" s="1"/>
  <c r="H438" i="19"/>
  <c r="C445" i="19" s="1"/>
  <c r="I99" i="8"/>
  <c r="N46" i="7"/>
  <c r="P46" i="7" s="1"/>
  <c r="M118" i="29"/>
  <c r="G253" i="29" s="1"/>
  <c r="N119" i="29"/>
  <c r="D56" i="22"/>
  <c r="H17" i="29" s="1"/>
  <c r="D55" i="22"/>
  <c r="H16" i="29" s="1"/>
  <c r="D59" i="22"/>
  <c r="H20" i="29" s="1"/>
  <c r="D54" i="22"/>
  <c r="H15" i="29" s="1"/>
  <c r="D58" i="22"/>
  <c r="H19" i="29" s="1"/>
  <c r="D57" i="22"/>
  <c r="H18" i="29" s="1"/>
  <c r="D60" i="22"/>
  <c r="H21" i="29" s="1"/>
  <c r="F56" i="22"/>
  <c r="J17" i="29" s="1"/>
  <c r="J133" i="29" s="1"/>
  <c r="G355" i="29" s="1"/>
  <c r="F57" i="22"/>
  <c r="J18" i="29" s="1"/>
  <c r="J142" i="29" s="1"/>
  <c r="G418" i="29" s="1"/>
  <c r="F60" i="22"/>
  <c r="J21" i="29" s="1"/>
  <c r="J169" i="29" s="1"/>
  <c r="G592" i="29" s="1"/>
  <c r="F54" i="22"/>
  <c r="J15" i="29" s="1"/>
  <c r="F58" i="22"/>
  <c r="J19" i="29" s="1"/>
  <c r="J151" i="29" s="1"/>
  <c r="G481" i="29" s="1"/>
  <c r="F55" i="22"/>
  <c r="J16" i="29" s="1"/>
  <c r="J124" i="29" s="1"/>
  <c r="G292" i="29" s="1"/>
  <c r="F59" i="22"/>
  <c r="J20" i="29" s="1"/>
  <c r="J160" i="29" s="1"/>
  <c r="G529" i="29" s="1"/>
  <c r="E57" i="22"/>
  <c r="I18" i="29" s="1"/>
  <c r="I141" i="29" s="1"/>
  <c r="G409" i="29" s="1"/>
  <c r="E60" i="22"/>
  <c r="I21" i="29" s="1"/>
  <c r="I168" i="29" s="1"/>
  <c r="G583" i="29" s="1"/>
  <c r="E56" i="22"/>
  <c r="I17" i="29" s="1"/>
  <c r="I132" i="29" s="1"/>
  <c r="G346" i="29" s="1"/>
  <c r="E55" i="22"/>
  <c r="I16" i="29" s="1"/>
  <c r="I123" i="29" s="1"/>
  <c r="G283" i="29" s="1"/>
  <c r="E59" i="22"/>
  <c r="I20" i="29" s="1"/>
  <c r="I159" i="29" s="1"/>
  <c r="G520" i="29" s="1"/>
  <c r="E54" i="22"/>
  <c r="I15" i="29" s="1"/>
  <c r="E58" i="22"/>
  <c r="I19" i="29" s="1"/>
  <c r="I150" i="29" s="1"/>
  <c r="G472" i="29" s="1"/>
  <c r="L117" i="29"/>
  <c r="I589" i="26"/>
  <c r="I591" i="26" s="1"/>
  <c r="R44" i="26"/>
  <c r="G673" i="26"/>
  <c r="P217" i="26"/>
  <c r="L101" i="22"/>
  <c r="O217" i="26"/>
  <c r="N47" i="7"/>
  <c r="P47" i="7" s="1"/>
  <c r="I727" i="19"/>
  <c r="I729" i="19" s="1"/>
  <c r="H103" i="22"/>
  <c r="L102" i="22"/>
  <c r="H30" i="30"/>
  <c r="G18" i="25"/>
  <c r="G33" i="25" s="1"/>
  <c r="G50" i="25" s="1"/>
  <c r="N13" i="29"/>
  <c r="B163" i="29"/>
  <c r="B154" i="29"/>
  <c r="B91" i="29"/>
  <c r="B183" i="29"/>
  <c r="B145" i="29"/>
  <c r="B37" i="29"/>
  <c r="B73" i="29"/>
  <c r="B64" i="29"/>
  <c r="B172" i="29"/>
  <c r="B127" i="29"/>
  <c r="B103" i="29"/>
  <c r="B136" i="29"/>
  <c r="B82" i="29"/>
  <c r="B118" i="29"/>
  <c r="B55" i="29"/>
  <c r="B46" i="29"/>
  <c r="L20" i="29"/>
  <c r="L162" i="29" s="1"/>
  <c r="G546" i="29" s="1"/>
  <c r="L16" i="29"/>
  <c r="L126" i="29" s="1"/>
  <c r="G309" i="29" s="1"/>
  <c r="L21" i="29"/>
  <c r="L171" i="29" s="1"/>
  <c r="G609" i="29" s="1"/>
  <c r="L18" i="29"/>
  <c r="L144" i="29" s="1"/>
  <c r="N21" i="29"/>
  <c r="N173" i="29" s="1"/>
  <c r="N20" i="29"/>
  <c r="N164" i="29" s="1"/>
  <c r="N18" i="29"/>
  <c r="N146" i="29" s="1"/>
  <c r="N16" i="29"/>
  <c r="N128" i="29" s="1"/>
  <c r="M21" i="29"/>
  <c r="M172" i="29" s="1"/>
  <c r="G616" i="29" s="1"/>
  <c r="M20" i="29"/>
  <c r="M163" i="29" s="1"/>
  <c r="G553" i="29" s="1"/>
  <c r="M18" i="29"/>
  <c r="M145" i="29" s="1"/>
  <c r="G442" i="29" s="1"/>
  <c r="M16" i="29"/>
  <c r="M127" i="29" s="1"/>
  <c r="G316" i="29" s="1"/>
  <c r="G379" i="29"/>
  <c r="J48" i="7"/>
  <c r="J32" i="7" s="1"/>
  <c r="N217" i="19" s="1"/>
  <c r="J67" i="7"/>
  <c r="I48" i="7"/>
  <c r="I32" i="7" s="1"/>
  <c r="I66" i="7"/>
  <c r="I67" i="7" s="1"/>
  <c r="H620" i="26"/>
  <c r="I620" i="26" s="1"/>
  <c r="I621" i="26" s="1"/>
  <c r="J621" i="26" s="1"/>
  <c r="K619" i="26" s="1"/>
  <c r="I364" i="26"/>
  <c r="R33" i="26"/>
  <c r="H405" i="26"/>
  <c r="I403" i="26"/>
  <c r="I405" i="26" s="1"/>
  <c r="J405" i="26" s="1"/>
  <c r="K403" i="26" s="1"/>
  <c r="I652" i="19"/>
  <c r="I654" i="19" s="1"/>
  <c r="I290" i="26"/>
  <c r="I281" i="26"/>
  <c r="L94" i="26"/>
  <c r="L191" i="26" s="1"/>
  <c r="R191" i="26" s="1"/>
  <c r="H591" i="26"/>
  <c r="C605" i="26" s="1"/>
  <c r="I80" i="8"/>
  <c r="I64" i="8" s="1"/>
  <c r="N79" i="8"/>
  <c r="P79" i="8" s="1"/>
  <c r="J80" i="8"/>
  <c r="J64" i="8" s="1"/>
  <c r="N217" i="26" s="1"/>
  <c r="N78" i="8"/>
  <c r="P78" i="8" s="1"/>
  <c r="I319" i="26"/>
  <c r="J319" i="26" s="1"/>
  <c r="K317" i="26" s="1"/>
  <c r="K318" i="26" s="1"/>
  <c r="I245" i="26"/>
  <c r="J245" i="26" s="1"/>
  <c r="K243" i="26" s="1"/>
  <c r="G297" i="26"/>
  <c r="B198" i="26"/>
  <c r="B101" i="26"/>
  <c r="B176" i="26"/>
  <c r="B165" i="26"/>
  <c r="B154" i="26"/>
  <c r="B143" i="26"/>
  <c r="B132" i="26"/>
  <c r="B211" i="26"/>
  <c r="B187" i="26"/>
  <c r="B115" i="26"/>
  <c r="B79" i="26"/>
  <c r="B35" i="26"/>
  <c r="B90" i="26"/>
  <c r="B68" i="26"/>
  <c r="L13" i="26"/>
  <c r="B57" i="26"/>
  <c r="B46" i="26"/>
  <c r="R130" i="26"/>
  <c r="H371" i="26"/>
  <c r="C379" i="26" s="1"/>
  <c r="M51" i="26"/>
  <c r="G457" i="26"/>
  <c r="R141" i="26"/>
  <c r="H364" i="26"/>
  <c r="C378" i="26" s="1"/>
  <c r="L50" i="26"/>
  <c r="H450" i="26"/>
  <c r="C464" i="26" s="1"/>
  <c r="L72" i="26"/>
  <c r="H245" i="26"/>
  <c r="I582" i="26"/>
  <c r="K93" i="26"/>
  <c r="K190" i="26" s="1"/>
  <c r="R88" i="26"/>
  <c r="G185" i="26"/>
  <c r="H480" i="26"/>
  <c r="R174" i="26"/>
  <c r="I657" i="26"/>
  <c r="K104" i="26"/>
  <c r="K201" i="26" s="1"/>
  <c r="G666" i="26"/>
  <c r="R196" i="26"/>
  <c r="H673" i="26"/>
  <c r="C681" i="26" s="1"/>
  <c r="M106" i="26"/>
  <c r="I448" i="26"/>
  <c r="I450" i="26" s="1"/>
  <c r="I369" i="26"/>
  <c r="I371" i="26" s="1"/>
  <c r="H319" i="26"/>
  <c r="H290" i="26"/>
  <c r="C303" i="26" s="1"/>
  <c r="L39" i="26"/>
  <c r="G598" i="26"/>
  <c r="I596" i="26"/>
  <c r="I598" i="26" s="1"/>
  <c r="G544" i="26"/>
  <c r="H545" i="26"/>
  <c r="I545" i="26" s="1"/>
  <c r="H544" i="26"/>
  <c r="I480" i="26"/>
  <c r="J480" i="26" s="1"/>
  <c r="K478" i="26" s="1"/>
  <c r="R163" i="26"/>
  <c r="R61" i="26"/>
  <c r="R158" i="26"/>
  <c r="C37" i="20"/>
  <c r="K37" i="20" s="1"/>
  <c r="M37" i="20" s="1"/>
  <c r="J65" i="20"/>
  <c r="H371" i="19"/>
  <c r="C379" i="19" s="1"/>
  <c r="I369" i="19"/>
  <c r="I371" i="19" s="1"/>
  <c r="K454" i="19"/>
  <c r="H460" i="19" s="1"/>
  <c r="I460" i="19" s="1"/>
  <c r="G44" i="19"/>
  <c r="R44" i="19" s="1"/>
  <c r="I720" i="19"/>
  <c r="I722" i="19" s="1"/>
  <c r="R184" i="19"/>
  <c r="R195" i="19"/>
  <c r="G252" i="19"/>
  <c r="G244" i="19"/>
  <c r="G271" i="19"/>
  <c r="G261" i="19"/>
  <c r="G387" i="19"/>
  <c r="I387" i="19" s="1"/>
  <c r="J387" i="19" s="1"/>
  <c r="G55" i="19" s="1"/>
  <c r="R55" i="19" s="1"/>
  <c r="R151" i="19"/>
  <c r="R173" i="19"/>
  <c r="G238" i="19"/>
  <c r="I238" i="19" s="1"/>
  <c r="J238" i="19" s="1"/>
  <c r="G33" i="19" s="1"/>
  <c r="R33" i="19" s="1"/>
  <c r="R129" i="19"/>
  <c r="G163" i="19"/>
  <c r="H647" i="19"/>
  <c r="C661" i="19" s="1"/>
  <c r="I645" i="19"/>
  <c r="I647" i="19" s="1"/>
  <c r="G670" i="19"/>
  <c r="I670" i="19" s="1"/>
  <c r="J670" i="19" s="1"/>
  <c r="G99" i="19" s="1"/>
  <c r="R99" i="19" s="1"/>
  <c r="G595" i="19"/>
  <c r="I595" i="19" s="1"/>
  <c r="J595" i="19" s="1"/>
  <c r="G88" i="19" s="1"/>
  <c r="R88" i="19" s="1"/>
  <c r="I529" i="19"/>
  <c r="J529" i="19" s="1"/>
  <c r="G77" i="19" s="1"/>
  <c r="R77" i="19" s="1"/>
  <c r="B210" i="19"/>
  <c r="B186" i="19"/>
  <c r="B197" i="19"/>
  <c r="B175" i="19"/>
  <c r="B153" i="19"/>
  <c r="B131" i="19"/>
  <c r="B114" i="19"/>
  <c r="B78" i="19"/>
  <c r="B56" i="19"/>
  <c r="B89" i="19"/>
  <c r="B67" i="19"/>
  <c r="B45" i="19"/>
  <c r="B164" i="19"/>
  <c r="B142" i="19"/>
  <c r="B100" i="19"/>
  <c r="B34" i="19"/>
  <c r="K13" i="19"/>
  <c r="A48" i="5"/>
  <c r="A52" i="5" s="1"/>
  <c r="A58" i="5" s="1"/>
  <c r="A64" i="5" s="1"/>
  <c r="A70" i="5" s="1"/>
  <c r="E71" i="5"/>
  <c r="R24" i="19"/>
  <c r="G71" i="25"/>
  <c r="F71" i="25"/>
  <c r="G72" i="25"/>
  <c r="H72" i="25" s="1"/>
  <c r="K24" i="19"/>
  <c r="C53" i="25"/>
  <c r="G317" i="19"/>
  <c r="H317" i="19" s="1"/>
  <c r="H318" i="19" s="1"/>
  <c r="I318" i="19" s="1"/>
  <c r="R79" i="2" l="1"/>
  <c r="L81" i="22"/>
  <c r="C88" i="22"/>
  <c r="G24" i="29" s="1"/>
  <c r="C63" i="8"/>
  <c r="G24" i="26" s="1"/>
  <c r="N54" i="8"/>
  <c r="C91" i="8"/>
  <c r="N91" i="8" s="1"/>
  <c r="K23" i="29"/>
  <c r="P17" i="29"/>
  <c r="A79" i="5"/>
  <c r="A82" i="5" s="1"/>
  <c r="A85" i="5" s="1"/>
  <c r="B25" i="25"/>
  <c r="B40" i="25" s="1"/>
  <c r="B57" i="25" s="1"/>
  <c r="J7" i="25"/>
  <c r="I18" i="25"/>
  <c r="I33" i="25" s="1"/>
  <c r="I50" i="25" s="1"/>
  <c r="M170" i="19"/>
  <c r="R170" i="19" s="1"/>
  <c r="R147" i="19"/>
  <c r="G511" i="19"/>
  <c r="I506" i="19"/>
  <c r="I438" i="19"/>
  <c r="H459" i="19"/>
  <c r="H461" i="19" s="1"/>
  <c r="H434" i="29"/>
  <c r="H428" i="29"/>
  <c r="K63" i="29" s="1"/>
  <c r="K144" i="29" s="1"/>
  <c r="I114" i="29"/>
  <c r="G220" i="29" s="1"/>
  <c r="I23" i="29"/>
  <c r="H538" i="29"/>
  <c r="J81" i="29" s="1"/>
  <c r="H529" i="29"/>
  <c r="J80" i="29" s="1"/>
  <c r="J161" i="29" s="1"/>
  <c r="H601" i="29"/>
  <c r="J90" i="29" s="1"/>
  <c r="H592" i="29"/>
  <c r="J89" i="29" s="1"/>
  <c r="J170" i="29" s="1"/>
  <c r="H158" i="29"/>
  <c r="P20" i="29"/>
  <c r="N23" i="29"/>
  <c r="N24" i="29" s="1"/>
  <c r="H316" i="29"/>
  <c r="M47" i="29" s="1"/>
  <c r="M128" i="29" s="1"/>
  <c r="H302" i="29"/>
  <c r="K45" i="29" s="1"/>
  <c r="K126" i="29" s="1"/>
  <c r="H308" i="29"/>
  <c r="G372" i="29"/>
  <c r="H315" i="29"/>
  <c r="H309" i="29"/>
  <c r="L46" i="29" s="1"/>
  <c r="L127" i="29" s="1"/>
  <c r="L23" i="29"/>
  <c r="H301" i="29"/>
  <c r="J45" i="29" s="1"/>
  <c r="H292" i="29"/>
  <c r="J44" i="29" s="1"/>
  <c r="J125" i="29" s="1"/>
  <c r="H427" i="29"/>
  <c r="J63" i="29" s="1"/>
  <c r="H418" i="29"/>
  <c r="J62" i="29" s="1"/>
  <c r="J143" i="29" s="1"/>
  <c r="H140" i="29"/>
  <c r="P18" i="29"/>
  <c r="H122" i="29"/>
  <c r="P16" i="29"/>
  <c r="H442" i="29"/>
  <c r="M65" i="29" s="1"/>
  <c r="M146" i="29" s="1"/>
  <c r="H371" i="29"/>
  <c r="H365" i="29"/>
  <c r="H539" i="29"/>
  <c r="K81" i="29" s="1"/>
  <c r="K162" i="29" s="1"/>
  <c r="H545" i="29"/>
  <c r="G435" i="29"/>
  <c r="H546" i="29"/>
  <c r="L82" i="29" s="1"/>
  <c r="L163" i="29" s="1"/>
  <c r="H552" i="29"/>
  <c r="G246" i="29"/>
  <c r="H490" i="29"/>
  <c r="J72" i="29" s="1"/>
  <c r="H481" i="29"/>
  <c r="J71" i="29" s="1"/>
  <c r="J152" i="29" s="1"/>
  <c r="H149" i="29"/>
  <c r="G464" i="29" s="1"/>
  <c r="P19" i="29"/>
  <c r="M23" i="29"/>
  <c r="H616" i="29"/>
  <c r="M92" i="29" s="1"/>
  <c r="M173" i="29" s="1"/>
  <c r="H167" i="29"/>
  <c r="P21" i="29"/>
  <c r="H379" i="29"/>
  <c r="H553" i="29"/>
  <c r="M83" i="29" s="1"/>
  <c r="M164" i="29" s="1"/>
  <c r="H615" i="29"/>
  <c r="H609" i="29"/>
  <c r="L91" i="29" s="1"/>
  <c r="L172" i="29" s="1"/>
  <c r="K116" i="29"/>
  <c r="J115" i="29"/>
  <c r="J23" i="29"/>
  <c r="H364" i="29"/>
  <c r="J54" i="29" s="1"/>
  <c r="H355" i="29"/>
  <c r="J53" i="29" s="1"/>
  <c r="J134" i="29" s="1"/>
  <c r="H113" i="29"/>
  <c r="P15" i="29"/>
  <c r="H23" i="29"/>
  <c r="H131" i="29"/>
  <c r="H253" i="29"/>
  <c r="M38" i="29" s="1"/>
  <c r="M119" i="29" s="1"/>
  <c r="G459" i="19"/>
  <c r="G461" i="19" s="1"/>
  <c r="J30" i="30"/>
  <c r="J34" i="30" s="1"/>
  <c r="H34" i="30"/>
  <c r="H24" i="30" s="1"/>
  <c r="H44" i="30"/>
  <c r="L53" i="25"/>
  <c r="B164" i="29"/>
  <c r="B47" i="29"/>
  <c r="B119" i="29"/>
  <c r="B128" i="29"/>
  <c r="B83" i="29"/>
  <c r="B137" i="29"/>
  <c r="B74" i="29"/>
  <c r="B104" i="29"/>
  <c r="B173" i="29"/>
  <c r="B92" i="29"/>
  <c r="B184" i="29"/>
  <c r="B38" i="29"/>
  <c r="B56" i="29"/>
  <c r="B65" i="29"/>
  <c r="B155" i="29"/>
  <c r="B146" i="29"/>
  <c r="G53" i="22"/>
  <c r="G69" i="22" s="1"/>
  <c r="I87" i="22"/>
  <c r="I120" i="22" s="1"/>
  <c r="H86" i="22"/>
  <c r="E53" i="22"/>
  <c r="D53" i="22"/>
  <c r="F53" i="22"/>
  <c r="F69" i="22" s="1"/>
  <c r="H621" i="26"/>
  <c r="R94" i="26"/>
  <c r="H546" i="26"/>
  <c r="H271" i="19"/>
  <c r="K37" i="19" s="1"/>
  <c r="K134" i="19" s="1"/>
  <c r="H281" i="19"/>
  <c r="K38" i="19" s="1"/>
  <c r="G141" i="19"/>
  <c r="R141" i="19" s="1"/>
  <c r="K479" i="26"/>
  <c r="K480" i="26" s="1"/>
  <c r="K404" i="26"/>
  <c r="K405" i="26" s="1"/>
  <c r="K620" i="26"/>
  <c r="K621" i="26" s="1"/>
  <c r="K319" i="26"/>
  <c r="L318" i="26"/>
  <c r="K244" i="26"/>
  <c r="K245" i="26" s="1"/>
  <c r="N99" i="8"/>
  <c r="L478" i="26"/>
  <c r="G78" i="26" s="1"/>
  <c r="M478" i="26"/>
  <c r="L243" i="26"/>
  <c r="G34" i="26" s="1"/>
  <c r="M243" i="26"/>
  <c r="L317" i="26"/>
  <c r="G45" i="26" s="1"/>
  <c r="M317" i="26"/>
  <c r="R106" i="26"/>
  <c r="M203" i="26"/>
  <c r="R203" i="26" s="1"/>
  <c r="H666" i="26"/>
  <c r="C680" i="26" s="1"/>
  <c r="L105" i="26"/>
  <c r="R50" i="26"/>
  <c r="L147" i="26"/>
  <c r="R147" i="26" s="1"/>
  <c r="H457" i="26"/>
  <c r="C465" i="26" s="1"/>
  <c r="M73" i="26"/>
  <c r="L619" i="26"/>
  <c r="G100" i="26" s="1"/>
  <c r="H297" i="26"/>
  <c r="C304" i="26" s="1"/>
  <c r="M40" i="26"/>
  <c r="I544" i="26"/>
  <c r="G546" i="26"/>
  <c r="I664" i="26"/>
  <c r="I666" i="26" s="1"/>
  <c r="R185" i="26"/>
  <c r="I455" i="26"/>
  <c r="I457" i="26" s="1"/>
  <c r="B212" i="26"/>
  <c r="B116" i="26"/>
  <c r="B199" i="26"/>
  <c r="B177" i="26"/>
  <c r="B166" i="26"/>
  <c r="B155" i="26"/>
  <c r="B144" i="26"/>
  <c r="B133" i="26"/>
  <c r="B188" i="26"/>
  <c r="B91" i="26"/>
  <c r="B69" i="26"/>
  <c r="B58" i="26"/>
  <c r="B102" i="26"/>
  <c r="B80" i="26"/>
  <c r="B36" i="26"/>
  <c r="B47" i="26"/>
  <c r="M13" i="26"/>
  <c r="R72" i="26"/>
  <c r="L169" i="26"/>
  <c r="R169" i="26" s="1"/>
  <c r="R51" i="26"/>
  <c r="M148" i="26"/>
  <c r="R148" i="26" s="1"/>
  <c r="M619" i="26"/>
  <c r="I295" i="26"/>
  <c r="I297" i="26" s="1"/>
  <c r="H598" i="26"/>
  <c r="C606" i="26" s="1"/>
  <c r="M95" i="26"/>
  <c r="R39" i="26"/>
  <c r="L136" i="26"/>
  <c r="R136" i="26" s="1"/>
  <c r="C53" i="20"/>
  <c r="K53" i="20" s="1"/>
  <c r="F70" i="20"/>
  <c r="G70" i="20"/>
  <c r="G71" i="20"/>
  <c r="H71" i="20" s="1"/>
  <c r="K387" i="19"/>
  <c r="H392" i="19" s="1"/>
  <c r="G152" i="19"/>
  <c r="R152" i="19" s="1"/>
  <c r="K238" i="19"/>
  <c r="H244" i="19" s="1"/>
  <c r="I244" i="19" s="1"/>
  <c r="G196" i="19"/>
  <c r="G174" i="19"/>
  <c r="G185" i="19"/>
  <c r="R163" i="19"/>
  <c r="K595" i="19"/>
  <c r="H600" i="19" s="1"/>
  <c r="K670" i="19"/>
  <c r="H676" i="19" s="1"/>
  <c r="I676" i="19" s="1"/>
  <c r="K529" i="19"/>
  <c r="H535" i="19" s="1"/>
  <c r="I535" i="19" s="1"/>
  <c r="B198" i="19"/>
  <c r="B176" i="19"/>
  <c r="B154" i="19"/>
  <c r="B132" i="19"/>
  <c r="B115" i="19"/>
  <c r="B79" i="19"/>
  <c r="B57" i="19"/>
  <c r="B211" i="19"/>
  <c r="B187" i="19"/>
  <c r="B165" i="19"/>
  <c r="B143" i="19"/>
  <c r="B101" i="19"/>
  <c r="B90" i="19"/>
  <c r="B68" i="19"/>
  <c r="B46" i="19"/>
  <c r="G130" i="19"/>
  <c r="L13" i="19"/>
  <c r="B35" i="19"/>
  <c r="G73" i="25"/>
  <c r="I317" i="19"/>
  <c r="G319" i="19"/>
  <c r="H71" i="25"/>
  <c r="F73" i="25"/>
  <c r="H319" i="19"/>
  <c r="A94" i="5" l="1"/>
  <c r="A97" i="5" s="1"/>
  <c r="A100" i="5" s="1"/>
  <c r="A103" i="5" s="1"/>
  <c r="A112" i="5" s="1"/>
  <c r="A116" i="5" s="1"/>
  <c r="A123" i="5" s="1"/>
  <c r="A125" i="5" s="1"/>
  <c r="A127" i="5" s="1"/>
  <c r="A131" i="5" s="1"/>
  <c r="A135" i="5" s="1"/>
  <c r="A139" i="5" s="1"/>
  <c r="A147" i="5" s="1"/>
  <c r="E69" i="22"/>
  <c r="E83" i="22" s="1"/>
  <c r="D69" i="22"/>
  <c r="D82" i="22" s="1"/>
  <c r="P71" i="8"/>
  <c r="N63" i="8"/>
  <c r="R24" i="26" s="1"/>
  <c r="I271" i="19"/>
  <c r="G281" i="19" s="1"/>
  <c r="G85" i="22"/>
  <c r="J18" i="25"/>
  <c r="J33" i="25" s="1"/>
  <c r="J50" i="25" s="1"/>
  <c r="B26" i="25"/>
  <c r="B41" i="25" s="1"/>
  <c r="B58" i="25" s="1"/>
  <c r="K135" i="19"/>
  <c r="I511" i="19"/>
  <c r="I513" i="19" s="1"/>
  <c r="G513" i="19"/>
  <c r="I459" i="19"/>
  <c r="I461" i="19" s="1"/>
  <c r="J461" i="19" s="1"/>
  <c r="K459" i="19" s="1"/>
  <c r="H393" i="19"/>
  <c r="I393" i="19" s="1"/>
  <c r="G392" i="19"/>
  <c r="G394" i="19" s="1"/>
  <c r="H119" i="22"/>
  <c r="H120" i="22" s="1"/>
  <c r="L120" i="22" s="1"/>
  <c r="I553" i="29"/>
  <c r="I355" i="29"/>
  <c r="G364" i="29" s="1"/>
  <c r="I364" i="29" s="1"/>
  <c r="I616" i="29"/>
  <c r="J126" i="29"/>
  <c r="I302" i="29"/>
  <c r="G308" i="29" s="1"/>
  <c r="I308" i="29" s="1"/>
  <c r="I379" i="29"/>
  <c r="J162" i="29"/>
  <c r="I481" i="29"/>
  <c r="G490" i="29" s="1"/>
  <c r="I490" i="29" s="1"/>
  <c r="I546" i="29"/>
  <c r="G552" i="29" s="1"/>
  <c r="G554" i="29" s="1"/>
  <c r="I442" i="29"/>
  <c r="I418" i="29"/>
  <c r="G427" i="29" s="1"/>
  <c r="I427" i="29" s="1"/>
  <c r="I592" i="29"/>
  <c r="G601" i="29" s="1"/>
  <c r="I601" i="29" s="1"/>
  <c r="I529" i="29"/>
  <c r="G538" i="29" s="1"/>
  <c r="I538" i="29" s="1"/>
  <c r="H246" i="29"/>
  <c r="L37" i="29" s="1"/>
  <c r="L118" i="29" s="1"/>
  <c r="H252" i="29"/>
  <c r="I253" i="29"/>
  <c r="P23" i="29"/>
  <c r="J135" i="29"/>
  <c r="L92" i="29"/>
  <c r="P92" i="29" s="1"/>
  <c r="H617" i="29"/>
  <c r="C624" i="29" s="1"/>
  <c r="G575" i="29"/>
  <c r="G576" i="29" s="1"/>
  <c r="P167" i="29"/>
  <c r="J153" i="29"/>
  <c r="H441" i="29"/>
  <c r="H435" i="29"/>
  <c r="L64" i="29" s="1"/>
  <c r="L145" i="29" s="1"/>
  <c r="I365" i="29"/>
  <c r="G371" i="29" s="1"/>
  <c r="G275" i="29"/>
  <c r="P122" i="29"/>
  <c r="J144" i="29"/>
  <c r="L47" i="29"/>
  <c r="P47" i="29" s="1"/>
  <c r="H317" i="29"/>
  <c r="C324" i="29" s="1"/>
  <c r="K46" i="29"/>
  <c r="P46" i="29" s="1"/>
  <c r="H310" i="29"/>
  <c r="C323" i="29" s="1"/>
  <c r="J171" i="29"/>
  <c r="K64" i="29"/>
  <c r="G239" i="29"/>
  <c r="H554" i="29"/>
  <c r="C561" i="29" s="1"/>
  <c r="L83" i="29"/>
  <c r="P83" i="29" s="1"/>
  <c r="I539" i="29"/>
  <c r="G545" i="29" s="1"/>
  <c r="G338" i="29"/>
  <c r="P131" i="29"/>
  <c r="G229" i="29"/>
  <c r="G212" i="29"/>
  <c r="P113" i="29"/>
  <c r="I609" i="29"/>
  <c r="G615" i="29" s="1"/>
  <c r="K82" i="29"/>
  <c r="P82" i="29" s="1"/>
  <c r="H547" i="29"/>
  <c r="C560" i="29" s="1"/>
  <c r="G401" i="29"/>
  <c r="P140" i="29"/>
  <c r="I292" i="29"/>
  <c r="G301" i="29" s="1"/>
  <c r="I301" i="29" s="1"/>
  <c r="I309" i="29"/>
  <c r="G315" i="29" s="1"/>
  <c r="H378" i="29"/>
  <c r="H372" i="29"/>
  <c r="I316" i="29"/>
  <c r="G512" i="29"/>
  <c r="I428" i="29"/>
  <c r="G434" i="29" s="1"/>
  <c r="P97" i="29"/>
  <c r="M104" i="29"/>
  <c r="H601" i="19"/>
  <c r="I601" i="19" s="1"/>
  <c r="G243" i="19"/>
  <c r="G245" i="19" s="1"/>
  <c r="F84" i="22"/>
  <c r="F88" i="22" s="1"/>
  <c r="J24" i="29" s="1"/>
  <c r="I179" i="29"/>
  <c r="N184" i="29"/>
  <c r="M184" i="29"/>
  <c r="J180" i="29"/>
  <c r="K181" i="29"/>
  <c r="G177" i="29"/>
  <c r="H178" i="29"/>
  <c r="M183" i="29"/>
  <c r="L182" i="29"/>
  <c r="L87" i="22"/>
  <c r="N102" i="22" s="1"/>
  <c r="I88" i="22"/>
  <c r="M24" i="29" s="1"/>
  <c r="H88" i="22"/>
  <c r="L24" i="29" s="1"/>
  <c r="L86" i="22"/>
  <c r="N101" i="22" s="1"/>
  <c r="L404" i="26"/>
  <c r="H67" i="26" s="1"/>
  <c r="H164" i="26" s="1"/>
  <c r="M404" i="26"/>
  <c r="G411" i="26" s="1"/>
  <c r="B213" i="26"/>
  <c r="B200" i="26"/>
  <c r="B103" i="26"/>
  <c r="B178" i="26"/>
  <c r="B167" i="26"/>
  <c r="B156" i="26"/>
  <c r="B145" i="26"/>
  <c r="B134" i="26"/>
  <c r="B48" i="26"/>
  <c r="B189" i="26"/>
  <c r="B117" i="26"/>
  <c r="B81" i="26"/>
  <c r="B37" i="26"/>
  <c r="N13" i="26"/>
  <c r="B92" i="26"/>
  <c r="B70" i="26"/>
  <c r="B59" i="26"/>
  <c r="R73" i="26"/>
  <c r="M170" i="26"/>
  <c r="R170" i="26" s="1"/>
  <c r="L479" i="26"/>
  <c r="H78" i="26" s="1"/>
  <c r="H175" i="26" s="1"/>
  <c r="M479" i="26"/>
  <c r="G486" i="26" s="1"/>
  <c r="G142" i="26"/>
  <c r="G131" i="26"/>
  <c r="G485" i="26"/>
  <c r="R95" i="26"/>
  <c r="M192" i="26"/>
  <c r="R192" i="26" s="1"/>
  <c r="I546" i="26"/>
  <c r="J546" i="26" s="1"/>
  <c r="K544" i="26" s="1"/>
  <c r="L620" i="26"/>
  <c r="H100" i="26" s="1"/>
  <c r="H197" i="26" s="1"/>
  <c r="M620" i="26"/>
  <c r="G627" i="26" s="1"/>
  <c r="R105" i="26"/>
  <c r="L202" i="26"/>
  <c r="R202" i="26" s="1"/>
  <c r="H45" i="26"/>
  <c r="H142" i="26" s="1"/>
  <c r="M318" i="26"/>
  <c r="G325" i="26" s="1"/>
  <c r="G250" i="26"/>
  <c r="L403" i="26"/>
  <c r="G67" i="26" s="1"/>
  <c r="M403" i="26"/>
  <c r="G626" i="26"/>
  <c r="R40" i="26"/>
  <c r="M137" i="26"/>
  <c r="R137" i="26" s="1"/>
  <c r="G197" i="26"/>
  <c r="G324" i="26"/>
  <c r="L244" i="26"/>
  <c r="H34" i="26" s="1"/>
  <c r="M244" i="26"/>
  <c r="G251" i="26" s="1"/>
  <c r="G175" i="26"/>
  <c r="G72" i="20"/>
  <c r="H70" i="20"/>
  <c r="H72" i="20" s="1"/>
  <c r="I72" i="20" s="1"/>
  <c r="F72" i="20"/>
  <c r="H243" i="19"/>
  <c r="H675" i="19"/>
  <c r="H677" i="19" s="1"/>
  <c r="G675" i="19"/>
  <c r="G677" i="19" s="1"/>
  <c r="H534" i="19"/>
  <c r="H536" i="19" s="1"/>
  <c r="G600" i="19"/>
  <c r="I600" i="19" s="1"/>
  <c r="I281" i="19"/>
  <c r="R196" i="19"/>
  <c r="R130" i="19"/>
  <c r="R174" i="19"/>
  <c r="R185" i="19"/>
  <c r="G534" i="19"/>
  <c r="B212" i="19"/>
  <c r="B199" i="19"/>
  <c r="B58" i="19"/>
  <c r="B188" i="19"/>
  <c r="B166" i="19"/>
  <c r="B144" i="19"/>
  <c r="B102" i="19"/>
  <c r="B91" i="19"/>
  <c r="B69" i="19"/>
  <c r="B47" i="19"/>
  <c r="B80" i="19"/>
  <c r="B177" i="19"/>
  <c r="B155" i="19"/>
  <c r="B133" i="19"/>
  <c r="B116" i="19"/>
  <c r="M13" i="19"/>
  <c r="N13" i="19" s="1"/>
  <c r="B36" i="19"/>
  <c r="H73" i="25"/>
  <c r="I73" i="25" s="1"/>
  <c r="J71" i="25" s="1"/>
  <c r="I319" i="19"/>
  <c r="J319" i="19" s="1"/>
  <c r="K317" i="19" s="1"/>
  <c r="D88" i="22" l="1"/>
  <c r="H24" i="29" s="1"/>
  <c r="L82" i="22"/>
  <c r="L83" i="22"/>
  <c r="E88" i="22"/>
  <c r="I24" i="29" s="1"/>
  <c r="A150" i="5"/>
  <c r="A153" i="5" s="1"/>
  <c r="A159" i="5" s="1"/>
  <c r="A162" i="5" s="1"/>
  <c r="A165" i="5" s="1"/>
  <c r="L85" i="22"/>
  <c r="G88" i="22"/>
  <c r="K24" i="29" s="1"/>
  <c r="I243" i="19"/>
  <c r="I245" i="19" s="1"/>
  <c r="J245" i="19" s="1"/>
  <c r="K243" i="19" s="1"/>
  <c r="L243" i="19" s="1"/>
  <c r="G34" i="19" s="1"/>
  <c r="G131" i="19" s="1"/>
  <c r="B104" i="19"/>
  <c r="B60" i="19"/>
  <c r="B214" i="19"/>
  <c r="B168" i="19"/>
  <c r="B71" i="19"/>
  <c r="B179" i="19"/>
  <c r="B135" i="19"/>
  <c r="O13" i="19"/>
  <c r="B118" i="19"/>
  <c r="B82" i="19"/>
  <c r="B38" i="19"/>
  <c r="B190" i="19"/>
  <c r="B146" i="19"/>
  <c r="B93" i="19"/>
  <c r="B49" i="19"/>
  <c r="B201" i="19"/>
  <c r="B157" i="19"/>
  <c r="I392" i="19"/>
  <c r="I602" i="19"/>
  <c r="J602" i="19" s="1"/>
  <c r="K600" i="19" s="1"/>
  <c r="K601" i="19" s="1"/>
  <c r="H602" i="19"/>
  <c r="H394" i="19"/>
  <c r="H245" i="19"/>
  <c r="G310" i="29"/>
  <c r="I675" i="19"/>
  <c r="I677" i="19" s="1"/>
  <c r="J677" i="19" s="1"/>
  <c r="L183" i="29"/>
  <c r="H574" i="29"/>
  <c r="H575" i="29"/>
  <c r="I575" i="29" s="1"/>
  <c r="H436" i="29"/>
  <c r="C449" i="29" s="1"/>
  <c r="P64" i="29"/>
  <c r="H373" i="29"/>
  <c r="C386" i="29" s="1"/>
  <c r="I552" i="29"/>
  <c r="I554" i="29" s="1"/>
  <c r="I372" i="29"/>
  <c r="G378" i="29" s="1"/>
  <c r="G380" i="29" s="1"/>
  <c r="L173" i="29"/>
  <c r="K127" i="29"/>
  <c r="P127" i="29" s="1"/>
  <c r="L103" i="29"/>
  <c r="G373" i="29"/>
  <c r="I371" i="29"/>
  <c r="I315" i="29"/>
  <c r="I317" i="29" s="1"/>
  <c r="G317" i="29"/>
  <c r="L164" i="29"/>
  <c r="H229" i="29"/>
  <c r="J35" i="29" s="1"/>
  <c r="H238" i="29"/>
  <c r="J36" i="29" s="1"/>
  <c r="J102" i="29" s="1"/>
  <c r="F100" i="22" s="1"/>
  <c r="I545" i="29"/>
  <c r="I547" i="29" s="1"/>
  <c r="G547" i="29"/>
  <c r="I435" i="29"/>
  <c r="G441" i="29" s="1"/>
  <c r="K163" i="29"/>
  <c r="H380" i="29"/>
  <c r="C387" i="29" s="1"/>
  <c r="G617" i="29"/>
  <c r="I615" i="29"/>
  <c r="I617" i="29" s="1"/>
  <c r="L128" i="29"/>
  <c r="P128" i="29" s="1"/>
  <c r="I434" i="29"/>
  <c r="G436" i="29"/>
  <c r="I246" i="29"/>
  <c r="G252" i="29" s="1"/>
  <c r="G213" i="29"/>
  <c r="H212" i="29"/>
  <c r="I212" i="29" s="1"/>
  <c r="H211" i="29"/>
  <c r="G339" i="29"/>
  <c r="H337" i="29"/>
  <c r="H338" i="29"/>
  <c r="I338" i="29" s="1"/>
  <c r="H245" i="29"/>
  <c r="H239" i="29"/>
  <c r="K36" i="29" s="1"/>
  <c r="K117" i="29" s="1"/>
  <c r="G276" i="29"/>
  <c r="H274" i="29"/>
  <c r="H275" i="29"/>
  <c r="I275" i="29" s="1"/>
  <c r="L65" i="29"/>
  <c r="P65" i="29" s="1"/>
  <c r="H443" i="29"/>
  <c r="C450" i="29" s="1"/>
  <c r="K145" i="29"/>
  <c r="P145" i="29" s="1"/>
  <c r="I310" i="29"/>
  <c r="L38" i="29"/>
  <c r="H254" i="29"/>
  <c r="C261" i="29" s="1"/>
  <c r="G602" i="19"/>
  <c r="L84" i="22"/>
  <c r="I89" i="22"/>
  <c r="M185" i="29" s="1"/>
  <c r="H89" i="22"/>
  <c r="L185" i="29" s="1"/>
  <c r="M480" i="26"/>
  <c r="H485" i="26" s="1"/>
  <c r="K545" i="26"/>
  <c r="K546" i="26" s="1"/>
  <c r="M621" i="26"/>
  <c r="H628" i="26" s="1"/>
  <c r="I628" i="26" s="1"/>
  <c r="R78" i="26"/>
  <c r="R100" i="26"/>
  <c r="M319" i="26"/>
  <c r="M245" i="26"/>
  <c r="L544" i="26"/>
  <c r="G89" i="26" s="1"/>
  <c r="G488" i="26"/>
  <c r="R142" i="26"/>
  <c r="G327" i="26"/>
  <c r="G253" i="26"/>
  <c r="R45" i="26"/>
  <c r="B201" i="26"/>
  <c r="B190" i="26"/>
  <c r="B214" i="26"/>
  <c r="B118" i="26"/>
  <c r="B168" i="26"/>
  <c r="B157" i="26"/>
  <c r="B146" i="26"/>
  <c r="B135" i="26"/>
  <c r="B179" i="26"/>
  <c r="B104" i="26"/>
  <c r="B60" i="26"/>
  <c r="O13" i="26"/>
  <c r="B49" i="26"/>
  <c r="B93" i="26"/>
  <c r="B71" i="26"/>
  <c r="B82" i="26"/>
  <c r="B38" i="26"/>
  <c r="R175" i="26"/>
  <c r="R197" i="26"/>
  <c r="G629" i="26"/>
  <c r="G410" i="26"/>
  <c r="M405" i="26"/>
  <c r="M544" i="26"/>
  <c r="H131" i="26"/>
  <c r="R67" i="26"/>
  <c r="G164" i="26"/>
  <c r="R34" i="26"/>
  <c r="J70" i="20"/>
  <c r="J71" i="20" s="1"/>
  <c r="I534" i="19"/>
  <c r="I536" i="19" s="1"/>
  <c r="J536" i="19" s="1"/>
  <c r="G536" i="19"/>
  <c r="B189" i="19"/>
  <c r="B167" i="19"/>
  <c r="B145" i="19"/>
  <c r="B103" i="19"/>
  <c r="B92" i="19"/>
  <c r="B70" i="19"/>
  <c r="B48" i="19"/>
  <c r="B200" i="19"/>
  <c r="B178" i="19"/>
  <c r="B156" i="19"/>
  <c r="B134" i="19"/>
  <c r="B117" i="19"/>
  <c r="B81" i="19"/>
  <c r="B59" i="19"/>
  <c r="B213" i="19"/>
  <c r="B37" i="19"/>
  <c r="L317" i="19"/>
  <c r="G45" i="19" s="1"/>
  <c r="K71" i="25"/>
  <c r="C37" i="25" s="1"/>
  <c r="L459" i="19"/>
  <c r="G67" i="19" s="1"/>
  <c r="M317" i="19"/>
  <c r="K318" i="19"/>
  <c r="K319" i="19" s="1"/>
  <c r="M459" i="19"/>
  <c r="L71" i="25"/>
  <c r="F78" i="25" s="1"/>
  <c r="G86" i="25" s="1"/>
  <c r="C39" i="25" s="1"/>
  <c r="K460" i="19"/>
  <c r="K461" i="19" s="1"/>
  <c r="J72" i="25"/>
  <c r="A168" i="5" l="1"/>
  <c r="A176" i="5" s="1"/>
  <c r="A178" i="5" s="1"/>
  <c r="A182" i="5" s="1"/>
  <c r="A199" i="5" s="1"/>
  <c r="A200" i="5" s="1"/>
  <c r="K244" i="19"/>
  <c r="K245" i="19" s="1"/>
  <c r="M243" i="19"/>
  <c r="G250" i="19" s="1"/>
  <c r="L88" i="22"/>
  <c r="P24" i="29" s="1"/>
  <c r="B94" i="19"/>
  <c r="B50" i="19"/>
  <c r="B202" i="19"/>
  <c r="B158" i="19"/>
  <c r="B61" i="19"/>
  <c r="B215" i="19"/>
  <c r="B147" i="19"/>
  <c r="B105" i="19"/>
  <c r="B169" i="19"/>
  <c r="P13" i="19"/>
  <c r="B72" i="19"/>
  <c r="B119" i="19"/>
  <c r="B180" i="19"/>
  <c r="B136" i="19"/>
  <c r="B83" i="19"/>
  <c r="B39" i="19"/>
  <c r="B191" i="19"/>
  <c r="I394" i="19"/>
  <c r="J394" i="19" s="1"/>
  <c r="K392" i="19" s="1"/>
  <c r="L392" i="19" s="1"/>
  <c r="G56" i="19" s="1"/>
  <c r="G153" i="19" s="1"/>
  <c r="K675" i="19"/>
  <c r="K676" i="19" s="1"/>
  <c r="L676" i="19" s="1"/>
  <c r="H100" i="19" s="1"/>
  <c r="H197" i="19" s="1"/>
  <c r="H576" i="29"/>
  <c r="I574" i="29"/>
  <c r="I378" i="29"/>
  <c r="I380" i="29" s="1"/>
  <c r="I239" i="29"/>
  <c r="G245" i="29" s="1"/>
  <c r="I245" i="29" s="1"/>
  <c r="I247" i="29" s="1"/>
  <c r="I373" i="29"/>
  <c r="P38" i="29"/>
  <c r="P104" i="29" s="1"/>
  <c r="L104" i="29"/>
  <c r="L119" i="29"/>
  <c r="I252" i="29"/>
  <c r="I254" i="29" s="1"/>
  <c r="G254" i="29"/>
  <c r="G443" i="29"/>
  <c r="I441" i="29"/>
  <c r="I443" i="29" s="1"/>
  <c r="J101" i="29"/>
  <c r="F99" i="22" s="1"/>
  <c r="F117" i="22" s="1"/>
  <c r="F118" i="22" s="1"/>
  <c r="J116" i="29"/>
  <c r="I337" i="29"/>
  <c r="I339" i="29" s="1"/>
  <c r="J339" i="29" s="1"/>
  <c r="K337" i="29" s="1"/>
  <c r="H339" i="29"/>
  <c r="L146" i="29"/>
  <c r="P146" i="29" s="1"/>
  <c r="I436" i="29"/>
  <c r="I274" i="29"/>
  <c r="H276" i="29"/>
  <c r="I229" i="29"/>
  <c r="G238" i="29" s="1"/>
  <c r="I506" i="29" s="1"/>
  <c r="J506" i="29" s="1"/>
  <c r="K37" i="29"/>
  <c r="P37" i="29" s="1"/>
  <c r="H247" i="29"/>
  <c r="C260" i="29" s="1"/>
  <c r="I211" i="29"/>
  <c r="H213" i="29"/>
  <c r="C54" i="25"/>
  <c r="G78" i="25"/>
  <c r="C38" i="25" s="1"/>
  <c r="I576" i="29"/>
  <c r="J576" i="29" s="1"/>
  <c r="H401" i="29"/>
  <c r="I401" i="29" s="1"/>
  <c r="H400" i="29"/>
  <c r="G402" i="29"/>
  <c r="J89" i="22"/>
  <c r="N185" i="29" s="1"/>
  <c r="H486" i="26"/>
  <c r="I486" i="26" s="1"/>
  <c r="H487" i="26"/>
  <c r="I487" i="26" s="1"/>
  <c r="H626" i="26"/>
  <c r="I626" i="26" s="1"/>
  <c r="H627" i="26"/>
  <c r="I627" i="26" s="1"/>
  <c r="H324" i="26"/>
  <c r="I324" i="26" s="1"/>
  <c r="L545" i="26"/>
  <c r="H89" i="26" s="1"/>
  <c r="H186" i="26" s="1"/>
  <c r="M545" i="26"/>
  <c r="G552" i="26" s="1"/>
  <c r="R164" i="26"/>
  <c r="H410" i="26"/>
  <c r="I410" i="26" s="1"/>
  <c r="G186" i="26"/>
  <c r="H252" i="26"/>
  <c r="I252" i="26" s="1"/>
  <c r="H250" i="26"/>
  <c r="H251" i="26"/>
  <c r="I251" i="26" s="1"/>
  <c r="R131" i="26"/>
  <c r="G413" i="26"/>
  <c r="B215" i="26"/>
  <c r="B119" i="26"/>
  <c r="B202" i="26"/>
  <c r="B180" i="26"/>
  <c r="B105" i="26"/>
  <c r="B169" i="26"/>
  <c r="B61" i="26"/>
  <c r="B136" i="26"/>
  <c r="B158" i="26"/>
  <c r="B50" i="26"/>
  <c r="B94" i="26"/>
  <c r="B72" i="26"/>
  <c r="P13" i="26"/>
  <c r="B147" i="26"/>
  <c r="B83" i="26"/>
  <c r="B39" i="26"/>
  <c r="B191" i="26"/>
  <c r="I485" i="26"/>
  <c r="G551" i="26"/>
  <c r="K71" i="20"/>
  <c r="D38" i="20" s="1"/>
  <c r="D54" i="20" s="1"/>
  <c r="L71" i="20"/>
  <c r="F78" i="20" s="1"/>
  <c r="L70" i="20"/>
  <c r="J72" i="20"/>
  <c r="K70" i="20"/>
  <c r="C38" i="20" s="1"/>
  <c r="K38" i="20" s="1"/>
  <c r="M38" i="20" s="1"/>
  <c r="G164" i="19"/>
  <c r="G142" i="19"/>
  <c r="N67" i="7"/>
  <c r="K72" i="25"/>
  <c r="D37" i="25" s="1"/>
  <c r="L72" i="25"/>
  <c r="G324" i="19"/>
  <c r="J73" i="25"/>
  <c r="K534" i="19"/>
  <c r="L601" i="19"/>
  <c r="H89" i="19" s="1"/>
  <c r="H186" i="19" s="1"/>
  <c r="M601" i="19"/>
  <c r="G608" i="19" s="1"/>
  <c r="L600" i="19"/>
  <c r="G89" i="19" s="1"/>
  <c r="K602" i="19"/>
  <c r="M600" i="19"/>
  <c r="L460" i="19"/>
  <c r="H67" i="19" s="1"/>
  <c r="H164" i="19" s="1"/>
  <c r="M460" i="19"/>
  <c r="G467" i="19" s="1"/>
  <c r="G466" i="19"/>
  <c r="L318" i="19"/>
  <c r="H45" i="19" s="1"/>
  <c r="H142" i="19" s="1"/>
  <c r="M318" i="19"/>
  <c r="G325" i="19" s="1"/>
  <c r="L244" i="19" l="1"/>
  <c r="H34" i="19" s="1"/>
  <c r="R34" i="19" s="1"/>
  <c r="M244" i="19"/>
  <c r="G251" i="19" s="1"/>
  <c r="G253" i="19" s="1"/>
  <c r="G247" i="29"/>
  <c r="K393" i="19"/>
  <c r="K394" i="19" s="1"/>
  <c r="M676" i="19"/>
  <c r="G683" i="19" s="1"/>
  <c r="B84" i="19"/>
  <c r="B40" i="19"/>
  <c r="B192" i="19"/>
  <c r="O215" i="19" s="1"/>
  <c r="B148" i="19"/>
  <c r="B95" i="19"/>
  <c r="B51" i="19"/>
  <c r="B203" i="19"/>
  <c r="B159" i="19"/>
  <c r="B181" i="19"/>
  <c r="B137" i="19"/>
  <c r="B106" i="19"/>
  <c r="B62" i="19"/>
  <c r="B216" i="19"/>
  <c r="B170" i="19"/>
  <c r="B73" i="19"/>
  <c r="B120" i="19"/>
  <c r="M392" i="19"/>
  <c r="G399" i="19" s="1"/>
  <c r="L675" i="19"/>
  <c r="G100" i="19" s="1"/>
  <c r="G197" i="19" s="1"/>
  <c r="R197" i="19" s="1"/>
  <c r="M675" i="19"/>
  <c r="K677" i="19"/>
  <c r="M245" i="19"/>
  <c r="H250" i="19" s="1"/>
  <c r="H251" i="19" s="1"/>
  <c r="I251" i="19" s="1"/>
  <c r="G77" i="29"/>
  <c r="K506" i="29"/>
  <c r="P119" i="29"/>
  <c r="L184" i="29"/>
  <c r="K338" i="29"/>
  <c r="K118" i="29"/>
  <c r="P118" i="29" s="1"/>
  <c r="F103" i="22"/>
  <c r="F89" i="22" s="1"/>
  <c r="I213" i="29"/>
  <c r="J213" i="29" s="1"/>
  <c r="I276" i="29"/>
  <c r="J276" i="29" s="1"/>
  <c r="K274" i="29" s="1"/>
  <c r="M274" i="29" s="1"/>
  <c r="M337" i="29"/>
  <c r="L337" i="29"/>
  <c r="G51" i="29" s="1"/>
  <c r="J117" i="29"/>
  <c r="J182" i="29" s="1"/>
  <c r="J181" i="29"/>
  <c r="D54" i="25"/>
  <c r="L54" i="25" s="1"/>
  <c r="C42" i="25"/>
  <c r="C28" i="25" s="1"/>
  <c r="C55" i="25"/>
  <c r="C56" i="25" s="1"/>
  <c r="H78" i="25"/>
  <c r="F86" i="25" s="1"/>
  <c r="L37" i="25"/>
  <c r="N37" i="25" s="1"/>
  <c r="L73" i="25"/>
  <c r="F79" i="25"/>
  <c r="G87" i="25" s="1"/>
  <c r="H608" i="29"/>
  <c r="H602" i="29"/>
  <c r="K574" i="29"/>
  <c r="H402" i="29"/>
  <c r="I400" i="29"/>
  <c r="H488" i="26"/>
  <c r="H411" i="26"/>
  <c r="I411" i="26" s="1"/>
  <c r="H325" i="26"/>
  <c r="I629" i="26"/>
  <c r="J629" i="26" s="1"/>
  <c r="H629" i="26"/>
  <c r="R89" i="26"/>
  <c r="B203" i="26"/>
  <c r="B192" i="26"/>
  <c r="B216" i="26"/>
  <c r="B120" i="26"/>
  <c r="B181" i="26"/>
  <c r="B170" i="26"/>
  <c r="B159" i="26"/>
  <c r="B148" i="26"/>
  <c r="B137" i="26"/>
  <c r="B106" i="26"/>
  <c r="B62" i="26"/>
  <c r="B84" i="26"/>
  <c r="B51" i="26"/>
  <c r="B95" i="26"/>
  <c r="B73" i="26"/>
  <c r="B40" i="26"/>
  <c r="I488" i="26"/>
  <c r="J488" i="26" s="1"/>
  <c r="R186" i="26"/>
  <c r="M546" i="26"/>
  <c r="G554" i="26"/>
  <c r="H253" i="26"/>
  <c r="I250" i="26"/>
  <c r="C54" i="20"/>
  <c r="F77" i="20"/>
  <c r="L72" i="20"/>
  <c r="H131" i="19"/>
  <c r="R131" i="19" s="1"/>
  <c r="R45" i="19"/>
  <c r="R89" i="19"/>
  <c r="G186" i="19"/>
  <c r="R164" i="19"/>
  <c r="R142" i="19"/>
  <c r="R67" i="19"/>
  <c r="M461" i="19"/>
  <c r="M319" i="19"/>
  <c r="G469" i="19"/>
  <c r="G327" i="19"/>
  <c r="G607" i="19"/>
  <c r="M602" i="19"/>
  <c r="L534" i="19"/>
  <c r="G78" i="19" s="1"/>
  <c r="M534" i="19"/>
  <c r="K535" i="19"/>
  <c r="M393" i="19" l="1"/>
  <c r="M677" i="19"/>
  <c r="H682" i="19" s="1"/>
  <c r="L393" i="19"/>
  <c r="H56" i="19" s="1"/>
  <c r="H153" i="19" s="1"/>
  <c r="R153" i="19" s="1"/>
  <c r="K118" i="19"/>
  <c r="N215" i="19"/>
  <c r="G682" i="19"/>
  <c r="G685" i="19" s="1"/>
  <c r="G90" i="25"/>
  <c r="B110" i="25" s="1"/>
  <c r="D39" i="25"/>
  <c r="L39" i="25" s="1"/>
  <c r="N39" i="25" s="1"/>
  <c r="H86" i="25"/>
  <c r="D66" i="5"/>
  <c r="E66" i="5"/>
  <c r="P216" i="19"/>
  <c r="N216" i="19"/>
  <c r="O216" i="19"/>
  <c r="M216" i="19"/>
  <c r="R100" i="19"/>
  <c r="M394" i="19"/>
  <c r="N120" i="19"/>
  <c r="M120" i="19"/>
  <c r="L214" i="19"/>
  <c r="N214" i="19"/>
  <c r="M214" i="19"/>
  <c r="K214" i="19"/>
  <c r="L215" i="19"/>
  <c r="M215" i="19"/>
  <c r="M119" i="19"/>
  <c r="L118" i="19"/>
  <c r="L119" i="19"/>
  <c r="G400" i="19"/>
  <c r="G402" i="19" s="1"/>
  <c r="I250" i="19"/>
  <c r="H252" i="19"/>
  <c r="I252" i="19" s="1"/>
  <c r="M213" i="19"/>
  <c r="M217" i="19" s="1"/>
  <c r="G511" i="29"/>
  <c r="H511" i="29"/>
  <c r="H512" i="29"/>
  <c r="I512" i="29" s="1"/>
  <c r="P77" i="29"/>
  <c r="G158" i="29"/>
  <c r="P158" i="29" s="1"/>
  <c r="K211" i="29"/>
  <c r="K212" i="29" s="1"/>
  <c r="J185" i="29"/>
  <c r="K339" i="29"/>
  <c r="L338" i="29"/>
  <c r="H51" i="29" s="1"/>
  <c r="H132" i="29" s="1"/>
  <c r="M338" i="29"/>
  <c r="G345" i="29" s="1"/>
  <c r="L274" i="29"/>
  <c r="G42" i="29" s="1"/>
  <c r="G132" i="29"/>
  <c r="K275" i="29"/>
  <c r="G281" i="29"/>
  <c r="G344" i="29"/>
  <c r="K213" i="26"/>
  <c r="H114" i="26"/>
  <c r="D73" i="8" s="1"/>
  <c r="D93" i="8" s="1"/>
  <c r="I602" i="29"/>
  <c r="G608" i="29" s="1"/>
  <c r="G610" i="29" s="1"/>
  <c r="K90" i="29"/>
  <c r="H610" i="29"/>
  <c r="C623" i="29" s="1"/>
  <c r="K91" i="29"/>
  <c r="G79" i="25"/>
  <c r="D38" i="25" s="1"/>
  <c r="D55" i="25" s="1"/>
  <c r="F81" i="25"/>
  <c r="L574" i="29"/>
  <c r="G87" i="29" s="1"/>
  <c r="M574" i="29"/>
  <c r="K575" i="29"/>
  <c r="K576" i="29" s="1"/>
  <c r="I402" i="29"/>
  <c r="J402" i="29" s="1"/>
  <c r="H412" i="26"/>
  <c r="I412" i="26" s="1"/>
  <c r="I413" i="26" s="1"/>
  <c r="J413" i="26" s="1"/>
  <c r="K410" i="26" s="1"/>
  <c r="M410" i="26" s="1"/>
  <c r="G418" i="26" s="1"/>
  <c r="I325" i="26"/>
  <c r="H326" i="26"/>
  <c r="K626" i="26"/>
  <c r="K485" i="26"/>
  <c r="L485" i="26" s="1"/>
  <c r="G79" i="26" s="1"/>
  <c r="G210" i="26"/>
  <c r="K211" i="26"/>
  <c r="M119" i="26"/>
  <c r="R114" i="26"/>
  <c r="R209" i="26"/>
  <c r="N215" i="26"/>
  <c r="R207" i="26"/>
  <c r="L215" i="26"/>
  <c r="J211" i="26"/>
  <c r="R210" i="26"/>
  <c r="M215" i="26"/>
  <c r="R215" i="26"/>
  <c r="H209" i="26"/>
  <c r="L119" i="26"/>
  <c r="K117" i="26"/>
  <c r="G76" i="8" s="1"/>
  <c r="G96" i="8" s="1"/>
  <c r="M213" i="26"/>
  <c r="M217" i="26" s="1"/>
  <c r="O215" i="26"/>
  <c r="G209" i="26"/>
  <c r="I253" i="26"/>
  <c r="J253" i="26" s="1"/>
  <c r="H552" i="26"/>
  <c r="I552" i="26" s="1"/>
  <c r="H553" i="26"/>
  <c r="I553" i="26" s="1"/>
  <c r="H551" i="26"/>
  <c r="R119" i="26"/>
  <c r="R111" i="26"/>
  <c r="R113" i="26"/>
  <c r="R112" i="26"/>
  <c r="L118" i="26"/>
  <c r="H77" i="8" s="1"/>
  <c r="H97" i="8" s="1"/>
  <c r="H98" i="8" s="1"/>
  <c r="G114" i="26"/>
  <c r="C73" i="8" s="1"/>
  <c r="K118" i="26"/>
  <c r="G77" i="8" s="1"/>
  <c r="G113" i="26"/>
  <c r="C72" i="8" s="1"/>
  <c r="I209" i="26"/>
  <c r="J210" i="26"/>
  <c r="L214" i="26"/>
  <c r="I210" i="26"/>
  <c r="G208" i="26"/>
  <c r="M214" i="26"/>
  <c r="L213" i="26"/>
  <c r="L212" i="26"/>
  <c r="R208" i="26"/>
  <c r="H208" i="26"/>
  <c r="N214" i="26"/>
  <c r="H210" i="26"/>
  <c r="K212" i="26"/>
  <c r="K214" i="26"/>
  <c r="R120" i="26"/>
  <c r="N120" i="26"/>
  <c r="M120" i="26"/>
  <c r="G207" i="26"/>
  <c r="O216" i="26"/>
  <c r="R216" i="26"/>
  <c r="P216" i="26"/>
  <c r="N216" i="26"/>
  <c r="M216" i="26"/>
  <c r="K54" i="20"/>
  <c r="G77" i="20"/>
  <c r="H77" i="20" s="1"/>
  <c r="G79" i="20"/>
  <c r="H79" i="20" s="1"/>
  <c r="G78" i="20"/>
  <c r="H78" i="20" s="1"/>
  <c r="F80" i="20"/>
  <c r="G175" i="19"/>
  <c r="R186" i="19"/>
  <c r="H684" i="19"/>
  <c r="I684" i="19" s="1"/>
  <c r="H683" i="19"/>
  <c r="I683" i="19" s="1"/>
  <c r="I682" i="19"/>
  <c r="H399" i="19"/>
  <c r="H400" i="19" s="1"/>
  <c r="I400" i="19" s="1"/>
  <c r="H324" i="19"/>
  <c r="I324" i="19" s="1"/>
  <c r="H466" i="19"/>
  <c r="I466" i="19" s="1"/>
  <c r="L535" i="19"/>
  <c r="H78" i="19" s="1"/>
  <c r="M535" i="19"/>
  <c r="G542" i="19" s="1"/>
  <c r="G610" i="19"/>
  <c r="G541" i="19"/>
  <c r="K536" i="19"/>
  <c r="H607" i="19"/>
  <c r="H608" i="19"/>
  <c r="I608" i="19" s="1"/>
  <c r="H609" i="19"/>
  <c r="I609" i="19" s="1"/>
  <c r="R56" i="19" l="1"/>
  <c r="I253" i="19"/>
  <c r="J253" i="19" s="1"/>
  <c r="L55" i="25"/>
  <c r="D67" i="5" s="1"/>
  <c r="D65" i="5" s="1"/>
  <c r="D64" i="5" s="1"/>
  <c r="D56" i="25"/>
  <c r="L56" i="25" s="1"/>
  <c r="E67" i="5"/>
  <c r="E65" i="5" s="1"/>
  <c r="E64" i="5" s="1"/>
  <c r="H253" i="19"/>
  <c r="I608" i="29"/>
  <c r="I610" i="29" s="1"/>
  <c r="N73" i="8"/>
  <c r="P73" i="8" s="1"/>
  <c r="M339" i="29"/>
  <c r="G97" i="8"/>
  <c r="H513" i="29"/>
  <c r="G513" i="29"/>
  <c r="I511" i="29"/>
  <c r="P51" i="29"/>
  <c r="L212" i="29"/>
  <c r="H33" i="29" s="1"/>
  <c r="H114" i="29" s="1"/>
  <c r="M212" i="29"/>
  <c r="G219" i="29" s="1"/>
  <c r="G347" i="29"/>
  <c r="P132" i="29"/>
  <c r="G123" i="29"/>
  <c r="L275" i="29"/>
  <c r="H42" i="29" s="1"/>
  <c r="H123" i="29" s="1"/>
  <c r="M275" i="29"/>
  <c r="K276" i="29"/>
  <c r="K213" i="29"/>
  <c r="L211" i="29"/>
  <c r="G33" i="29" s="1"/>
  <c r="M211" i="29"/>
  <c r="H413" i="26"/>
  <c r="P91" i="29"/>
  <c r="P103" i="29" s="1"/>
  <c r="K103" i="29"/>
  <c r="K171" i="29"/>
  <c r="K102" i="29"/>
  <c r="G100" i="22" s="1"/>
  <c r="G118" i="22" s="1"/>
  <c r="G119" i="22" s="1"/>
  <c r="J211" i="19"/>
  <c r="L213" i="19"/>
  <c r="L38" i="25"/>
  <c r="H79" i="25"/>
  <c r="F87" i="25" s="1"/>
  <c r="G81" i="25"/>
  <c r="B109" i="25" s="1"/>
  <c r="G168" i="29"/>
  <c r="G581" i="29"/>
  <c r="L575" i="29"/>
  <c r="H87" i="29" s="1"/>
  <c r="H168" i="29" s="1"/>
  <c r="M575" i="29"/>
  <c r="G582" i="29" s="1"/>
  <c r="K400" i="29"/>
  <c r="P177" i="29"/>
  <c r="I326" i="26"/>
  <c r="I327" i="26" s="1"/>
  <c r="J327" i="26" s="1"/>
  <c r="K324" i="26" s="1"/>
  <c r="L324" i="26" s="1"/>
  <c r="G46" i="26" s="1"/>
  <c r="G143" i="26" s="1"/>
  <c r="H327" i="26"/>
  <c r="R208" i="19"/>
  <c r="M626" i="26"/>
  <c r="G634" i="26" s="1"/>
  <c r="L626" i="26"/>
  <c r="G101" i="26" s="1"/>
  <c r="G198" i="26" s="1"/>
  <c r="K627" i="26"/>
  <c r="K628" i="26" s="1"/>
  <c r="M485" i="26"/>
  <c r="G493" i="26" s="1"/>
  <c r="K486" i="26"/>
  <c r="K411" i="26"/>
  <c r="L410" i="26"/>
  <c r="G68" i="26" s="1"/>
  <c r="G165" i="26" s="1"/>
  <c r="G80" i="8"/>
  <c r="G64" i="8" s="1"/>
  <c r="K250" i="26"/>
  <c r="L250" i="26" s="1"/>
  <c r="G35" i="26" s="1"/>
  <c r="N98" i="8"/>
  <c r="H80" i="8"/>
  <c r="H64" i="8" s="1"/>
  <c r="L217" i="26" s="1"/>
  <c r="C92" i="8"/>
  <c r="N72" i="8"/>
  <c r="H554" i="26"/>
  <c r="I551" i="26"/>
  <c r="G176" i="26"/>
  <c r="H80" i="20"/>
  <c r="I80" i="20" s="1"/>
  <c r="G80" i="20"/>
  <c r="R209" i="19"/>
  <c r="K211" i="19"/>
  <c r="G114" i="19"/>
  <c r="C41" i="7" s="1"/>
  <c r="L212" i="19"/>
  <c r="K212" i="19"/>
  <c r="H45" i="7"/>
  <c r="K117" i="19"/>
  <c r="G44" i="7" s="1"/>
  <c r="J210" i="19"/>
  <c r="I209" i="19"/>
  <c r="G207" i="19"/>
  <c r="H209" i="19"/>
  <c r="I210" i="19"/>
  <c r="G208" i="19"/>
  <c r="H208" i="19"/>
  <c r="R207" i="19"/>
  <c r="R111" i="19"/>
  <c r="R112" i="19"/>
  <c r="R113" i="19"/>
  <c r="G113" i="19"/>
  <c r="C40" i="7" s="1"/>
  <c r="K213" i="19"/>
  <c r="G209" i="19"/>
  <c r="G45" i="7"/>
  <c r="H114" i="19"/>
  <c r="D41" i="7" s="1"/>
  <c r="H175" i="19"/>
  <c r="R175" i="19" s="1"/>
  <c r="R210" i="19" s="1"/>
  <c r="G210" i="19"/>
  <c r="R78" i="19"/>
  <c r="R114" i="19" s="1"/>
  <c r="I685" i="19"/>
  <c r="J685" i="19" s="1"/>
  <c r="K682" i="19" s="1"/>
  <c r="M682" i="19" s="1"/>
  <c r="H685" i="19"/>
  <c r="H467" i="19"/>
  <c r="I467" i="19" s="1"/>
  <c r="H401" i="19"/>
  <c r="I401" i="19" s="1"/>
  <c r="H325" i="19"/>
  <c r="I325" i="19" s="1"/>
  <c r="I399" i="19"/>
  <c r="G544" i="19"/>
  <c r="H610" i="19"/>
  <c r="I607" i="19"/>
  <c r="K250" i="19"/>
  <c r="M536" i="19"/>
  <c r="H87" i="25" l="1"/>
  <c r="H90" i="25" s="1"/>
  <c r="F90" i="25"/>
  <c r="E33" i="5"/>
  <c r="H344" i="29"/>
  <c r="I344" i="29" s="1"/>
  <c r="I513" i="29"/>
  <c r="J513" i="29" s="1"/>
  <c r="K511" i="29" s="1"/>
  <c r="P42" i="29"/>
  <c r="G114" i="29"/>
  <c r="P33" i="29"/>
  <c r="G282" i="29"/>
  <c r="M276" i="29"/>
  <c r="P123" i="29"/>
  <c r="G218" i="29"/>
  <c r="M213" i="29"/>
  <c r="K172" i="29"/>
  <c r="K183" i="29" s="1"/>
  <c r="K182" i="29"/>
  <c r="G103" i="22"/>
  <c r="G89" i="22" s="1"/>
  <c r="K185" i="29" s="1"/>
  <c r="L119" i="22"/>
  <c r="N38" i="25"/>
  <c r="N42" i="25" s="1"/>
  <c r="L42" i="25"/>
  <c r="L28" i="25" s="1"/>
  <c r="D42" i="25"/>
  <c r="D28" i="25" s="1"/>
  <c r="H81" i="25"/>
  <c r="P168" i="29"/>
  <c r="P87" i="29"/>
  <c r="M576" i="29"/>
  <c r="G584" i="29"/>
  <c r="L400" i="29"/>
  <c r="G60" i="29" s="1"/>
  <c r="M400" i="29"/>
  <c r="K401" i="29"/>
  <c r="M324" i="26"/>
  <c r="G332" i="26" s="1"/>
  <c r="K325" i="26"/>
  <c r="K326" i="26" s="1"/>
  <c r="M326" i="26" s="1"/>
  <c r="G334" i="26" s="1"/>
  <c r="K217" i="26"/>
  <c r="K683" i="19"/>
  <c r="M683" i="19" s="1"/>
  <c r="G691" i="19" s="1"/>
  <c r="L682" i="19"/>
  <c r="G101" i="19" s="1"/>
  <c r="K487" i="26"/>
  <c r="K488" i="26" s="1"/>
  <c r="L628" i="26"/>
  <c r="I101" i="26" s="1"/>
  <c r="I198" i="26" s="1"/>
  <c r="M628" i="26"/>
  <c r="G636" i="26" s="1"/>
  <c r="L627" i="26"/>
  <c r="H101" i="26" s="1"/>
  <c r="M627" i="26"/>
  <c r="K629" i="26"/>
  <c r="M486" i="26"/>
  <c r="G494" i="26" s="1"/>
  <c r="L486" i="26"/>
  <c r="H79" i="26" s="1"/>
  <c r="H176" i="26" s="1"/>
  <c r="K412" i="26"/>
  <c r="K413" i="26" s="1"/>
  <c r="L411" i="26"/>
  <c r="H68" i="26" s="1"/>
  <c r="M411" i="26"/>
  <c r="M250" i="26"/>
  <c r="G258" i="26" s="1"/>
  <c r="K251" i="26"/>
  <c r="L251" i="26" s="1"/>
  <c r="H35" i="26" s="1"/>
  <c r="P72" i="8"/>
  <c r="N92" i="8"/>
  <c r="C93" i="8"/>
  <c r="I554" i="26"/>
  <c r="J554" i="26" s="1"/>
  <c r="G132" i="26"/>
  <c r="J77" i="20"/>
  <c r="H48" i="7"/>
  <c r="H32" i="7" s="1"/>
  <c r="H65" i="7"/>
  <c r="H66" i="7" s="1"/>
  <c r="N66" i="7" s="1"/>
  <c r="C60" i="7"/>
  <c r="N40" i="7"/>
  <c r="P40" i="7" s="1"/>
  <c r="G64" i="7"/>
  <c r="G65" i="7" s="1"/>
  <c r="G48" i="7"/>
  <c r="G32" i="7" s="1"/>
  <c r="I402" i="19"/>
  <c r="J402" i="19" s="1"/>
  <c r="K399" i="19" s="1"/>
  <c r="L399" i="19" s="1"/>
  <c r="G57" i="19" s="1"/>
  <c r="G198" i="19"/>
  <c r="H210" i="19"/>
  <c r="H402" i="19"/>
  <c r="H326" i="19"/>
  <c r="I326" i="19" s="1"/>
  <c r="I327" i="19" s="1"/>
  <c r="J327" i="19" s="1"/>
  <c r="H468" i="19"/>
  <c r="D61" i="7"/>
  <c r="N41" i="7"/>
  <c r="P41" i="7" s="1"/>
  <c r="H542" i="19"/>
  <c r="I542" i="19" s="1"/>
  <c r="H543" i="19"/>
  <c r="I543" i="19" s="1"/>
  <c r="H541" i="19"/>
  <c r="L250" i="19"/>
  <c r="G35" i="19" s="1"/>
  <c r="M250" i="19"/>
  <c r="K251" i="19"/>
  <c r="I610" i="19"/>
  <c r="J610" i="19" s="1"/>
  <c r="K607" i="19" s="1"/>
  <c r="G690" i="19"/>
  <c r="H345" i="29" l="1"/>
  <c r="L683" i="19"/>
  <c r="H101" i="19" s="1"/>
  <c r="H198" i="19" s="1"/>
  <c r="K684" i="19"/>
  <c r="K685" i="19" s="1"/>
  <c r="K512" i="29"/>
  <c r="K513" i="29" s="1"/>
  <c r="M511" i="29"/>
  <c r="L511" i="29"/>
  <c r="G78" i="29" s="1"/>
  <c r="H218" i="29"/>
  <c r="I218" i="29" s="1"/>
  <c r="H219" i="29"/>
  <c r="I219" i="29" s="1"/>
  <c r="H220" i="29"/>
  <c r="I220" i="29" s="1"/>
  <c r="G221" i="29"/>
  <c r="H281" i="29"/>
  <c r="H282" i="29"/>
  <c r="I282" i="29" s="1"/>
  <c r="H283" i="29"/>
  <c r="I283" i="29" s="1"/>
  <c r="G284" i="29"/>
  <c r="P114" i="29"/>
  <c r="H581" i="29"/>
  <c r="I581" i="29" s="1"/>
  <c r="G141" i="29"/>
  <c r="G407" i="29"/>
  <c r="L401" i="29"/>
  <c r="H60" i="29" s="1"/>
  <c r="M401" i="29"/>
  <c r="G408" i="29" s="1"/>
  <c r="K402" i="29"/>
  <c r="L326" i="26"/>
  <c r="I46" i="26" s="1"/>
  <c r="I143" i="26" s="1"/>
  <c r="K327" i="26"/>
  <c r="L487" i="26"/>
  <c r="I79" i="26" s="1"/>
  <c r="I176" i="26" s="1"/>
  <c r="R176" i="26" s="1"/>
  <c r="M325" i="26"/>
  <c r="G333" i="26" s="1"/>
  <c r="G336" i="26" s="1"/>
  <c r="L325" i="26"/>
  <c r="H46" i="26" s="1"/>
  <c r="H143" i="26" s="1"/>
  <c r="M487" i="26"/>
  <c r="G495" i="26" s="1"/>
  <c r="G497" i="26" s="1"/>
  <c r="M251" i="26"/>
  <c r="G259" i="26" s="1"/>
  <c r="L217" i="19"/>
  <c r="K217" i="19"/>
  <c r="G635" i="26"/>
  <c r="G638" i="26" s="1"/>
  <c r="M629" i="26"/>
  <c r="H198" i="26"/>
  <c r="R198" i="26" s="1"/>
  <c r="R101" i="26"/>
  <c r="K551" i="26"/>
  <c r="G419" i="26"/>
  <c r="M412" i="26"/>
  <c r="G420" i="26" s="1"/>
  <c r="L412" i="26"/>
  <c r="I68" i="26" s="1"/>
  <c r="I165" i="26" s="1"/>
  <c r="H165" i="26"/>
  <c r="K252" i="26"/>
  <c r="N93" i="8"/>
  <c r="H132" i="26"/>
  <c r="J78" i="20"/>
  <c r="L77" i="20"/>
  <c r="K77" i="20"/>
  <c r="C39" i="20" s="1"/>
  <c r="N60" i="7"/>
  <c r="C61" i="7"/>
  <c r="N61" i="7" s="1"/>
  <c r="M399" i="19"/>
  <c r="G407" i="19" s="1"/>
  <c r="K400" i="19"/>
  <c r="K401" i="19" s="1"/>
  <c r="H327" i="19"/>
  <c r="G154" i="19"/>
  <c r="K324" i="19"/>
  <c r="I468" i="19"/>
  <c r="I469" i="19" s="1"/>
  <c r="J469" i="19" s="1"/>
  <c r="K466" i="19" s="1"/>
  <c r="L466" i="19" s="1"/>
  <c r="G68" i="19" s="1"/>
  <c r="H469" i="19"/>
  <c r="L607" i="19"/>
  <c r="G90" i="19" s="1"/>
  <c r="L251" i="19"/>
  <c r="H35" i="19" s="1"/>
  <c r="M251" i="19"/>
  <c r="G259" i="19" s="1"/>
  <c r="G132" i="19"/>
  <c r="K252" i="19"/>
  <c r="K253" i="19" s="1"/>
  <c r="K608" i="19"/>
  <c r="G258" i="19"/>
  <c r="H544" i="19"/>
  <c r="I541" i="19"/>
  <c r="M607" i="19"/>
  <c r="L684" i="19"/>
  <c r="I101" i="19" s="1"/>
  <c r="I198" i="19" s="1"/>
  <c r="I345" i="29" l="1"/>
  <c r="H346" i="29"/>
  <c r="H582" i="29"/>
  <c r="R198" i="19"/>
  <c r="M400" i="19"/>
  <c r="G408" i="19" s="1"/>
  <c r="M684" i="19"/>
  <c r="G692" i="19" s="1"/>
  <c r="G694" i="19" s="1"/>
  <c r="R79" i="26"/>
  <c r="L512" i="29"/>
  <c r="H78" i="29" s="1"/>
  <c r="H159" i="29" s="1"/>
  <c r="M512" i="29"/>
  <c r="G519" i="29" s="1"/>
  <c r="G159" i="29"/>
  <c r="G518" i="29"/>
  <c r="I281" i="29"/>
  <c r="H284" i="29"/>
  <c r="I221" i="29"/>
  <c r="J221" i="29" s="1"/>
  <c r="K218" i="29" s="1"/>
  <c r="M218" i="29" s="1"/>
  <c r="H221" i="29"/>
  <c r="H141" i="29"/>
  <c r="P141" i="29" s="1"/>
  <c r="P60" i="29"/>
  <c r="M402" i="29"/>
  <c r="G410" i="29"/>
  <c r="R143" i="26"/>
  <c r="R46" i="26"/>
  <c r="M327" i="26"/>
  <c r="M488" i="26"/>
  <c r="H636" i="26"/>
  <c r="I636" i="26" s="1"/>
  <c r="H635" i="26"/>
  <c r="I635" i="26" s="1"/>
  <c r="H634" i="26"/>
  <c r="H637" i="26"/>
  <c r="I637" i="26" s="1"/>
  <c r="K552" i="26"/>
  <c r="L552" i="26" s="1"/>
  <c r="H90" i="26" s="1"/>
  <c r="R68" i="26"/>
  <c r="M413" i="26"/>
  <c r="R165" i="26"/>
  <c r="G422" i="26"/>
  <c r="L252" i="26"/>
  <c r="I35" i="26" s="1"/>
  <c r="M252" i="26"/>
  <c r="K253" i="26"/>
  <c r="L551" i="26"/>
  <c r="G90" i="26" s="1"/>
  <c r="G115" i="26" s="1"/>
  <c r="M551" i="26"/>
  <c r="C55" i="20"/>
  <c r="F85" i="20"/>
  <c r="K78" i="20"/>
  <c r="D39" i="20" s="1"/>
  <c r="D55" i="20" s="1"/>
  <c r="L78" i="20"/>
  <c r="F86" i="20" s="1"/>
  <c r="J79" i="20"/>
  <c r="L400" i="19"/>
  <c r="H57" i="19" s="1"/>
  <c r="H154" i="19" s="1"/>
  <c r="K467" i="19"/>
  <c r="K468" i="19" s="1"/>
  <c r="K469" i="19" s="1"/>
  <c r="M466" i="19"/>
  <c r="G474" i="19" s="1"/>
  <c r="G165" i="19"/>
  <c r="G187" i="19"/>
  <c r="R101" i="19"/>
  <c r="K325" i="19"/>
  <c r="L324" i="19"/>
  <c r="G46" i="19" s="1"/>
  <c r="M324" i="19"/>
  <c r="G332" i="19" s="1"/>
  <c r="L401" i="19"/>
  <c r="I57" i="19" s="1"/>
  <c r="I154" i="19" s="1"/>
  <c r="M401" i="19"/>
  <c r="K402" i="19"/>
  <c r="L608" i="19"/>
  <c r="H90" i="19" s="1"/>
  <c r="H187" i="19" s="1"/>
  <c r="M608" i="19"/>
  <c r="G616" i="19" s="1"/>
  <c r="H132" i="19"/>
  <c r="I544" i="19"/>
  <c r="J544" i="19" s="1"/>
  <c r="K541" i="19" s="1"/>
  <c r="L252" i="19"/>
  <c r="I35" i="19" s="1"/>
  <c r="R35" i="19" s="1"/>
  <c r="M252" i="19"/>
  <c r="G260" i="19" s="1"/>
  <c r="G262" i="19" s="1"/>
  <c r="G615" i="19"/>
  <c r="K609" i="19"/>
  <c r="K610" i="19" s="1"/>
  <c r="I346" i="29" l="1"/>
  <c r="I347" i="29" s="1"/>
  <c r="J347" i="29" s="1"/>
  <c r="H347" i="29"/>
  <c r="I582" i="29"/>
  <c r="H583" i="29"/>
  <c r="M467" i="19"/>
  <c r="G475" i="19" s="1"/>
  <c r="L467" i="19"/>
  <c r="H68" i="19" s="1"/>
  <c r="H165" i="19" s="1"/>
  <c r="M685" i="19"/>
  <c r="H690" i="19" s="1"/>
  <c r="M513" i="29"/>
  <c r="P159" i="29"/>
  <c r="P78" i="29"/>
  <c r="G226" i="29"/>
  <c r="H235" i="29" s="1"/>
  <c r="G36" i="29" s="1"/>
  <c r="K219" i="29"/>
  <c r="L218" i="29"/>
  <c r="G34" i="29" s="1"/>
  <c r="I284" i="29"/>
  <c r="J284" i="29" s="1"/>
  <c r="K281" i="29" s="1"/>
  <c r="M281" i="29" s="1"/>
  <c r="H407" i="29"/>
  <c r="H408" i="29" s="1"/>
  <c r="I408" i="29" s="1"/>
  <c r="H333" i="26"/>
  <c r="I333" i="26" s="1"/>
  <c r="H332" i="26"/>
  <c r="I332" i="26" s="1"/>
  <c r="H493" i="26"/>
  <c r="I634" i="26"/>
  <c r="H638" i="26"/>
  <c r="K553" i="26"/>
  <c r="K554" i="26" s="1"/>
  <c r="M552" i="26"/>
  <c r="G560" i="26" s="1"/>
  <c r="H418" i="26"/>
  <c r="H419" i="26" s="1"/>
  <c r="I419" i="26" s="1"/>
  <c r="G260" i="26"/>
  <c r="G262" i="26" s="1"/>
  <c r="M253" i="26"/>
  <c r="R35" i="26"/>
  <c r="I132" i="26"/>
  <c r="R132" i="26" s="1"/>
  <c r="H187" i="26"/>
  <c r="H115" i="26"/>
  <c r="D74" i="8" s="1"/>
  <c r="G559" i="26"/>
  <c r="G187" i="26"/>
  <c r="C74" i="8"/>
  <c r="K79" i="20"/>
  <c r="E39" i="20" s="1"/>
  <c r="E55" i="20" s="1"/>
  <c r="K55" i="20" s="1"/>
  <c r="L79" i="20"/>
  <c r="F87" i="20" s="1"/>
  <c r="F89" i="20" s="1"/>
  <c r="J80" i="20"/>
  <c r="G143" i="19"/>
  <c r="R154" i="19"/>
  <c r="R57" i="19"/>
  <c r="L325" i="19"/>
  <c r="H46" i="19" s="1"/>
  <c r="H143" i="19" s="1"/>
  <c r="M325" i="19"/>
  <c r="K326" i="19"/>
  <c r="K327" i="19" s="1"/>
  <c r="L541" i="19"/>
  <c r="G79" i="19" s="1"/>
  <c r="K542" i="19"/>
  <c r="M541" i="19"/>
  <c r="L609" i="19"/>
  <c r="I90" i="19" s="1"/>
  <c r="R90" i="19" s="1"/>
  <c r="M609" i="19"/>
  <c r="I132" i="19"/>
  <c r="M253" i="19"/>
  <c r="G409" i="19"/>
  <c r="M402" i="19"/>
  <c r="L468" i="19"/>
  <c r="I68" i="19" s="1"/>
  <c r="I165" i="19" s="1"/>
  <c r="M468" i="19"/>
  <c r="R165" i="19" l="1"/>
  <c r="H692" i="19"/>
  <c r="I692" i="19" s="1"/>
  <c r="K344" i="29"/>
  <c r="K345" i="29" s="1"/>
  <c r="K346" i="29" s="1"/>
  <c r="K347" i="29" s="1"/>
  <c r="I583" i="29"/>
  <c r="I584" i="29" s="1"/>
  <c r="J584" i="29" s="1"/>
  <c r="H584" i="29"/>
  <c r="H691" i="19"/>
  <c r="I691" i="19" s="1"/>
  <c r="H693" i="19"/>
  <c r="I693" i="19" s="1"/>
  <c r="H334" i="26"/>
  <c r="I334" i="26" s="1"/>
  <c r="H335" i="26"/>
  <c r="I335" i="26" s="1"/>
  <c r="H420" i="26"/>
  <c r="I420" i="26" s="1"/>
  <c r="K282" i="29"/>
  <c r="K283" i="29" s="1"/>
  <c r="L281" i="29"/>
  <c r="G43" i="29" s="1"/>
  <c r="G115" i="29"/>
  <c r="G289" i="29"/>
  <c r="L219" i="29"/>
  <c r="H34" i="29" s="1"/>
  <c r="H115" i="29" s="1"/>
  <c r="K220" i="29"/>
  <c r="M219" i="29"/>
  <c r="H409" i="29"/>
  <c r="I409" i="29" s="1"/>
  <c r="I407" i="29"/>
  <c r="H226" i="29"/>
  <c r="G35" i="29" s="1"/>
  <c r="I493" i="26"/>
  <c r="H494" i="26"/>
  <c r="I494" i="26" s="1"/>
  <c r="M553" i="26"/>
  <c r="G561" i="26" s="1"/>
  <c r="G563" i="26" s="1"/>
  <c r="L553" i="26"/>
  <c r="I90" i="26" s="1"/>
  <c r="I187" i="26" s="1"/>
  <c r="R187" i="26" s="1"/>
  <c r="I638" i="26"/>
  <c r="I418" i="26"/>
  <c r="H261" i="26"/>
  <c r="I261" i="26" s="1"/>
  <c r="H259" i="26"/>
  <c r="I259" i="26" s="1"/>
  <c r="H260" i="26"/>
  <c r="I260" i="26" s="1"/>
  <c r="H258" i="26"/>
  <c r="C94" i="8"/>
  <c r="D94" i="8"/>
  <c r="H211" i="26"/>
  <c r="G211" i="26"/>
  <c r="K39" i="20"/>
  <c r="M39" i="20" s="1"/>
  <c r="L80" i="20"/>
  <c r="G85" i="20" s="1"/>
  <c r="R68" i="19"/>
  <c r="R132" i="19"/>
  <c r="G115" i="19"/>
  <c r="C42" i="7" s="1"/>
  <c r="G176" i="19"/>
  <c r="G211" i="19" s="1"/>
  <c r="G333" i="19"/>
  <c r="L326" i="19"/>
  <c r="I46" i="19" s="1"/>
  <c r="I143" i="19" s="1"/>
  <c r="M326" i="19"/>
  <c r="G334" i="19" s="1"/>
  <c r="I690" i="19"/>
  <c r="L542" i="19"/>
  <c r="H79" i="19" s="1"/>
  <c r="H176" i="19" s="1"/>
  <c r="M542" i="19"/>
  <c r="G550" i="19" s="1"/>
  <c r="G476" i="19"/>
  <c r="M469" i="19"/>
  <c r="G411" i="19"/>
  <c r="I187" i="19"/>
  <c r="G549" i="19"/>
  <c r="K543" i="19"/>
  <c r="K544" i="19" s="1"/>
  <c r="H260" i="19"/>
  <c r="I260" i="19" s="1"/>
  <c r="H259" i="19"/>
  <c r="I259" i="19" s="1"/>
  <c r="H258" i="19"/>
  <c r="H261" i="19"/>
  <c r="I261" i="19" s="1"/>
  <c r="H407" i="19"/>
  <c r="H409" i="19"/>
  <c r="I409" i="19" s="1"/>
  <c r="H410" i="19"/>
  <c r="I410" i="19" s="1"/>
  <c r="H408" i="19"/>
  <c r="I408" i="19" s="1"/>
  <c r="G617" i="19"/>
  <c r="M610" i="19"/>
  <c r="K581" i="29" l="1"/>
  <c r="K582" i="29" s="1"/>
  <c r="L346" i="29"/>
  <c r="I52" i="29" s="1"/>
  <c r="I133" i="29" s="1"/>
  <c r="M346" i="29"/>
  <c r="G354" i="29" s="1"/>
  <c r="H363" i="29" s="1"/>
  <c r="M345" i="29"/>
  <c r="G353" i="29" s="1"/>
  <c r="L345" i="29"/>
  <c r="H52" i="29" s="1"/>
  <c r="H133" i="29" s="1"/>
  <c r="L344" i="29"/>
  <c r="G52" i="29" s="1"/>
  <c r="M344" i="29"/>
  <c r="G352" i="29" s="1"/>
  <c r="H694" i="19"/>
  <c r="H336" i="26"/>
  <c r="I336" i="26"/>
  <c r="J336" i="26" s="1"/>
  <c r="K332" i="26" s="1"/>
  <c r="L332" i="26" s="1"/>
  <c r="G47" i="26" s="1"/>
  <c r="H421" i="26"/>
  <c r="H410" i="29"/>
  <c r="H298" i="29"/>
  <c r="H289" i="29"/>
  <c r="L283" i="29"/>
  <c r="I43" i="29" s="1"/>
  <c r="I124" i="29" s="1"/>
  <c r="M283" i="29"/>
  <c r="G291" i="29" s="1"/>
  <c r="K221" i="29"/>
  <c r="L220" i="29"/>
  <c r="I34" i="29" s="1"/>
  <c r="I115" i="29" s="1"/>
  <c r="P115" i="29" s="1"/>
  <c r="M220" i="29"/>
  <c r="G228" i="29" s="1"/>
  <c r="H237" i="29" s="1"/>
  <c r="I36" i="29" s="1"/>
  <c r="K284" i="29"/>
  <c r="G227" i="29"/>
  <c r="H236" i="29" s="1"/>
  <c r="H36" i="29" s="1"/>
  <c r="G124" i="29"/>
  <c r="L282" i="29"/>
  <c r="H43" i="29" s="1"/>
  <c r="H124" i="29" s="1"/>
  <c r="M282" i="29"/>
  <c r="G116" i="29"/>
  <c r="I410" i="29"/>
  <c r="J410" i="29" s="1"/>
  <c r="I226" i="29"/>
  <c r="G235" i="29" s="1"/>
  <c r="I115" i="26"/>
  <c r="E74" i="8" s="1"/>
  <c r="N74" i="8" s="1"/>
  <c r="I211" i="26"/>
  <c r="R90" i="26"/>
  <c r="R115" i="26" s="1"/>
  <c r="H495" i="26"/>
  <c r="M554" i="26"/>
  <c r="H562" i="26" s="1"/>
  <c r="I562" i="26" s="1"/>
  <c r="J638" i="26"/>
  <c r="I258" i="26"/>
  <c r="H262" i="26"/>
  <c r="R211" i="26"/>
  <c r="G87" i="20"/>
  <c r="H87" i="20" s="1"/>
  <c r="G88" i="20"/>
  <c r="H88" i="20" s="1"/>
  <c r="G86" i="20"/>
  <c r="H86" i="20" s="1"/>
  <c r="H85" i="20"/>
  <c r="H115" i="19"/>
  <c r="D42" i="7" s="1"/>
  <c r="R46" i="19"/>
  <c r="R187" i="19"/>
  <c r="R143" i="19"/>
  <c r="H211" i="19"/>
  <c r="M327" i="19"/>
  <c r="G336" i="19"/>
  <c r="C62" i="7"/>
  <c r="G619" i="19"/>
  <c r="L543" i="19"/>
  <c r="I79" i="19" s="1"/>
  <c r="I176" i="19" s="1"/>
  <c r="R176" i="19" s="1"/>
  <c r="M543" i="19"/>
  <c r="H262" i="19"/>
  <c r="I258" i="19"/>
  <c r="H475" i="19"/>
  <c r="I475" i="19" s="1"/>
  <c r="H476" i="19"/>
  <c r="I476" i="19" s="1"/>
  <c r="H477" i="19"/>
  <c r="I477" i="19" s="1"/>
  <c r="H474" i="19"/>
  <c r="I694" i="19"/>
  <c r="J694" i="19" s="1"/>
  <c r="K690" i="19" s="1"/>
  <c r="H615" i="19"/>
  <c r="H616" i="19"/>
  <c r="I616" i="19" s="1"/>
  <c r="H411" i="19"/>
  <c r="I407" i="19"/>
  <c r="G478" i="19"/>
  <c r="K583" i="29" l="1"/>
  <c r="K584" i="29" s="1"/>
  <c r="L582" i="29"/>
  <c r="H88" i="29" s="1"/>
  <c r="H169" i="29" s="1"/>
  <c r="M582" i="29"/>
  <c r="G590" i="29" s="1"/>
  <c r="H599" i="29" s="1"/>
  <c r="H90" i="29" s="1"/>
  <c r="L581" i="29"/>
  <c r="G88" i="29" s="1"/>
  <c r="G169" i="29" s="1"/>
  <c r="M581" i="29"/>
  <c r="G589" i="29" s="1"/>
  <c r="H598" i="29" s="1"/>
  <c r="H362" i="29"/>
  <c r="H54" i="29" s="1"/>
  <c r="H353" i="29"/>
  <c r="H53" i="29" s="1"/>
  <c r="H134" i="29" s="1"/>
  <c r="H361" i="29"/>
  <c r="G54" i="29" s="1"/>
  <c r="H352" i="29"/>
  <c r="M347" i="29"/>
  <c r="G133" i="29"/>
  <c r="P52" i="29"/>
  <c r="M332" i="26"/>
  <c r="G341" i="26" s="1"/>
  <c r="H351" i="26" s="1"/>
  <c r="K333" i="26"/>
  <c r="K334" i="26" s="1"/>
  <c r="L334" i="26" s="1"/>
  <c r="I47" i="26" s="1"/>
  <c r="I144" i="26" s="1"/>
  <c r="H354" i="29"/>
  <c r="G356" i="29"/>
  <c r="I421" i="26"/>
  <c r="I422" i="26" s="1"/>
  <c r="J422" i="26" s="1"/>
  <c r="K418" i="26" s="1"/>
  <c r="H422" i="26"/>
  <c r="P36" i="29"/>
  <c r="M221" i="29"/>
  <c r="P34" i="29"/>
  <c r="H227" i="29"/>
  <c r="H35" i="29" s="1"/>
  <c r="I54" i="29"/>
  <c r="G44" i="29"/>
  <c r="P43" i="29"/>
  <c r="H291" i="29"/>
  <c r="I44" i="29" s="1"/>
  <c r="I125" i="29" s="1"/>
  <c r="H300" i="29"/>
  <c r="I45" i="29" s="1"/>
  <c r="G45" i="29"/>
  <c r="G290" i="29"/>
  <c r="M284" i="29"/>
  <c r="P124" i="29"/>
  <c r="I289" i="29"/>
  <c r="G117" i="29"/>
  <c r="L583" i="29"/>
  <c r="I88" i="29" s="1"/>
  <c r="M583" i="29"/>
  <c r="G90" i="29"/>
  <c r="H589" i="29"/>
  <c r="K407" i="29"/>
  <c r="H228" i="29"/>
  <c r="I458" i="29"/>
  <c r="J458" i="29" s="1"/>
  <c r="E94" i="8"/>
  <c r="H559" i="26"/>
  <c r="I559" i="26" s="1"/>
  <c r="H561" i="26"/>
  <c r="I561" i="26" s="1"/>
  <c r="H560" i="26"/>
  <c r="I560" i="26" s="1"/>
  <c r="I495" i="26"/>
  <c r="H496" i="26"/>
  <c r="I496" i="26" s="1"/>
  <c r="K634" i="26"/>
  <c r="I262" i="26"/>
  <c r="P74" i="8"/>
  <c r="G144" i="26"/>
  <c r="G89" i="20"/>
  <c r="H89" i="20"/>
  <c r="I89" i="20" s="1"/>
  <c r="J85" i="20" s="1"/>
  <c r="I115" i="19"/>
  <c r="E42" i="7" s="1"/>
  <c r="R211" i="19"/>
  <c r="I211" i="19"/>
  <c r="R79" i="19"/>
  <c r="R115" i="19" s="1"/>
  <c r="H333" i="19"/>
  <c r="I333" i="19" s="1"/>
  <c r="H334" i="19"/>
  <c r="I334" i="19" s="1"/>
  <c r="H335" i="19"/>
  <c r="I335" i="19" s="1"/>
  <c r="H332" i="19"/>
  <c r="H617" i="19"/>
  <c r="I617" i="19" s="1"/>
  <c r="I411" i="19"/>
  <c r="J411" i="19" s="1"/>
  <c r="K407" i="19" s="1"/>
  <c r="L690" i="19"/>
  <c r="G102" i="19" s="1"/>
  <c r="G551" i="19"/>
  <c r="M544" i="19"/>
  <c r="I615" i="19"/>
  <c r="K691" i="19"/>
  <c r="K692" i="19" s="1"/>
  <c r="H478" i="19"/>
  <c r="I474" i="19"/>
  <c r="I262" i="19"/>
  <c r="J262" i="19" s="1"/>
  <c r="M690" i="19"/>
  <c r="G699" i="19" s="1"/>
  <c r="H709" i="19" s="1"/>
  <c r="G104" i="19" s="1"/>
  <c r="H590" i="29" l="1"/>
  <c r="H89" i="29" s="1"/>
  <c r="H170" i="29" s="1"/>
  <c r="H171" i="29" s="1"/>
  <c r="H366" i="29"/>
  <c r="C385" i="29" s="1"/>
  <c r="H356" i="29"/>
  <c r="C384" i="29" s="1"/>
  <c r="I353" i="29"/>
  <c r="G362" i="29" s="1"/>
  <c r="I362" i="29" s="1"/>
  <c r="P54" i="29"/>
  <c r="H135" i="29"/>
  <c r="I352" i="29"/>
  <c r="G361" i="29" s="1"/>
  <c r="I361" i="29" s="1"/>
  <c r="G53" i="29"/>
  <c r="G134" i="29" s="1"/>
  <c r="G135" i="29" s="1"/>
  <c r="P133" i="29"/>
  <c r="I53" i="29"/>
  <c r="I134" i="29" s="1"/>
  <c r="M334" i="26"/>
  <c r="G343" i="26" s="1"/>
  <c r="H353" i="26" s="1"/>
  <c r="K335" i="26"/>
  <c r="K336" i="26" s="1"/>
  <c r="M333" i="26"/>
  <c r="G342" i="26" s="1"/>
  <c r="H352" i="26" s="1"/>
  <c r="L333" i="26"/>
  <c r="H47" i="26" s="1"/>
  <c r="H144" i="26" s="1"/>
  <c r="I354" i="29"/>
  <c r="G363" i="29" s="1"/>
  <c r="N94" i="8"/>
  <c r="I227" i="29"/>
  <c r="G236" i="29" s="1"/>
  <c r="I126" i="29"/>
  <c r="H290" i="29"/>
  <c r="I290" i="29" s="1"/>
  <c r="G299" i="29" s="1"/>
  <c r="H299" i="29"/>
  <c r="G293" i="29"/>
  <c r="G125" i="29"/>
  <c r="G298" i="29"/>
  <c r="I291" i="29"/>
  <c r="G300" i="29" s="1"/>
  <c r="I300" i="29" s="1"/>
  <c r="I590" i="29"/>
  <c r="G599" i="29" s="1"/>
  <c r="I599" i="29" s="1"/>
  <c r="H116" i="29"/>
  <c r="I169" i="29"/>
  <c r="P88" i="29"/>
  <c r="I589" i="29"/>
  <c r="G598" i="29" s="1"/>
  <c r="G89" i="29"/>
  <c r="K458" i="29"/>
  <c r="G463" i="29" s="1"/>
  <c r="G68" i="29"/>
  <c r="I228" i="29"/>
  <c r="G237" i="29" s="1"/>
  <c r="I237" i="29" s="1"/>
  <c r="I35" i="29"/>
  <c r="G591" i="29"/>
  <c r="M584" i="29"/>
  <c r="L407" i="29"/>
  <c r="G61" i="29" s="1"/>
  <c r="M407" i="29"/>
  <c r="K408" i="29"/>
  <c r="K409" i="29" s="1"/>
  <c r="I238" i="29"/>
  <c r="I235" i="29"/>
  <c r="P173" i="29"/>
  <c r="P172" i="29"/>
  <c r="H497" i="26"/>
  <c r="I497" i="26"/>
  <c r="J497" i="26" s="1"/>
  <c r="K493" i="26" s="1"/>
  <c r="H563" i="26"/>
  <c r="L634" i="26"/>
  <c r="G102" i="26" s="1"/>
  <c r="M634" i="26"/>
  <c r="K635" i="26"/>
  <c r="M418" i="26"/>
  <c r="G427" i="26" s="1"/>
  <c r="H437" i="26" s="1"/>
  <c r="L418" i="26"/>
  <c r="G69" i="26" s="1"/>
  <c r="G166" i="26" s="1"/>
  <c r="K419" i="26"/>
  <c r="L419" i="26" s="1"/>
  <c r="H69" i="26" s="1"/>
  <c r="H166" i="26" s="1"/>
  <c r="J262" i="26"/>
  <c r="I563" i="26"/>
  <c r="J563" i="26" s="1"/>
  <c r="H341" i="26"/>
  <c r="K85" i="20"/>
  <c r="C40" i="20" s="1"/>
  <c r="C56" i="20" s="1"/>
  <c r="L85" i="20"/>
  <c r="F94" i="20" s="1"/>
  <c r="J86" i="20"/>
  <c r="G199" i="19"/>
  <c r="H336" i="19"/>
  <c r="I332" i="19"/>
  <c r="H699" i="19"/>
  <c r="G103" i="19" s="1"/>
  <c r="H618" i="19"/>
  <c r="D62" i="7"/>
  <c r="N42" i="7"/>
  <c r="P42" i="7" s="1"/>
  <c r="L692" i="19"/>
  <c r="M692" i="19"/>
  <c r="G701" i="19" s="1"/>
  <c r="L691" i="19"/>
  <c r="M691" i="19"/>
  <c r="G700" i="19" s="1"/>
  <c r="H710" i="19" s="1"/>
  <c r="H104" i="19" s="1"/>
  <c r="K408" i="19"/>
  <c r="G553" i="19"/>
  <c r="L407" i="19"/>
  <c r="G58" i="19" s="1"/>
  <c r="I478" i="19"/>
  <c r="J478" i="19" s="1"/>
  <c r="K258" i="19"/>
  <c r="K259" i="19" s="1"/>
  <c r="K693" i="19"/>
  <c r="H550" i="19"/>
  <c r="I550" i="19" s="1"/>
  <c r="H552" i="19"/>
  <c r="I552" i="19" s="1"/>
  <c r="H551" i="19"/>
  <c r="I551" i="19" s="1"/>
  <c r="H549" i="19"/>
  <c r="M407" i="19"/>
  <c r="G416" i="19" s="1"/>
  <c r="H426" i="19" s="1"/>
  <c r="G60" i="19" s="1"/>
  <c r="P53" i="29" l="1"/>
  <c r="M335" i="26"/>
  <c r="G344" i="26" s="1"/>
  <c r="H342" i="26"/>
  <c r="H48" i="26" s="1"/>
  <c r="H145" i="26" s="1"/>
  <c r="L335" i="26"/>
  <c r="J47" i="26" s="1"/>
  <c r="J144" i="26" s="1"/>
  <c r="R144" i="26" s="1"/>
  <c r="H343" i="26"/>
  <c r="I48" i="26" s="1"/>
  <c r="I145" i="26" s="1"/>
  <c r="I356" i="29"/>
  <c r="I299" i="29"/>
  <c r="I293" i="29"/>
  <c r="H45" i="29"/>
  <c r="P45" i="29" s="1"/>
  <c r="H303" i="29"/>
  <c r="C322" i="29" s="1"/>
  <c r="I298" i="29"/>
  <c r="G303" i="29"/>
  <c r="I363" i="29"/>
  <c r="I366" i="29" s="1"/>
  <c r="G366" i="29"/>
  <c r="H44" i="29"/>
  <c r="H293" i="29"/>
  <c r="C321" i="29" s="1"/>
  <c r="G193" i="29" s="1"/>
  <c r="D86" i="5" s="1"/>
  <c r="E86" i="5" s="1"/>
  <c r="G126" i="29"/>
  <c r="I135" i="29"/>
  <c r="P135" i="29" s="1"/>
  <c r="P134" i="29"/>
  <c r="G593" i="29"/>
  <c r="H600" i="29"/>
  <c r="I90" i="29" s="1"/>
  <c r="P90" i="29" s="1"/>
  <c r="H463" i="29"/>
  <c r="H464" i="29" s="1"/>
  <c r="I464" i="29" s="1"/>
  <c r="H117" i="29"/>
  <c r="G142" i="29"/>
  <c r="H603" i="29"/>
  <c r="C622" i="29" s="1"/>
  <c r="P68" i="29"/>
  <c r="P98" i="29" s="1"/>
  <c r="G149" i="29"/>
  <c r="G98" i="29"/>
  <c r="C96" i="22" s="1"/>
  <c r="H591" i="29"/>
  <c r="I116" i="29"/>
  <c r="P116" i="29" s="1"/>
  <c r="P169" i="29"/>
  <c r="G170" i="29"/>
  <c r="P35" i="29"/>
  <c r="I598" i="29"/>
  <c r="G465" i="29"/>
  <c r="L409" i="29"/>
  <c r="I61" i="29" s="1"/>
  <c r="M409" i="29"/>
  <c r="G417" i="29" s="1"/>
  <c r="H426" i="29" s="1"/>
  <c r="G415" i="29"/>
  <c r="H424" i="29" s="1"/>
  <c r="L408" i="29"/>
  <c r="H61" i="29" s="1"/>
  <c r="M408" i="29"/>
  <c r="G416" i="29" s="1"/>
  <c r="H425" i="29" s="1"/>
  <c r="K410" i="29"/>
  <c r="H230" i="29"/>
  <c r="C258" i="29" s="1"/>
  <c r="H240" i="29"/>
  <c r="C259" i="29" s="1"/>
  <c r="G230" i="29"/>
  <c r="K494" i="26"/>
  <c r="M494" i="26" s="1"/>
  <c r="G503" i="26" s="1"/>
  <c r="M419" i="26"/>
  <c r="G428" i="26" s="1"/>
  <c r="H438" i="26" s="1"/>
  <c r="L493" i="26"/>
  <c r="G80" i="26" s="1"/>
  <c r="G177" i="26" s="1"/>
  <c r="M493" i="26"/>
  <c r="G502" i="26" s="1"/>
  <c r="G346" i="26"/>
  <c r="H354" i="26"/>
  <c r="H701" i="19"/>
  <c r="I103" i="19" s="1"/>
  <c r="H711" i="19"/>
  <c r="I104" i="19" s="1"/>
  <c r="L635" i="26"/>
  <c r="H102" i="26" s="1"/>
  <c r="H199" i="26" s="1"/>
  <c r="M635" i="26"/>
  <c r="G644" i="26" s="1"/>
  <c r="G643" i="26"/>
  <c r="H653" i="26" s="1"/>
  <c r="G199" i="26"/>
  <c r="K636" i="26"/>
  <c r="K559" i="26"/>
  <c r="H427" i="26"/>
  <c r="G70" i="26" s="1"/>
  <c r="G167" i="26" s="1"/>
  <c r="K420" i="26"/>
  <c r="K258" i="26"/>
  <c r="G48" i="26"/>
  <c r="I341" i="26"/>
  <c r="M336" i="26"/>
  <c r="H344" i="26"/>
  <c r="J48" i="26" s="1"/>
  <c r="G94" i="20"/>
  <c r="H94" i="20" s="1"/>
  <c r="J87" i="20"/>
  <c r="J88" i="20" s="1"/>
  <c r="L86" i="20"/>
  <c r="F95" i="20" s="1"/>
  <c r="G95" i="20" s="1"/>
  <c r="K86" i="20"/>
  <c r="D40" i="20" s="1"/>
  <c r="D56" i="20" s="1"/>
  <c r="G155" i="19"/>
  <c r="G200" i="19"/>
  <c r="G201" i="19" s="1"/>
  <c r="I102" i="19"/>
  <c r="I199" i="19" s="1"/>
  <c r="H102" i="19"/>
  <c r="I336" i="19"/>
  <c r="J336" i="19" s="1"/>
  <c r="K332" i="19" s="1"/>
  <c r="I699" i="19"/>
  <c r="G709" i="19" s="1"/>
  <c r="H700" i="19"/>
  <c r="I618" i="19"/>
  <c r="I619" i="19" s="1"/>
  <c r="J619" i="19" s="1"/>
  <c r="K615" i="19" s="1"/>
  <c r="L615" i="19" s="1"/>
  <c r="G91" i="19" s="1"/>
  <c r="H619" i="19"/>
  <c r="H416" i="19"/>
  <c r="G59" i="19" s="1"/>
  <c r="E62" i="7"/>
  <c r="L408" i="19"/>
  <c r="M408" i="19"/>
  <c r="G417" i="19" s="1"/>
  <c r="H427" i="19" s="1"/>
  <c r="H60" i="19" s="1"/>
  <c r="L693" i="19"/>
  <c r="M693" i="19"/>
  <c r="L259" i="19"/>
  <c r="H36" i="19" s="1"/>
  <c r="H133" i="19" s="1"/>
  <c r="M259" i="19"/>
  <c r="G268" i="19" s="1"/>
  <c r="H278" i="19" s="1"/>
  <c r="H38" i="19" s="1"/>
  <c r="K409" i="19"/>
  <c r="H553" i="19"/>
  <c r="I549" i="19"/>
  <c r="L258" i="19"/>
  <c r="G36" i="19" s="1"/>
  <c r="M258" i="19"/>
  <c r="G267" i="19" s="1"/>
  <c r="H277" i="19" s="1"/>
  <c r="G38" i="19" s="1"/>
  <c r="K474" i="19"/>
  <c r="K475" i="19" s="1"/>
  <c r="K694" i="19"/>
  <c r="K260" i="19"/>
  <c r="I342" i="26" l="1"/>
  <c r="G352" i="26" s="1"/>
  <c r="R47" i="26"/>
  <c r="J145" i="26"/>
  <c r="I343" i="26"/>
  <c r="G353" i="26" s="1"/>
  <c r="I49" i="26" s="1"/>
  <c r="I146" i="26" s="1"/>
  <c r="I303" i="29"/>
  <c r="I701" i="19"/>
  <c r="G711" i="19" s="1"/>
  <c r="I711" i="19" s="1"/>
  <c r="H125" i="29"/>
  <c r="P44" i="29"/>
  <c r="I463" i="29"/>
  <c r="I465" i="29" s="1"/>
  <c r="J465" i="29" s="1"/>
  <c r="H465" i="29"/>
  <c r="L96" i="22"/>
  <c r="C114" i="22"/>
  <c r="G171" i="29"/>
  <c r="I117" i="29"/>
  <c r="P149" i="29"/>
  <c r="P178" i="29" s="1"/>
  <c r="G178" i="29"/>
  <c r="I142" i="29"/>
  <c r="I591" i="29"/>
  <c r="I89" i="29"/>
  <c r="P61" i="29"/>
  <c r="H142" i="29"/>
  <c r="H593" i="29"/>
  <c r="C621" i="29" s="1"/>
  <c r="G196" i="29" s="1"/>
  <c r="D166" i="5" s="1"/>
  <c r="E166" i="5" s="1"/>
  <c r="M410" i="29"/>
  <c r="G419" i="29"/>
  <c r="G63" i="29"/>
  <c r="H415" i="29"/>
  <c r="G62" i="29" s="1"/>
  <c r="G143" i="29" s="1"/>
  <c r="H416" i="29"/>
  <c r="H63" i="29"/>
  <c r="H417" i="29"/>
  <c r="I63" i="29"/>
  <c r="L494" i="26"/>
  <c r="H80" i="26" s="1"/>
  <c r="H177" i="26" s="1"/>
  <c r="K495" i="26"/>
  <c r="L495" i="26" s="1"/>
  <c r="I80" i="26" s="1"/>
  <c r="I177" i="26" s="1"/>
  <c r="H428" i="26"/>
  <c r="H70" i="26" s="1"/>
  <c r="H167" i="26" s="1"/>
  <c r="H512" i="26"/>
  <c r="G82" i="26" s="1"/>
  <c r="H502" i="26"/>
  <c r="H503" i="26"/>
  <c r="H81" i="26" s="1"/>
  <c r="H513" i="26"/>
  <c r="H82" i="26" s="1"/>
  <c r="H644" i="26"/>
  <c r="I644" i="26" s="1"/>
  <c r="G654" i="26" s="1"/>
  <c r="H654" i="26"/>
  <c r="I416" i="19"/>
  <c r="G426" i="19" s="1"/>
  <c r="I427" i="26"/>
  <c r="G437" i="26" s="1"/>
  <c r="G71" i="26" s="1"/>
  <c r="H643" i="26"/>
  <c r="L636" i="26"/>
  <c r="I102" i="26" s="1"/>
  <c r="M636" i="26"/>
  <c r="K637" i="26"/>
  <c r="K638" i="26" s="1"/>
  <c r="L559" i="26"/>
  <c r="G91" i="26" s="1"/>
  <c r="G188" i="26" s="1"/>
  <c r="M559" i="26"/>
  <c r="G568" i="26" s="1"/>
  <c r="H578" i="26" s="1"/>
  <c r="K560" i="26"/>
  <c r="K561" i="26" s="1"/>
  <c r="M420" i="26"/>
  <c r="G429" i="26" s="1"/>
  <c r="H439" i="26" s="1"/>
  <c r="L420" i="26"/>
  <c r="I69" i="26" s="1"/>
  <c r="I166" i="26" s="1"/>
  <c r="K421" i="26"/>
  <c r="K422" i="26" s="1"/>
  <c r="I344" i="26"/>
  <c r="G354" i="26" s="1"/>
  <c r="J49" i="26" s="1"/>
  <c r="J146" i="26" s="1"/>
  <c r="L258" i="26"/>
  <c r="G36" i="26" s="1"/>
  <c r="M258" i="26"/>
  <c r="K259" i="26"/>
  <c r="R48" i="26"/>
  <c r="G145" i="26"/>
  <c r="G351" i="26"/>
  <c r="H346" i="26"/>
  <c r="C376" i="26" s="1"/>
  <c r="G225" i="26" s="1"/>
  <c r="D83" i="5" s="1"/>
  <c r="H49" i="26"/>
  <c r="H146" i="26" s="1"/>
  <c r="C41" i="20"/>
  <c r="C57" i="20" s="1"/>
  <c r="H95" i="20"/>
  <c r="D41" i="20"/>
  <c r="D57" i="20" s="1"/>
  <c r="K88" i="20"/>
  <c r="F40" i="20" s="1"/>
  <c r="F56" i="20" s="1"/>
  <c r="L88" i="20"/>
  <c r="F97" i="20" s="1"/>
  <c r="K87" i="20"/>
  <c r="E40" i="20" s="1"/>
  <c r="E56" i="20" s="1"/>
  <c r="L87" i="20"/>
  <c r="J89" i="20"/>
  <c r="M615" i="19"/>
  <c r="G624" i="19" s="1"/>
  <c r="H634" i="19" s="1"/>
  <c r="G93" i="19" s="1"/>
  <c r="G188" i="19"/>
  <c r="H199" i="19"/>
  <c r="G156" i="19"/>
  <c r="G157" i="19" s="1"/>
  <c r="G133" i="19"/>
  <c r="I200" i="19"/>
  <c r="I201" i="19" s="1"/>
  <c r="L332" i="19"/>
  <c r="G47" i="19" s="1"/>
  <c r="M332" i="19"/>
  <c r="G341" i="19" s="1"/>
  <c r="H351" i="19" s="1"/>
  <c r="G49" i="19" s="1"/>
  <c r="J102" i="19"/>
  <c r="R102" i="19" s="1"/>
  <c r="I700" i="19"/>
  <c r="G710" i="19" s="1"/>
  <c r="H103" i="19"/>
  <c r="H58" i="19"/>
  <c r="K333" i="19"/>
  <c r="M694" i="19"/>
  <c r="G702" i="19"/>
  <c r="H712" i="19" s="1"/>
  <c r="J104" i="19" s="1"/>
  <c r="R104" i="19" s="1"/>
  <c r="K616" i="19"/>
  <c r="K617" i="19" s="1"/>
  <c r="L617" i="19" s="1"/>
  <c r="H417" i="19"/>
  <c r="H268" i="19"/>
  <c r="H37" i="19" s="1"/>
  <c r="H134" i="19" s="1"/>
  <c r="H135" i="19" s="1"/>
  <c r="H267" i="19"/>
  <c r="G37" i="19" s="1"/>
  <c r="N62" i="7"/>
  <c r="L475" i="19"/>
  <c r="M475" i="19"/>
  <c r="G484" i="19" s="1"/>
  <c r="H494" i="19" s="1"/>
  <c r="H71" i="19" s="1"/>
  <c r="I553" i="19"/>
  <c r="J553" i="19" s="1"/>
  <c r="K549" i="19" s="1"/>
  <c r="M549" i="19" s="1"/>
  <c r="G558" i="19" s="1"/>
  <c r="H568" i="19" s="1"/>
  <c r="G82" i="19" s="1"/>
  <c r="L474" i="19"/>
  <c r="G69" i="19" s="1"/>
  <c r="M474" i="19"/>
  <c r="G483" i="19" s="1"/>
  <c r="H493" i="19" s="1"/>
  <c r="G71" i="19" s="1"/>
  <c r="G118" i="19" s="1"/>
  <c r="L260" i="19"/>
  <c r="I36" i="19" s="1"/>
  <c r="I133" i="19" s="1"/>
  <c r="M260" i="19"/>
  <c r="G269" i="19" s="1"/>
  <c r="H279" i="19" s="1"/>
  <c r="I38" i="19" s="1"/>
  <c r="L409" i="19"/>
  <c r="I58" i="19" s="1"/>
  <c r="I155" i="19" s="1"/>
  <c r="M409" i="19"/>
  <c r="G418" i="19" s="1"/>
  <c r="K410" i="19"/>
  <c r="K476" i="19"/>
  <c r="K261" i="19"/>
  <c r="I353" i="26" l="1"/>
  <c r="E83" i="5"/>
  <c r="H624" i="19"/>
  <c r="I624" i="19" s="1"/>
  <c r="G634" i="19" s="1"/>
  <c r="K56" i="20"/>
  <c r="D179" i="5" s="1"/>
  <c r="D178" i="5" s="1"/>
  <c r="H126" i="29"/>
  <c r="P126" i="29" s="1"/>
  <c r="P125" i="29"/>
  <c r="G134" i="19"/>
  <c r="G135" i="19" s="1"/>
  <c r="I416" i="29"/>
  <c r="G425" i="29" s="1"/>
  <c r="I425" i="29" s="1"/>
  <c r="H62" i="29"/>
  <c r="H143" i="29" s="1"/>
  <c r="G144" i="29"/>
  <c r="L114" i="22"/>
  <c r="I417" i="29"/>
  <c r="G426" i="29" s="1"/>
  <c r="I426" i="29" s="1"/>
  <c r="I62" i="29"/>
  <c r="P63" i="29"/>
  <c r="P117" i="29"/>
  <c r="P89" i="29"/>
  <c r="I170" i="29"/>
  <c r="G600" i="29"/>
  <c r="I593" i="29"/>
  <c r="P142" i="29"/>
  <c r="N96" i="22"/>
  <c r="K463" i="29"/>
  <c r="H429" i="29"/>
  <c r="C448" i="29" s="1"/>
  <c r="H419" i="29"/>
  <c r="C447" i="29" s="1"/>
  <c r="G194" i="29" s="1"/>
  <c r="D101" i="5" s="1"/>
  <c r="E101" i="5" s="1"/>
  <c r="I415" i="29"/>
  <c r="I230" i="29"/>
  <c r="H178" i="26"/>
  <c r="H179" i="26" s="1"/>
  <c r="K496" i="26"/>
  <c r="K497" i="26" s="1"/>
  <c r="L560" i="26"/>
  <c r="H91" i="26" s="1"/>
  <c r="H188" i="26" s="1"/>
  <c r="I428" i="26"/>
  <c r="G438" i="26" s="1"/>
  <c r="M495" i="26"/>
  <c r="G504" i="26" s="1"/>
  <c r="H514" i="26" s="1"/>
  <c r="I82" i="26" s="1"/>
  <c r="G116" i="26"/>
  <c r="C75" i="8" s="1"/>
  <c r="C95" i="8" s="1"/>
  <c r="I503" i="26"/>
  <c r="G513" i="26" s="1"/>
  <c r="I513" i="26" s="1"/>
  <c r="I502" i="26"/>
  <c r="G512" i="26" s="1"/>
  <c r="I512" i="26" s="1"/>
  <c r="G81" i="26"/>
  <c r="G178" i="26" s="1"/>
  <c r="G179" i="26" s="1"/>
  <c r="I654" i="26"/>
  <c r="M560" i="26"/>
  <c r="G569" i="26" s="1"/>
  <c r="H579" i="26" s="1"/>
  <c r="H103" i="26"/>
  <c r="H200" i="26" s="1"/>
  <c r="H418" i="19"/>
  <c r="I418" i="19" s="1"/>
  <c r="G428" i="19" s="1"/>
  <c r="H428" i="19"/>
  <c r="I60" i="19" s="1"/>
  <c r="I437" i="26"/>
  <c r="I346" i="26"/>
  <c r="G645" i="26"/>
  <c r="H655" i="26" s="1"/>
  <c r="H104" i="26"/>
  <c r="I199" i="26"/>
  <c r="L637" i="26"/>
  <c r="J102" i="26" s="1"/>
  <c r="J199" i="26" s="1"/>
  <c r="M637" i="26"/>
  <c r="G646" i="26" s="1"/>
  <c r="H656" i="26" s="1"/>
  <c r="I643" i="26"/>
  <c r="G103" i="26"/>
  <c r="K562" i="26"/>
  <c r="K563" i="26" s="1"/>
  <c r="M421" i="26"/>
  <c r="L421" i="26"/>
  <c r="J69" i="26" s="1"/>
  <c r="H429" i="26"/>
  <c r="I70" i="26" s="1"/>
  <c r="I167" i="26" s="1"/>
  <c r="H71" i="26"/>
  <c r="H168" i="26" s="1"/>
  <c r="I352" i="26"/>
  <c r="L259" i="26"/>
  <c r="H36" i="26" s="1"/>
  <c r="H133" i="26" s="1"/>
  <c r="M259" i="26"/>
  <c r="G268" i="26" s="1"/>
  <c r="H278" i="26" s="1"/>
  <c r="G267" i="26"/>
  <c r="H277" i="26" s="1"/>
  <c r="G133" i="26"/>
  <c r="G212" i="26" s="1"/>
  <c r="K260" i="26"/>
  <c r="L561" i="26"/>
  <c r="I91" i="26" s="1"/>
  <c r="M561" i="26"/>
  <c r="G570" i="26" s="1"/>
  <c r="H580" i="26" s="1"/>
  <c r="I354" i="26"/>
  <c r="H568" i="26"/>
  <c r="I568" i="26" s="1"/>
  <c r="R145" i="26"/>
  <c r="G168" i="26"/>
  <c r="I351" i="26"/>
  <c r="G357" i="26"/>
  <c r="D42" i="20"/>
  <c r="D29" i="20" s="1"/>
  <c r="L89" i="20"/>
  <c r="F96" i="20"/>
  <c r="G97" i="20"/>
  <c r="F41" i="20" s="1"/>
  <c r="F57" i="20" s="1"/>
  <c r="C42" i="20"/>
  <c r="C29" i="20" s="1"/>
  <c r="K40" i="20"/>
  <c r="M40" i="20" s="1"/>
  <c r="H200" i="19"/>
  <c r="H201" i="19" s="1"/>
  <c r="G166" i="19"/>
  <c r="H155" i="19"/>
  <c r="G144" i="19"/>
  <c r="J199" i="19"/>
  <c r="R199" i="19" s="1"/>
  <c r="M616" i="19"/>
  <c r="G625" i="19" s="1"/>
  <c r="M617" i="19"/>
  <c r="G626" i="19" s="1"/>
  <c r="I91" i="19"/>
  <c r="I188" i="19" s="1"/>
  <c r="H69" i="19"/>
  <c r="H166" i="19" s="1"/>
  <c r="K334" i="19"/>
  <c r="M333" i="19"/>
  <c r="G342" i="19" s="1"/>
  <c r="L333" i="19"/>
  <c r="K618" i="19"/>
  <c r="K619" i="19" s="1"/>
  <c r="I267" i="19"/>
  <c r="G277" i="19" s="1"/>
  <c r="I417" i="19"/>
  <c r="G427" i="19" s="1"/>
  <c r="H59" i="19"/>
  <c r="I710" i="19"/>
  <c r="I268" i="19"/>
  <c r="G278" i="19" s="1"/>
  <c r="H341" i="19"/>
  <c r="G48" i="19" s="1"/>
  <c r="L616" i="19"/>
  <c r="H702" i="19"/>
  <c r="J103" i="19" s="1"/>
  <c r="R103" i="19" s="1"/>
  <c r="G704" i="19"/>
  <c r="I709" i="19"/>
  <c r="H558" i="19"/>
  <c r="G81" i="19" s="1"/>
  <c r="H483" i="19"/>
  <c r="G70" i="19" s="1"/>
  <c r="H484" i="19"/>
  <c r="H269" i="19"/>
  <c r="I37" i="19" s="1"/>
  <c r="I134" i="19" s="1"/>
  <c r="I135" i="19" s="1"/>
  <c r="L261" i="19"/>
  <c r="J36" i="19" s="1"/>
  <c r="J133" i="19" s="1"/>
  <c r="M261" i="19"/>
  <c r="G270" i="19" s="1"/>
  <c r="H280" i="19" s="1"/>
  <c r="J38" i="19" s="1"/>
  <c r="K262" i="19"/>
  <c r="L476" i="19"/>
  <c r="M476" i="19"/>
  <c r="G485" i="19" s="1"/>
  <c r="K477" i="19"/>
  <c r="K478" i="19" s="1"/>
  <c r="L410" i="19"/>
  <c r="M410" i="19"/>
  <c r="K411" i="19"/>
  <c r="K550" i="19"/>
  <c r="L549" i="19"/>
  <c r="G80" i="19" s="1"/>
  <c r="G116" i="19" s="1"/>
  <c r="C43" i="7" s="1"/>
  <c r="C63" i="7" s="1"/>
  <c r="E179" i="5" l="1"/>
  <c r="E178" i="5" s="1"/>
  <c r="G92" i="19"/>
  <c r="G189" i="19" s="1"/>
  <c r="G190" i="19" s="1"/>
  <c r="R38" i="19"/>
  <c r="I59" i="19"/>
  <c r="I156" i="19" s="1"/>
  <c r="I157" i="19" s="1"/>
  <c r="F42" i="20"/>
  <c r="F29" i="20" s="1"/>
  <c r="H144" i="29"/>
  <c r="I143" i="29"/>
  <c r="G603" i="29"/>
  <c r="I600" i="29"/>
  <c r="I603" i="29" s="1"/>
  <c r="I171" i="29"/>
  <c r="P171" i="29" s="1"/>
  <c r="P170" i="29"/>
  <c r="P62" i="29"/>
  <c r="L463" i="29"/>
  <c r="G69" i="29" s="1"/>
  <c r="M463" i="29"/>
  <c r="K464" i="29"/>
  <c r="K465" i="29" s="1"/>
  <c r="I419" i="29"/>
  <c r="G424" i="29"/>
  <c r="I236" i="29"/>
  <c r="I240" i="29" s="1"/>
  <c r="G240" i="29"/>
  <c r="L496" i="26"/>
  <c r="J80" i="26" s="1"/>
  <c r="R80" i="26" s="1"/>
  <c r="M496" i="26"/>
  <c r="G505" i="26" s="1"/>
  <c r="H515" i="26" s="1"/>
  <c r="H504" i="26"/>
  <c r="I504" i="26" s="1"/>
  <c r="G514" i="26" s="1"/>
  <c r="I514" i="26" s="1"/>
  <c r="H569" i="26"/>
  <c r="H92" i="26" s="1"/>
  <c r="H189" i="26" s="1"/>
  <c r="H201" i="26"/>
  <c r="H116" i="26"/>
  <c r="D75" i="8" s="1"/>
  <c r="D95" i="8" s="1"/>
  <c r="H626" i="19"/>
  <c r="I92" i="19" s="1"/>
  <c r="I189" i="19" s="1"/>
  <c r="H636" i="19"/>
  <c r="I93" i="19" s="1"/>
  <c r="H485" i="19"/>
  <c r="I485" i="19" s="1"/>
  <c r="G495" i="19" s="1"/>
  <c r="H495" i="19"/>
  <c r="I71" i="19" s="1"/>
  <c r="H625" i="19"/>
  <c r="H635" i="19"/>
  <c r="H93" i="19" s="1"/>
  <c r="H342" i="19"/>
  <c r="I342" i="19" s="1"/>
  <c r="G352" i="19" s="1"/>
  <c r="H352" i="19"/>
  <c r="H49" i="19" s="1"/>
  <c r="M638" i="26"/>
  <c r="G653" i="26"/>
  <c r="R199" i="26"/>
  <c r="H646" i="26"/>
  <c r="J103" i="26" s="1"/>
  <c r="J200" i="26" s="1"/>
  <c r="G200" i="26"/>
  <c r="R102" i="26"/>
  <c r="H645" i="26"/>
  <c r="I645" i="26" s="1"/>
  <c r="G648" i="26"/>
  <c r="R69" i="26"/>
  <c r="J166" i="26"/>
  <c r="R166" i="26" s="1"/>
  <c r="I429" i="26"/>
  <c r="G439" i="26" s="1"/>
  <c r="M422" i="26"/>
  <c r="G430" i="26"/>
  <c r="H440" i="26" s="1"/>
  <c r="I357" i="26"/>
  <c r="I438" i="26"/>
  <c r="M260" i="26"/>
  <c r="G269" i="26" s="1"/>
  <c r="H279" i="26" s="1"/>
  <c r="L260" i="26"/>
  <c r="I36" i="26" s="1"/>
  <c r="I133" i="26" s="1"/>
  <c r="H267" i="26"/>
  <c r="I267" i="26" s="1"/>
  <c r="H268" i="26"/>
  <c r="H37" i="26" s="1"/>
  <c r="K261" i="26"/>
  <c r="G578" i="26"/>
  <c r="L562" i="26"/>
  <c r="J91" i="26" s="1"/>
  <c r="J188" i="26" s="1"/>
  <c r="M562" i="26"/>
  <c r="G571" i="26" s="1"/>
  <c r="H581" i="26" s="1"/>
  <c r="H570" i="26"/>
  <c r="I92" i="26" s="1"/>
  <c r="H212" i="26"/>
  <c r="I188" i="26"/>
  <c r="H357" i="26"/>
  <c r="C377" i="26" s="1"/>
  <c r="G49" i="26"/>
  <c r="G92" i="26"/>
  <c r="H97" i="20"/>
  <c r="G96" i="20"/>
  <c r="F99" i="20"/>
  <c r="I341" i="19"/>
  <c r="G351" i="19" s="1"/>
  <c r="G167" i="19"/>
  <c r="G168" i="19" s="1"/>
  <c r="H156" i="19"/>
  <c r="H157" i="19" s="1"/>
  <c r="G177" i="19"/>
  <c r="G145" i="19"/>
  <c r="G146" i="19" s="1"/>
  <c r="R36" i="19"/>
  <c r="R133" i="19"/>
  <c r="J200" i="19"/>
  <c r="I558" i="19"/>
  <c r="G568" i="19" s="1"/>
  <c r="I69" i="19"/>
  <c r="I166" i="19" s="1"/>
  <c r="L334" i="19"/>
  <c r="M334" i="19"/>
  <c r="G343" i="19" s="1"/>
  <c r="I428" i="19"/>
  <c r="M618" i="19"/>
  <c r="M619" i="19" s="1"/>
  <c r="J58" i="19"/>
  <c r="G117" i="19"/>
  <c r="C44" i="7" s="1"/>
  <c r="I269" i="19"/>
  <c r="G279" i="19" s="1"/>
  <c r="I484" i="19"/>
  <c r="G494" i="19" s="1"/>
  <c r="H70" i="19"/>
  <c r="H167" i="19" s="1"/>
  <c r="H168" i="19" s="1"/>
  <c r="H91" i="19"/>
  <c r="L618" i="19"/>
  <c r="J91" i="19" s="1"/>
  <c r="J188" i="19" s="1"/>
  <c r="I277" i="19"/>
  <c r="I483" i="19"/>
  <c r="G493" i="19" s="1"/>
  <c r="K335" i="19"/>
  <c r="H47" i="19"/>
  <c r="I427" i="19"/>
  <c r="I702" i="19"/>
  <c r="H704" i="19"/>
  <c r="C734" i="19" s="1"/>
  <c r="G228" i="19" s="1"/>
  <c r="D160" i="5" s="1"/>
  <c r="M411" i="19"/>
  <c r="G419" i="19"/>
  <c r="H429" i="19" s="1"/>
  <c r="J60" i="19" s="1"/>
  <c r="R60" i="19" s="1"/>
  <c r="I426" i="19"/>
  <c r="I278" i="19"/>
  <c r="H270" i="19"/>
  <c r="J37" i="19" s="1"/>
  <c r="J134" i="19" s="1"/>
  <c r="J135" i="19" s="1"/>
  <c r="M262" i="19"/>
  <c r="G272" i="19"/>
  <c r="L550" i="19"/>
  <c r="H80" i="19" s="1"/>
  <c r="H177" i="19" s="1"/>
  <c r="M550" i="19"/>
  <c r="G559" i="19" s="1"/>
  <c r="H569" i="19" s="1"/>
  <c r="H82" i="19" s="1"/>
  <c r="L477" i="19"/>
  <c r="J69" i="19" s="1"/>
  <c r="J166" i="19" s="1"/>
  <c r="M477" i="19"/>
  <c r="K551" i="19"/>
  <c r="H118" i="19" l="1"/>
  <c r="I190" i="19"/>
  <c r="R135" i="19"/>
  <c r="R200" i="19"/>
  <c r="J201" i="19"/>
  <c r="R201" i="19" s="1"/>
  <c r="J177" i="26"/>
  <c r="R177" i="26" s="1"/>
  <c r="I626" i="19"/>
  <c r="H505" i="26"/>
  <c r="J81" i="26" s="1"/>
  <c r="I351" i="19"/>
  <c r="G627" i="19"/>
  <c r="H637" i="19" s="1"/>
  <c r="J93" i="19" s="1"/>
  <c r="R93" i="19" s="1"/>
  <c r="I144" i="29"/>
  <c r="P143" i="29"/>
  <c r="G99" i="29"/>
  <c r="C97" i="22" s="1"/>
  <c r="G150" i="29"/>
  <c r="H518" i="29"/>
  <c r="H519" i="29" s="1"/>
  <c r="I519" i="29" s="1"/>
  <c r="G521" i="29"/>
  <c r="L464" i="29"/>
  <c r="H69" i="29" s="1"/>
  <c r="P69" i="29" s="1"/>
  <c r="P99" i="29" s="1"/>
  <c r="M464" i="29"/>
  <c r="G471" i="29" s="1"/>
  <c r="G470" i="29"/>
  <c r="I424" i="29"/>
  <c r="I429" i="29" s="1"/>
  <c r="G429" i="29"/>
  <c r="P163" i="29"/>
  <c r="P164" i="29"/>
  <c r="G507" i="26"/>
  <c r="M497" i="26"/>
  <c r="I81" i="26"/>
  <c r="I178" i="26" s="1"/>
  <c r="I179" i="26" s="1"/>
  <c r="I569" i="26"/>
  <c r="G579" i="26" s="1"/>
  <c r="H93" i="26" s="1"/>
  <c r="H190" i="26" s="1"/>
  <c r="H48" i="19"/>
  <c r="I70" i="19"/>
  <c r="I167" i="19" s="1"/>
  <c r="I168" i="19" s="1"/>
  <c r="H343" i="19"/>
  <c r="I343" i="19" s="1"/>
  <c r="G353" i="19" s="1"/>
  <c r="H353" i="19"/>
  <c r="I49" i="19" s="1"/>
  <c r="H92" i="19"/>
  <c r="I625" i="19"/>
  <c r="G635" i="19" s="1"/>
  <c r="I635" i="19" s="1"/>
  <c r="I116" i="26"/>
  <c r="E75" i="8" s="1"/>
  <c r="E95" i="8" s="1"/>
  <c r="I646" i="26"/>
  <c r="G656" i="26" s="1"/>
  <c r="G655" i="26"/>
  <c r="J104" i="26"/>
  <c r="J201" i="26" s="1"/>
  <c r="I103" i="26"/>
  <c r="H648" i="26"/>
  <c r="C678" i="26" s="1"/>
  <c r="G228" i="26" s="1"/>
  <c r="D163" i="5" s="1"/>
  <c r="E163" i="5" s="1"/>
  <c r="J82" i="26"/>
  <c r="H518" i="26"/>
  <c r="C529" i="26" s="1"/>
  <c r="I71" i="26"/>
  <c r="I168" i="26" s="1"/>
  <c r="G432" i="26"/>
  <c r="H430" i="26"/>
  <c r="I268" i="26"/>
  <c r="G278" i="26" s="1"/>
  <c r="I278" i="26" s="1"/>
  <c r="R91" i="26"/>
  <c r="M261" i="26"/>
  <c r="G270" i="26" s="1"/>
  <c r="H280" i="26" s="1"/>
  <c r="L261" i="26"/>
  <c r="J36" i="26" s="1"/>
  <c r="R36" i="26" s="1"/>
  <c r="K262" i="26"/>
  <c r="G277" i="26"/>
  <c r="H117" i="26"/>
  <c r="D76" i="8" s="1"/>
  <c r="D96" i="8" s="1"/>
  <c r="H134" i="26"/>
  <c r="H213" i="26" s="1"/>
  <c r="G37" i="26"/>
  <c r="G117" i="26" s="1"/>
  <c r="C76" i="8" s="1"/>
  <c r="H269" i="26"/>
  <c r="I37" i="26" s="1"/>
  <c r="I134" i="26" s="1"/>
  <c r="G189" i="26"/>
  <c r="R49" i="26"/>
  <c r="G146" i="26"/>
  <c r="R146" i="26" s="1"/>
  <c r="I212" i="26"/>
  <c r="I189" i="26"/>
  <c r="R188" i="26"/>
  <c r="M563" i="26"/>
  <c r="H38" i="26"/>
  <c r="I570" i="26"/>
  <c r="H571" i="26"/>
  <c r="I571" i="26" s="1"/>
  <c r="G581" i="26" s="1"/>
  <c r="G573" i="26"/>
  <c r="H96" i="20"/>
  <c r="H99" i="20" s="1"/>
  <c r="E41" i="20"/>
  <c r="G99" i="20"/>
  <c r="B104" i="20" s="1"/>
  <c r="H144" i="19"/>
  <c r="G178" i="19"/>
  <c r="G212" i="19"/>
  <c r="R166" i="19"/>
  <c r="H188" i="19"/>
  <c r="R91" i="19"/>
  <c r="J155" i="19"/>
  <c r="R58" i="19"/>
  <c r="R69" i="19"/>
  <c r="I494" i="19"/>
  <c r="I47" i="19"/>
  <c r="I144" i="19" s="1"/>
  <c r="K336" i="19"/>
  <c r="L335" i="19"/>
  <c r="J47" i="19" s="1"/>
  <c r="J144" i="19" s="1"/>
  <c r="M335" i="19"/>
  <c r="I634" i="19"/>
  <c r="H272" i="19"/>
  <c r="C301" i="19" s="1"/>
  <c r="I495" i="19"/>
  <c r="I279" i="19"/>
  <c r="I352" i="19"/>
  <c r="H116" i="19"/>
  <c r="D43" i="7" s="1"/>
  <c r="D63" i="7" s="1"/>
  <c r="G712" i="19"/>
  <c r="I704" i="19"/>
  <c r="E160" i="5"/>
  <c r="G636" i="19"/>
  <c r="H627" i="19"/>
  <c r="H559" i="19"/>
  <c r="H81" i="19" s="1"/>
  <c r="M478" i="19"/>
  <c r="G486" i="19"/>
  <c r="H496" i="19" s="1"/>
  <c r="J71" i="19" s="1"/>
  <c r="R71" i="19" s="1"/>
  <c r="H419" i="19"/>
  <c r="J59" i="19" s="1"/>
  <c r="R59" i="19" s="1"/>
  <c r="G421" i="19"/>
  <c r="I270" i="19"/>
  <c r="G280" i="19" s="1"/>
  <c r="L551" i="19"/>
  <c r="I80" i="19" s="1"/>
  <c r="I177" i="19" s="1"/>
  <c r="M551" i="19"/>
  <c r="G560" i="19" s="1"/>
  <c r="K552" i="19"/>
  <c r="D176" i="5" l="1"/>
  <c r="D212" i="5" s="1"/>
  <c r="E215" i="5"/>
  <c r="C26" i="4" s="1"/>
  <c r="G213" i="19"/>
  <c r="G179" i="19"/>
  <c r="H507" i="26"/>
  <c r="C528" i="26" s="1"/>
  <c r="I505" i="26"/>
  <c r="I507" i="26" s="1"/>
  <c r="G629" i="19"/>
  <c r="H520" i="29"/>
  <c r="I520" i="29" s="1"/>
  <c r="C115" i="22"/>
  <c r="P144" i="29"/>
  <c r="G179" i="29"/>
  <c r="H150" i="29"/>
  <c r="P150" i="29" s="1"/>
  <c r="P179" i="29" s="1"/>
  <c r="H99" i="29"/>
  <c r="D97" i="22" s="1"/>
  <c r="I518" i="29"/>
  <c r="M465" i="29"/>
  <c r="G473" i="29"/>
  <c r="P183" i="29"/>
  <c r="P184" i="29"/>
  <c r="D215" i="5"/>
  <c r="J178" i="26"/>
  <c r="R178" i="26" s="1"/>
  <c r="R81" i="26"/>
  <c r="I579" i="26"/>
  <c r="I524" i="26"/>
  <c r="G524" i="26"/>
  <c r="I648" i="26"/>
  <c r="I269" i="26"/>
  <c r="G279" i="26" s="1"/>
  <c r="I48" i="19"/>
  <c r="I145" i="19" s="1"/>
  <c r="I146" i="19" s="1"/>
  <c r="H560" i="19"/>
  <c r="I81" i="19" s="1"/>
  <c r="H570" i="19"/>
  <c r="I82" i="19" s="1"/>
  <c r="G659" i="26"/>
  <c r="I439" i="26"/>
  <c r="I656" i="26"/>
  <c r="I653" i="26"/>
  <c r="G104" i="26"/>
  <c r="I200" i="26"/>
  <c r="R103" i="26"/>
  <c r="I104" i="26"/>
  <c r="R116" i="26"/>
  <c r="R82" i="26"/>
  <c r="I430" i="26"/>
  <c r="H432" i="26"/>
  <c r="C462" i="26" s="1"/>
  <c r="G226" i="26" s="1"/>
  <c r="D98" i="5" s="1"/>
  <c r="E98" i="5" s="1"/>
  <c r="J70" i="26"/>
  <c r="M262" i="26"/>
  <c r="I277" i="26"/>
  <c r="H270" i="26"/>
  <c r="J37" i="26" s="1"/>
  <c r="R37" i="26" s="1"/>
  <c r="I38" i="26"/>
  <c r="I135" i="26" s="1"/>
  <c r="G134" i="26"/>
  <c r="J133" i="26"/>
  <c r="J116" i="26"/>
  <c r="F75" i="8" s="1"/>
  <c r="F95" i="8" s="1"/>
  <c r="G272" i="26"/>
  <c r="C96" i="8"/>
  <c r="J93" i="26"/>
  <c r="H118" i="26"/>
  <c r="D77" i="8" s="1"/>
  <c r="H135" i="26"/>
  <c r="G93" i="26"/>
  <c r="G190" i="26" s="1"/>
  <c r="J92" i="26"/>
  <c r="H573" i="26"/>
  <c r="C603" i="26" s="1"/>
  <c r="G227" i="26" s="1"/>
  <c r="D151" i="5" s="1"/>
  <c r="E151" i="5" s="1"/>
  <c r="G580" i="26"/>
  <c r="I573" i="26"/>
  <c r="I578" i="26"/>
  <c r="K41" i="20"/>
  <c r="E42" i="20"/>
  <c r="E29" i="20" s="1"/>
  <c r="E57" i="20"/>
  <c r="K57" i="20" s="1"/>
  <c r="R37" i="19"/>
  <c r="H189" i="19"/>
  <c r="H190" i="19" s="1"/>
  <c r="R188" i="19"/>
  <c r="H178" i="19"/>
  <c r="H179" i="19" s="1"/>
  <c r="I212" i="19"/>
  <c r="R134" i="19"/>
  <c r="J156" i="19"/>
  <c r="J157" i="19" s="1"/>
  <c r="R157" i="19" s="1"/>
  <c r="R155" i="19"/>
  <c r="R47" i="19"/>
  <c r="H145" i="19"/>
  <c r="H146" i="19" s="1"/>
  <c r="H212" i="19"/>
  <c r="R144" i="19"/>
  <c r="I353" i="19"/>
  <c r="G344" i="19"/>
  <c r="H354" i="19" s="1"/>
  <c r="J49" i="19" s="1"/>
  <c r="M336" i="19"/>
  <c r="I116" i="19"/>
  <c r="E43" i="7" s="1"/>
  <c r="E63" i="7" s="1"/>
  <c r="H117" i="19"/>
  <c r="D44" i="7" s="1"/>
  <c r="H629" i="19"/>
  <c r="C659" i="19" s="1"/>
  <c r="G227" i="19" s="1"/>
  <c r="D148" i="5" s="1"/>
  <c r="E148" i="5" s="1"/>
  <c r="J92" i="19"/>
  <c r="I493" i="19"/>
  <c r="I559" i="19"/>
  <c r="G569" i="19" s="1"/>
  <c r="G715" i="19"/>
  <c r="I627" i="19"/>
  <c r="I568" i="19"/>
  <c r="H486" i="19"/>
  <c r="J70" i="19" s="1"/>
  <c r="G488" i="19"/>
  <c r="I419" i="19"/>
  <c r="H421" i="19"/>
  <c r="C443" i="19" s="1"/>
  <c r="G283" i="19"/>
  <c r="L552" i="19"/>
  <c r="J80" i="19" s="1"/>
  <c r="M552" i="19"/>
  <c r="K553" i="19"/>
  <c r="E176" i="5" l="1"/>
  <c r="E212" i="5" s="1"/>
  <c r="C23" i="4" s="1"/>
  <c r="C29" i="4" s="1"/>
  <c r="H214" i="19"/>
  <c r="R49" i="19"/>
  <c r="I118" i="19"/>
  <c r="E45" i="7" s="1"/>
  <c r="G214" i="19"/>
  <c r="G515" i="26"/>
  <c r="G518" i="26" s="1"/>
  <c r="I560" i="19"/>
  <c r="G570" i="19" s="1"/>
  <c r="E241" i="5"/>
  <c r="E26" i="4" s="1"/>
  <c r="B26" i="4"/>
  <c r="D218" i="5"/>
  <c r="B23" i="4"/>
  <c r="B29" i="4" s="1"/>
  <c r="H470" i="29"/>
  <c r="I470" i="29" s="1"/>
  <c r="H521" i="29"/>
  <c r="I117" i="19"/>
  <c r="E44" i="7" s="1"/>
  <c r="D115" i="22"/>
  <c r="L115" i="22" s="1"/>
  <c r="H179" i="29"/>
  <c r="L97" i="22"/>
  <c r="I521" i="29"/>
  <c r="J521" i="29" s="1"/>
  <c r="J179" i="26"/>
  <c r="R179" i="26" s="1"/>
  <c r="H524" i="26"/>
  <c r="C530" i="26" s="1"/>
  <c r="I581" i="26"/>
  <c r="I655" i="26"/>
  <c r="I659" i="26" s="1"/>
  <c r="H659" i="26"/>
  <c r="C679" i="26" s="1"/>
  <c r="R104" i="26"/>
  <c r="G201" i="26"/>
  <c r="I201" i="26"/>
  <c r="R200" i="26"/>
  <c r="J167" i="26"/>
  <c r="R70" i="26"/>
  <c r="G440" i="26"/>
  <c r="I432" i="26"/>
  <c r="H272" i="26"/>
  <c r="C301" i="26" s="1"/>
  <c r="G224" i="26" s="1"/>
  <c r="I270" i="26"/>
  <c r="G280" i="26" s="1"/>
  <c r="G283" i="26" s="1"/>
  <c r="I279" i="26"/>
  <c r="G213" i="26"/>
  <c r="R133" i="26"/>
  <c r="R212" i="26" s="1"/>
  <c r="E54" i="5" s="1"/>
  <c r="J134" i="26"/>
  <c r="J212" i="26"/>
  <c r="N95" i="8"/>
  <c r="D54" i="5" s="1"/>
  <c r="N75" i="8"/>
  <c r="P75" i="8" s="1"/>
  <c r="G38" i="26"/>
  <c r="D80" i="8"/>
  <c r="D64" i="8" s="1"/>
  <c r="D97" i="8"/>
  <c r="H214" i="26"/>
  <c r="I580" i="26"/>
  <c r="G584" i="26"/>
  <c r="I117" i="26"/>
  <c r="E76" i="8" s="1"/>
  <c r="J117" i="26"/>
  <c r="F76" i="8" s="1"/>
  <c r="F96" i="8" s="1"/>
  <c r="J189" i="26"/>
  <c r="R92" i="26"/>
  <c r="M41" i="20"/>
  <c r="M42" i="20" s="1"/>
  <c r="K42" i="20"/>
  <c r="K29" i="20" s="1"/>
  <c r="I280" i="19"/>
  <c r="I283" i="19" s="1"/>
  <c r="J177" i="19"/>
  <c r="R80" i="19"/>
  <c r="R116" i="19" s="1"/>
  <c r="H213" i="19"/>
  <c r="R156" i="19"/>
  <c r="R70" i="19"/>
  <c r="J167" i="19"/>
  <c r="J168" i="19" s="1"/>
  <c r="R168" i="19" s="1"/>
  <c r="R92" i="19"/>
  <c r="J189" i="19"/>
  <c r="I178" i="19"/>
  <c r="J116" i="19"/>
  <c r="I636" i="19"/>
  <c r="H715" i="19"/>
  <c r="C735" i="19" s="1"/>
  <c r="I570" i="19"/>
  <c r="C45" i="7"/>
  <c r="D64" i="7"/>
  <c r="H344" i="19"/>
  <c r="G346" i="19"/>
  <c r="I712" i="19"/>
  <c r="I715" i="19" s="1"/>
  <c r="G637" i="19"/>
  <c r="I629" i="19"/>
  <c r="M553" i="19"/>
  <c r="G561" i="19"/>
  <c r="H571" i="19" s="1"/>
  <c r="J82" i="19" s="1"/>
  <c r="J118" i="19" s="1"/>
  <c r="I486" i="19"/>
  <c r="H488" i="19"/>
  <c r="C518" i="19" s="1"/>
  <c r="G226" i="19" s="1"/>
  <c r="D95" i="5" s="1"/>
  <c r="C21" i="4"/>
  <c r="B21" i="4"/>
  <c r="G429" i="19"/>
  <c r="I421" i="19"/>
  <c r="H283" i="19"/>
  <c r="C302" i="19" s="1"/>
  <c r="I515" i="26" l="1"/>
  <c r="I518" i="26" s="1"/>
  <c r="H471" i="29"/>
  <c r="E242" i="5"/>
  <c r="E23" i="4" s="1"/>
  <c r="E29" i="4" s="1"/>
  <c r="E218" i="5"/>
  <c r="R82" i="19"/>
  <c r="R120" i="19" s="1"/>
  <c r="R119" i="19"/>
  <c r="I213" i="19"/>
  <c r="I179" i="19"/>
  <c r="R189" i="19"/>
  <c r="J190" i="19"/>
  <c r="R190" i="19" s="1"/>
  <c r="E48" i="7"/>
  <c r="E32" i="7" s="1"/>
  <c r="F43" i="7"/>
  <c r="F63" i="7" s="1"/>
  <c r="N63" i="7" s="1"/>
  <c r="E64" i="7"/>
  <c r="E65" i="7" s="1"/>
  <c r="N97" i="22"/>
  <c r="K518" i="29"/>
  <c r="I584" i="26"/>
  <c r="I272" i="26"/>
  <c r="R117" i="26"/>
  <c r="H217" i="26"/>
  <c r="R201" i="26"/>
  <c r="G443" i="26"/>
  <c r="I440" i="26"/>
  <c r="I443" i="26" s="1"/>
  <c r="R167" i="26"/>
  <c r="J38" i="26"/>
  <c r="R38" i="26" s="1"/>
  <c r="I280" i="26"/>
  <c r="I283" i="26" s="1"/>
  <c r="H283" i="26"/>
  <c r="C302" i="26" s="1"/>
  <c r="G135" i="26"/>
  <c r="R134" i="26"/>
  <c r="E96" i="8"/>
  <c r="N76" i="8"/>
  <c r="J190" i="26"/>
  <c r="R189" i="26"/>
  <c r="J213" i="26"/>
  <c r="I213" i="26"/>
  <c r="R156" i="26"/>
  <c r="I93" i="26"/>
  <c r="H584" i="26"/>
  <c r="C604" i="26" s="1"/>
  <c r="G118" i="26"/>
  <c r="C77" i="8" s="1"/>
  <c r="R167" i="19"/>
  <c r="J212" i="19"/>
  <c r="R177" i="19"/>
  <c r="R212" i="19" s="1"/>
  <c r="E49" i="5" s="1"/>
  <c r="E48" i="5" s="1"/>
  <c r="D45" i="7"/>
  <c r="D48" i="7" s="1"/>
  <c r="J48" i="19"/>
  <c r="H346" i="19"/>
  <c r="C376" i="19" s="1"/>
  <c r="G225" i="19" s="1"/>
  <c r="D80" i="5" s="1"/>
  <c r="D209" i="5" s="1"/>
  <c r="I344" i="19"/>
  <c r="G640" i="19"/>
  <c r="I569" i="19"/>
  <c r="H561" i="19"/>
  <c r="J81" i="19" s="1"/>
  <c r="R81" i="19" s="1"/>
  <c r="G563" i="19"/>
  <c r="E95" i="5"/>
  <c r="E211" i="5" s="1"/>
  <c r="C22" i="4" s="1"/>
  <c r="D211" i="5"/>
  <c r="B22" i="4" s="1"/>
  <c r="G496" i="19"/>
  <c r="I488" i="19"/>
  <c r="E21" i="4"/>
  <c r="G432" i="19"/>
  <c r="H290" i="19"/>
  <c r="C303" i="19" s="1"/>
  <c r="G290" i="19"/>
  <c r="I471" i="29" l="1"/>
  <c r="H472" i="29"/>
  <c r="R118" i="19"/>
  <c r="I214" i="19"/>
  <c r="I217" i="19"/>
  <c r="N43" i="7"/>
  <c r="P43" i="7" s="1"/>
  <c r="D48" i="5"/>
  <c r="R213" i="26"/>
  <c r="E55" i="5" s="1"/>
  <c r="E53" i="5" s="1"/>
  <c r="L518" i="29"/>
  <c r="G79" i="29" s="1"/>
  <c r="M518" i="29"/>
  <c r="K519" i="29"/>
  <c r="G230" i="26"/>
  <c r="D27" i="5"/>
  <c r="J135" i="26"/>
  <c r="R135" i="26" s="1"/>
  <c r="H443" i="26"/>
  <c r="C463" i="26" s="1"/>
  <c r="J71" i="26"/>
  <c r="J118" i="26" s="1"/>
  <c r="F77" i="8" s="1"/>
  <c r="N96" i="8"/>
  <c r="D55" i="5" s="1"/>
  <c r="P76" i="8"/>
  <c r="C80" i="8"/>
  <c r="C97" i="8"/>
  <c r="I190" i="26"/>
  <c r="R190" i="26" s="1"/>
  <c r="R93" i="26"/>
  <c r="G214" i="26"/>
  <c r="R48" i="19"/>
  <c r="R117" i="19" s="1"/>
  <c r="J145" i="19"/>
  <c r="J146" i="19" s="1"/>
  <c r="J178" i="19"/>
  <c r="J179" i="19" s="1"/>
  <c r="R179" i="19" s="1"/>
  <c r="D32" i="7"/>
  <c r="D65" i="7"/>
  <c r="J117" i="19"/>
  <c r="F44" i="7" s="1"/>
  <c r="G354" i="19"/>
  <c r="I346" i="19"/>
  <c r="H432" i="19"/>
  <c r="C444" i="19" s="1"/>
  <c r="E80" i="5"/>
  <c r="E209" i="5" s="1"/>
  <c r="C20" i="4" s="1"/>
  <c r="B20" i="4"/>
  <c r="I637" i="19"/>
  <c r="I640" i="19" s="1"/>
  <c r="H640" i="19"/>
  <c r="C660" i="19" s="1"/>
  <c r="I429" i="19"/>
  <c r="I432" i="19" s="1"/>
  <c r="I561" i="19"/>
  <c r="H563" i="19"/>
  <c r="C584" i="19" s="1"/>
  <c r="G499" i="19"/>
  <c r="E238" i="5"/>
  <c r="E22" i="4" s="1"/>
  <c r="I290" i="19"/>
  <c r="I472" i="29" l="1"/>
  <c r="I473" i="29" s="1"/>
  <c r="J473" i="29" s="1"/>
  <c r="H473" i="29"/>
  <c r="E27" i="5"/>
  <c r="J214" i="19"/>
  <c r="R146" i="19"/>
  <c r="F80" i="8"/>
  <c r="F64" i="8" s="1"/>
  <c r="J217" i="26" s="1"/>
  <c r="F97" i="8"/>
  <c r="D53" i="5"/>
  <c r="E70" i="5"/>
  <c r="E52" i="5"/>
  <c r="G160" i="29"/>
  <c r="L519" i="29"/>
  <c r="H79" i="29" s="1"/>
  <c r="H160" i="29" s="1"/>
  <c r="M519" i="29"/>
  <c r="G527" i="29" s="1"/>
  <c r="H536" i="29" s="1"/>
  <c r="G526" i="29"/>
  <c r="H535" i="29" s="1"/>
  <c r="K520" i="29"/>
  <c r="K521" i="29" s="1"/>
  <c r="H217" i="19"/>
  <c r="R71" i="26"/>
  <c r="J168" i="26"/>
  <c r="C64" i="8"/>
  <c r="I118" i="26"/>
  <c r="E77" i="8" s="1"/>
  <c r="R118" i="26"/>
  <c r="J213" i="19"/>
  <c r="R145" i="19"/>
  <c r="R178" i="19"/>
  <c r="E236" i="5"/>
  <c r="E20" i="4" s="1"/>
  <c r="I354" i="19"/>
  <c r="I357" i="19" s="1"/>
  <c r="G357" i="19"/>
  <c r="F64" i="7"/>
  <c r="G571" i="19"/>
  <c r="H580" i="19" s="1"/>
  <c r="C586" i="19" s="1"/>
  <c r="G224" i="19" s="1"/>
  <c r="D24" i="5" s="1"/>
  <c r="I563" i="19"/>
  <c r="I496" i="19"/>
  <c r="I499" i="19" s="1"/>
  <c r="H499" i="19"/>
  <c r="C519" i="19" s="1"/>
  <c r="K470" i="29" l="1"/>
  <c r="K471" i="29" s="1"/>
  <c r="G230" i="19"/>
  <c r="R215" i="19"/>
  <c r="R216" i="19"/>
  <c r="R214" i="19"/>
  <c r="R213" i="19"/>
  <c r="D70" i="5"/>
  <c r="D52" i="5"/>
  <c r="H526" i="29"/>
  <c r="G81" i="29"/>
  <c r="H527" i="29"/>
  <c r="H81" i="29"/>
  <c r="L520" i="29"/>
  <c r="I79" i="29" s="1"/>
  <c r="M520" i="29"/>
  <c r="G217" i="26"/>
  <c r="E24" i="5"/>
  <c r="R168" i="26"/>
  <c r="J214" i="26"/>
  <c r="E80" i="8"/>
  <c r="E97" i="8"/>
  <c r="N97" i="8" s="1"/>
  <c r="N77" i="8"/>
  <c r="I214" i="26"/>
  <c r="R157" i="26"/>
  <c r="H357" i="19"/>
  <c r="C377" i="19" s="1"/>
  <c r="G574" i="19"/>
  <c r="K472" i="29" l="1"/>
  <c r="K473" i="29" s="1"/>
  <c r="L471" i="29"/>
  <c r="H70" i="29" s="1"/>
  <c r="M471" i="29"/>
  <c r="G479" i="29" s="1"/>
  <c r="L470" i="29"/>
  <c r="G70" i="29" s="1"/>
  <c r="M470" i="29"/>
  <c r="G478" i="29" s="1"/>
  <c r="I527" i="29"/>
  <c r="G536" i="29" s="1"/>
  <c r="I536" i="29" s="1"/>
  <c r="H80" i="29"/>
  <c r="H161" i="29" s="1"/>
  <c r="H162" i="29" s="1"/>
  <c r="I160" i="29"/>
  <c r="P79" i="29"/>
  <c r="I526" i="29"/>
  <c r="G535" i="29" s="1"/>
  <c r="G80" i="29"/>
  <c r="G528" i="29"/>
  <c r="H537" i="29" s="1"/>
  <c r="M521" i="29"/>
  <c r="R214" i="26"/>
  <c r="P77" i="8"/>
  <c r="P80" i="8" s="1"/>
  <c r="N80" i="8"/>
  <c r="E64" i="8"/>
  <c r="H574" i="19"/>
  <c r="C585" i="19" s="1"/>
  <c r="F45" i="7"/>
  <c r="I571" i="19"/>
  <c r="I272" i="19"/>
  <c r="N44" i="7"/>
  <c r="C64" i="7"/>
  <c r="N64" i="7" s="1"/>
  <c r="C48" i="7"/>
  <c r="C32" i="7" s="1"/>
  <c r="L472" i="29" l="1"/>
  <c r="I70" i="29" s="1"/>
  <c r="P70" i="29" s="1"/>
  <c r="M472" i="29"/>
  <c r="G480" i="29" s="1"/>
  <c r="H488" i="29"/>
  <c r="H72" i="29" s="1"/>
  <c r="H102" i="29" s="1"/>
  <c r="D100" i="22" s="1"/>
  <c r="H479" i="29"/>
  <c r="H487" i="29"/>
  <c r="G72" i="29" s="1"/>
  <c r="G102" i="29" s="1"/>
  <c r="C100" i="22" s="1"/>
  <c r="H478" i="29"/>
  <c r="G71" i="29" s="1"/>
  <c r="G101" i="29" s="1"/>
  <c r="C99" i="22" s="1"/>
  <c r="H151" i="29"/>
  <c r="H100" i="29"/>
  <c r="D98" i="22" s="1"/>
  <c r="D116" i="22" s="1"/>
  <c r="G151" i="29"/>
  <c r="G100" i="29"/>
  <c r="C98" i="22" s="1"/>
  <c r="C116" i="22" s="1"/>
  <c r="G161" i="29"/>
  <c r="P160" i="29"/>
  <c r="H528" i="29"/>
  <c r="G530" i="29"/>
  <c r="I535" i="29"/>
  <c r="I217" i="26"/>
  <c r="I574" i="19"/>
  <c r="G217" i="19"/>
  <c r="N64" i="8"/>
  <c r="N45" i="7"/>
  <c r="P45" i="7" s="1"/>
  <c r="F48" i="7"/>
  <c r="F65" i="7"/>
  <c r="P44" i="7"/>
  <c r="C65" i="7"/>
  <c r="H489" i="29" l="1"/>
  <c r="I72" i="29" s="1"/>
  <c r="P72" i="29" s="1"/>
  <c r="G482" i="29"/>
  <c r="H480" i="29"/>
  <c r="I151" i="29"/>
  <c r="P151" i="29" s="1"/>
  <c r="P180" i="29" s="1"/>
  <c r="E60" i="5" s="1"/>
  <c r="I100" i="29"/>
  <c r="E98" i="22" s="1"/>
  <c r="E116" i="22" s="1"/>
  <c r="L116" i="22" s="1"/>
  <c r="D60" i="5" s="1"/>
  <c r="M473" i="29"/>
  <c r="G152" i="29"/>
  <c r="G153" i="29" s="1"/>
  <c r="G180" i="29"/>
  <c r="H491" i="29"/>
  <c r="C496" i="29" s="1"/>
  <c r="H180" i="29"/>
  <c r="I479" i="29"/>
  <c r="G488" i="29" s="1"/>
  <c r="I488" i="29" s="1"/>
  <c r="H71" i="29"/>
  <c r="H101" i="29" s="1"/>
  <c r="D99" i="22" s="1"/>
  <c r="D103" i="22" s="1"/>
  <c r="D89" i="22" s="1"/>
  <c r="I478" i="29"/>
  <c r="G487" i="29" s="1"/>
  <c r="I487" i="29" s="1"/>
  <c r="H540" i="29"/>
  <c r="C559" i="29" s="1"/>
  <c r="I81" i="29"/>
  <c r="G162" i="29"/>
  <c r="H530" i="29"/>
  <c r="C558" i="29" s="1"/>
  <c r="G195" i="29" s="1"/>
  <c r="D154" i="5" s="1"/>
  <c r="I80" i="29"/>
  <c r="C103" i="22"/>
  <c r="C89" i="22" s="1"/>
  <c r="C117" i="22"/>
  <c r="I528" i="29"/>
  <c r="R217" i="26"/>
  <c r="I580" i="19"/>
  <c r="G580" i="19"/>
  <c r="N65" i="7"/>
  <c r="N48" i="7"/>
  <c r="N32" i="7" s="1"/>
  <c r="P48" i="7"/>
  <c r="F32" i="7"/>
  <c r="H152" i="29" l="1"/>
  <c r="G181" i="29"/>
  <c r="G185" i="29" s="1"/>
  <c r="L98" i="22"/>
  <c r="N98" i="22" s="1"/>
  <c r="D117" i="22"/>
  <c r="D118" i="22" s="1"/>
  <c r="I180" i="29"/>
  <c r="I71" i="29"/>
  <c r="I152" i="29" s="1"/>
  <c r="I480" i="29"/>
  <c r="G489" i="29" s="1"/>
  <c r="G491" i="29" s="1"/>
  <c r="H482" i="29"/>
  <c r="C495" i="29" s="1"/>
  <c r="G192" i="29" s="1"/>
  <c r="D30" i="5" s="1"/>
  <c r="E30" i="5" s="1"/>
  <c r="H181" i="29"/>
  <c r="H185" i="29" s="1"/>
  <c r="H153" i="29"/>
  <c r="H182" i="29" s="1"/>
  <c r="I482" i="29"/>
  <c r="I101" i="29"/>
  <c r="E99" i="22" s="1"/>
  <c r="I161" i="29"/>
  <c r="P80" i="29"/>
  <c r="C118" i="22"/>
  <c r="E154" i="5"/>
  <c r="E214" i="5" s="1"/>
  <c r="C25" i="4" s="1"/>
  <c r="D214" i="5"/>
  <c r="B25" i="4" s="1"/>
  <c r="G182" i="29"/>
  <c r="I102" i="29"/>
  <c r="E100" i="22" s="1"/>
  <c r="L100" i="22" s="1"/>
  <c r="N100" i="22" s="1"/>
  <c r="P81" i="29"/>
  <c r="G537" i="29"/>
  <c r="I530" i="29"/>
  <c r="I489" i="29"/>
  <c r="I491" i="29" s="1"/>
  <c r="J217" i="19"/>
  <c r="R217" i="19"/>
  <c r="G198" i="29" l="1"/>
  <c r="I153" i="29"/>
  <c r="P153" i="29" s="1"/>
  <c r="P152" i="29"/>
  <c r="P71" i="29"/>
  <c r="P101" i="29" s="1"/>
  <c r="E240" i="5"/>
  <c r="E25" i="4" s="1"/>
  <c r="I162" i="29"/>
  <c r="I181" i="29"/>
  <c r="P161" i="29"/>
  <c r="P102" i="29"/>
  <c r="P100" i="29"/>
  <c r="E103" i="22"/>
  <c r="E89" i="22" s="1"/>
  <c r="L99" i="22"/>
  <c r="E117" i="22"/>
  <c r="I537" i="29"/>
  <c r="I540" i="29" s="1"/>
  <c r="G540" i="29"/>
  <c r="I185" i="29" l="1"/>
  <c r="E118" i="22"/>
  <c r="L118" i="22" s="1"/>
  <c r="L117" i="22"/>
  <c r="D61" i="5" s="1"/>
  <c r="D59" i="5" s="1"/>
  <c r="D58" i="5" s="1"/>
  <c r="D208" i="5" s="1"/>
  <c r="P162" i="29"/>
  <c r="P181" i="29" s="1"/>
  <c r="E61" i="5" s="1"/>
  <c r="E59" i="5" s="1"/>
  <c r="E58" i="5" s="1"/>
  <c r="I182" i="29"/>
  <c r="N99" i="22"/>
  <c r="N103" i="22" s="1"/>
  <c r="L103" i="22"/>
  <c r="L89" i="22" s="1"/>
  <c r="E208" i="5" l="1"/>
  <c r="D217" i="5"/>
  <c r="D219" i="5" s="1"/>
  <c r="B19" i="4"/>
  <c r="B28" i="4" s="1"/>
  <c r="B30" i="4" s="1"/>
  <c r="P185" i="29"/>
  <c r="P182" i="29"/>
  <c r="E217" i="5" l="1"/>
  <c r="E219" i="5" s="1"/>
  <c r="E235" i="5"/>
  <c r="C19" i="4"/>
  <c r="C28" i="4" s="1"/>
  <c r="C30" i="4" s="1"/>
  <c r="E234" i="5" l="1"/>
  <c r="E233" i="5" s="1"/>
  <c r="E19" i="4"/>
  <c r="E28" i="4" s="1"/>
  <c r="E30" i="4" s="1"/>
</calcChain>
</file>

<file path=xl/sharedStrings.xml><?xml version="1.0" encoding="utf-8"?>
<sst xmlns="http://schemas.openxmlformats.org/spreadsheetml/2006/main" count="1689" uniqueCount="457">
  <si>
    <t>Budget</t>
  </si>
  <si>
    <t>Realiteit</t>
  </si>
  <si>
    <t>boekjaar</t>
  </si>
  <si>
    <t>Codes</t>
  </si>
  <si>
    <t>+</t>
  </si>
  <si>
    <t>Aangekochte GSC</t>
  </si>
  <si>
    <t>Aangekochte WKC</t>
  </si>
  <si>
    <t>Verkochte GSC</t>
  </si>
  <si>
    <t>-</t>
  </si>
  <si>
    <t>Verkochte WKC</t>
  </si>
  <si>
    <t>DISTRIBUTIENETBEHEERDER :</t>
  </si>
  <si>
    <t>ONDERNEMINGSNUMMER:</t>
  </si>
  <si>
    <t>In het kader van volgende reguleringsperiode:</t>
  </si>
  <si>
    <t>van</t>
  </si>
  <si>
    <t>tot en met</t>
  </si>
  <si>
    <t>Distributienetbeheerder:</t>
  </si>
  <si>
    <t>Activiteit:</t>
  </si>
  <si>
    <t>jaar</t>
  </si>
  <si>
    <t>INVLOED OP HET RESULTAAT</t>
  </si>
  <si>
    <t>Saldo van het jaar</t>
  </si>
  <si>
    <t>TOTAAL</t>
  </si>
  <si>
    <r>
      <rPr>
        <b/>
        <sz val="10"/>
        <rFont val="Arial"/>
        <family val="2"/>
      </rPr>
      <t>Boeking</t>
    </r>
    <r>
      <rPr>
        <sz val="10"/>
        <rFont val="Arial"/>
        <family val="2"/>
      </rPr>
      <t xml:space="preserve"> van het saldo </t>
    </r>
    <r>
      <rPr>
        <sz val="10"/>
        <rFont val="Arial"/>
        <family val="2"/>
      </rPr>
      <t>in het resultaat van het exploitatiejaar</t>
    </r>
  </si>
  <si>
    <t>Totaal</t>
  </si>
  <si>
    <t>(1)</t>
  </si>
  <si>
    <t>(2)</t>
  </si>
  <si>
    <t xml:space="preserve">in het </t>
  </si>
  <si>
    <t xml:space="preserve">resultaat </t>
  </si>
  <si>
    <t xml:space="preserve">    Totale jaarlijkse impact</t>
  </si>
  <si>
    <t xml:space="preserve">    op de resultaten</t>
  </si>
  <si>
    <t>(+) Debet saldo</t>
  </si>
  <si>
    <t>Beslissing van de VREG</t>
  </si>
  <si>
    <t>Belastingen, heffingen, toeslagen, bijdragen en retributies</t>
  </si>
  <si>
    <t>(+) ==&gt; Teruggave overschot, verlaging van de tarieven;</t>
  </si>
  <si>
    <t xml:space="preserve">(-) ==&gt; Recuperatie tekort, verhoging van de tarieven </t>
  </si>
  <si>
    <t>Resterend saldo terug te nemen</t>
  </si>
  <si>
    <t>X</t>
  </si>
  <si>
    <t>Berekende of overgenomen waarde waarvoor dus geen manuele input vereist is</t>
  </si>
  <si>
    <t>Opmerking</t>
  </si>
  <si>
    <t xml:space="preserve">(-) ==&gt; Minder werkelijke exogene kosten dan werkelijke ontvangsten voor exogene kosten; </t>
  </si>
  <si>
    <t>(+) ==&gt; Meer werkelijke exogene kosten dan werkelijke ontvangsten voor exogene kosten.</t>
  </si>
  <si>
    <t>REGULATOIRE SALDI M.B.T. VOLUMEVERSCHILLEN</t>
  </si>
  <si>
    <t xml:space="preserve">(-) ==&gt; Minder werkelijke exogene kosten dan werkelijke ontvangsten voor exogene kosten (overschot); </t>
  </si>
  <si>
    <t xml:space="preserve">Lasten van niet-gekapitaliseerde pensioenen </t>
  </si>
  <si>
    <t>OPBRENGSTEN</t>
  </si>
  <si>
    <t>A. Omzet</t>
  </si>
  <si>
    <t>C. Geproduceerde vaste activa</t>
  </si>
  <si>
    <t>D. Andere bedrijfsopbrengsten</t>
  </si>
  <si>
    <t>KOSTEN</t>
  </si>
  <si>
    <t>A. Handelsgoederen, grond- en hulpstoffen</t>
  </si>
  <si>
    <t>B. Diensten en diverse goederen</t>
  </si>
  <si>
    <t>C. Bezoldigingen, sociale lasten en pensioenen</t>
  </si>
  <si>
    <t>631/4</t>
  </si>
  <si>
    <t>G. Andere bedrijfskosten</t>
  </si>
  <si>
    <t>640/8</t>
  </si>
  <si>
    <t>670/3</t>
  </si>
  <si>
    <t>Netbeheer elektriciteit</t>
  </si>
  <si>
    <t>Netbeheer gas</t>
  </si>
  <si>
    <t>Niet-gereguleerde activiteiten</t>
  </si>
  <si>
    <t>Totaal opbrengsten</t>
  </si>
  <si>
    <t>Totaal kosten</t>
  </si>
  <si>
    <t>Resultaat</t>
  </si>
  <si>
    <t>In te vullen door de distributienetbeheerder</t>
  </si>
  <si>
    <t>In te vullen door de VREG</t>
  </si>
  <si>
    <t>TABEL 7</t>
  </si>
  <si>
    <t>TABEL 8</t>
  </si>
  <si>
    <t>Tariefcomponent</t>
  </si>
  <si>
    <t>Het tarief voor het systeembeheer</t>
  </si>
  <si>
    <t>Het tarief voor openbare dienstverplichtingen</t>
  </si>
  <si>
    <t>De tariefposten in verband met de belastingen, heffingen, toeslagen, bijdragen en retributies</t>
  </si>
  <si>
    <t>Exogene kosten i.h.k.v. het basistarief voor het gebruik van het net</t>
  </si>
  <si>
    <t>Exogene kosten i.h.k.v. het tarief voor het systeembeheer</t>
  </si>
  <si>
    <t>Exogene kosten i.h.k.v. het tarief voor openbare dienstverplichtingen</t>
  </si>
  <si>
    <t>Exogene kosten i.h.k.v. het tarief voor de regeling van de spanning en het reactief vermogen</t>
  </si>
  <si>
    <t>Exogene kosten i.h.k.v. het tarief voor de compensatie van de netverliezen</t>
  </si>
  <si>
    <t>Exogene kosten i.h.k.v. het tarief voor belastingen, heffingen, toeslagen, bijdragen en retributies</t>
  </si>
  <si>
    <t>(+) ==&gt; Tekort, meer kosten dan gebudgetteerd</t>
  </si>
  <si>
    <t>(-) ==&gt; Overschot, minder kosten dan gebudgetteerd</t>
  </si>
  <si>
    <t>1.</t>
  </si>
  <si>
    <t>Tarief gebruik van het net</t>
  </si>
  <si>
    <t>1.1</t>
  </si>
  <si>
    <t>1.2.</t>
  </si>
  <si>
    <t>1.3.</t>
  </si>
  <si>
    <t>2.</t>
  </si>
  <si>
    <t>Tarief openbare dienstverplichtingen</t>
  </si>
  <si>
    <t>3.</t>
  </si>
  <si>
    <t>Tarief ondersteunende diensten</t>
  </si>
  <si>
    <t>3.1.</t>
  </si>
  <si>
    <t>Tarief netverliezen</t>
  </si>
  <si>
    <t>3.2.</t>
  </si>
  <si>
    <t>Tarief reactieve energie</t>
  </si>
  <si>
    <t>4.</t>
  </si>
  <si>
    <t>Toeslagen</t>
  </si>
  <si>
    <t>5.</t>
  </si>
  <si>
    <t>Overdrachten en/of terugnames</t>
  </si>
  <si>
    <t>Gereguleerde activiteiten</t>
  </si>
  <si>
    <r>
      <t xml:space="preserve">Gelieve </t>
    </r>
    <r>
      <rPr>
        <b/>
        <i/>
        <sz val="10"/>
        <rFont val="Arial"/>
        <family val="2"/>
      </rPr>
      <t>positieve</t>
    </r>
    <r>
      <rPr>
        <i/>
        <sz val="10"/>
        <rFont val="Arial"/>
        <family val="2"/>
      </rPr>
      <t xml:space="preserve"> waarden in te geven (voor kosten indien debetsaldo en voor opbrengsten indien creditsaldo).</t>
    </r>
  </si>
  <si>
    <r>
      <t xml:space="preserve">Gelieve </t>
    </r>
    <r>
      <rPr>
        <b/>
        <i/>
        <sz val="10"/>
        <rFont val="Arial"/>
        <family val="2"/>
      </rPr>
      <t>positieve</t>
    </r>
    <r>
      <rPr>
        <i/>
        <sz val="10"/>
        <rFont val="Arial"/>
        <family val="2"/>
      </rPr>
      <t xml:space="preserve"> waarden in te geven (voor activa (indien debetsaldo), passiva (indien creditsaldo), kosten (indien debetsaldo) en opbrengsten (indien creditsaldo)), tenzij anders aangegeven in kolom B.</t>
    </r>
  </si>
  <si>
    <t>Aanvullend capaciteitstarief voor prosumenten met terugdraaiende teller</t>
  </si>
  <si>
    <t>Gedeelte m.b.t. distributie</t>
  </si>
  <si>
    <t>Gedeelte m.b.t. transmissie</t>
  </si>
  <si>
    <t>Rapportering over boekjaren</t>
  </si>
  <si>
    <t>Evolutie saldo exogene kosten m.b.t. distributie op overlopende rekeningen</t>
  </si>
  <si>
    <t>TABEL 4B</t>
  </si>
  <si>
    <t>OMSCHRIJVING RUBRIEKEN</t>
  </si>
  <si>
    <t>FORMULE</t>
  </si>
  <si>
    <t>Rapportering over boekjaar:</t>
  </si>
  <si>
    <t>Recuperatie van kosten van de openbaredienstverplichtingen m.b.t. het stimuleren van rationeel energiegebruik (REG):</t>
  </si>
  <si>
    <t>M.b.t. het basistarief voor het gebruik van het net</t>
  </si>
  <si>
    <t>M.b.t. het tarief voor het systeembeheer</t>
  </si>
  <si>
    <t>M.b.t. het tarief voor openbare dienstverplichtingen</t>
  </si>
  <si>
    <t>M.b.t. het tarief voor de regeling van de spanning en het reactief vermogen</t>
  </si>
  <si>
    <t>M.b.t. het tarief voor de compensatie van de netverliezen</t>
  </si>
  <si>
    <t>M.b.t. het tarief voor belastingen, heffingen, toeslagen, bijdragen en retributies</t>
  </si>
  <si>
    <r>
      <rPr>
        <b/>
        <sz val="10"/>
        <rFont val="Arial"/>
        <family val="2"/>
      </rPr>
      <t>Terugname</t>
    </r>
    <r>
      <rPr>
        <sz val="10"/>
        <rFont val="Arial"/>
        <family val="2"/>
      </rPr>
      <t xml:space="preserve"> van het saldo in het resultaat van het exploitatiejaar (zoals vastgelegd in de tariefmethodologie)</t>
    </r>
  </si>
  <si>
    <t>Tarief voor het niet respecteren van een aanvaard programma</t>
  </si>
  <si>
    <t>3.3.</t>
  </si>
  <si>
    <t>Relatief aandeel endogene kosten (%)</t>
  </si>
  <si>
    <t>TABEL 5B</t>
  </si>
  <si>
    <t>Het tarief voor de compensatie van de netverliezen</t>
  </si>
  <si>
    <t>Het tarief voor de regeling van de spanning en van het reactief vermogen</t>
  </si>
  <si>
    <t>Controle met TABEL 4A:</t>
  </si>
  <si>
    <r>
      <t xml:space="preserve">Afbouw regulatoir saldo inzake exogene kosten </t>
    </r>
    <r>
      <rPr>
        <sz val="10"/>
        <rFont val="Arial"/>
        <family val="2"/>
      </rPr>
      <t>m.b.t. distributie, zoals vastgelegd in de tariefmethodologie (positieve waarde voor recuperatie tekort, en omgekeerd)</t>
    </r>
  </si>
  <si>
    <t>Afbouw regulatoir saldo inzake exogene kosten m.b.t. transmissie, zoals vastgelegd in de tariefmethodologie (positieve waarde voor recuperatie tekort, en omgekeerd)</t>
  </si>
  <si>
    <t>Controle met TABEL 5A:</t>
  </si>
  <si>
    <t>Opmerking:</t>
  </si>
  <si>
    <t>Afbouw regulatoir saldo inzake herindexering van het budget voor endogene kosten, zoals vastgelegd in de tariefmethodologie (positieve waarde voor recuperatie tekort, en omgekeerd)</t>
  </si>
  <si>
    <t>(-) ==&gt; Meer werkelijke ontvangsten dan budget endogene kosten (overschot)</t>
  </si>
  <si>
    <t>TABEL 6A: Opvolging regulatoir saldo inzake herindexering van het budget voor endogene kosten</t>
  </si>
  <si>
    <t>x-waarde voor de betreffende reguleringsperiode</t>
  </si>
  <si>
    <t>(-) ==&gt; Lagere inflatie dan verwacht (overschot)</t>
  </si>
  <si>
    <t>Evolutie saldo m.b.t. herindexering budget endogene kosten op overlopende rekeningen</t>
  </si>
  <si>
    <t>Boeking regulatoir saldo inzake herindexering budget endogene kosten per tariefcomponent</t>
  </si>
  <si>
    <t>Afgebouwd regulatoir saldo inzake herindexering endogene kosten per tariefcomponent</t>
  </si>
  <si>
    <t>Nog af te bouwen regulatoir saldo inzake herindexering budget endogene kosten per tariefcomponent</t>
  </si>
  <si>
    <t>Controle met TABEL 6A:</t>
  </si>
  <si>
    <t>TABEL 6B</t>
  </si>
  <si>
    <t>REGULATOIRE SALDI M.B.T. HERINDEXERING BUDGET ENDOGENE KOSTEN</t>
  </si>
  <si>
    <t>TABEL 7: Opvolging regulatoir saldo inzake vennootschapsbelasting</t>
  </si>
  <si>
    <t>Afbouw regulatoir saldo inzake vennootschapsbelasting, zoals vastgelegd in de tariefmethodologie (positieve waarde voor recuperatie tekort, en omgekeerd)</t>
  </si>
  <si>
    <t>Omschrijving</t>
  </si>
  <si>
    <t>ONDERBOUWING BUDGET</t>
  </si>
  <si>
    <t>TOTAAL EXOGENE KOSTEN M.B.T. DISTRIBUTIE</t>
  </si>
  <si>
    <t>TOTAAL EXOGENE KOSTEN M.B.T. TRANSMISSIE</t>
  </si>
  <si>
    <t>TOTAAL EXOGENE KOSTEN</t>
  </si>
  <si>
    <t>Evolutie saldo exogene kosten m.b.t. transmissie op overlopende rekeningen</t>
  </si>
  <si>
    <t>Overzicht gerapporteerde waarden per tariefcomponent:</t>
  </si>
  <si>
    <t>TABEL 6B: Overzicht regulatoir saldo inzake herindexering van het budget voor endogene kosten per tariefcomponent</t>
  </si>
  <si>
    <r>
      <t xml:space="preserve">Kapitaalkostvergoeding voor het regulatoir saldo inzake exogene kosten </t>
    </r>
    <r>
      <rPr>
        <sz val="10"/>
        <rFont val="Arial"/>
        <family val="2"/>
      </rPr>
      <t>m.b.t. distributie</t>
    </r>
  </si>
  <si>
    <t>Kapitaalkostvergoeding voor het regulatoir saldo inzake exogene kosten m.b.t. transmissie</t>
  </si>
  <si>
    <t>TABEL 4C</t>
  </si>
  <si>
    <r>
      <t xml:space="preserve">Kost m.b.t. de door Elia aan de distributienetbeheerder aangerekende vergoeding voor het gebruik van het transmissienet (elektriciteit) - </t>
    </r>
    <r>
      <rPr>
        <b/>
        <sz val="10"/>
        <rFont val="Arial"/>
        <family val="2"/>
      </rPr>
      <t xml:space="preserve">exclusief </t>
    </r>
    <r>
      <rPr>
        <sz val="10"/>
        <rFont val="Arial"/>
        <family val="2"/>
      </rPr>
      <t>federale bijdrage elektriciteit</t>
    </r>
  </si>
  <si>
    <r>
      <t xml:space="preserve">Kost m.b.t. de door een andere distributienetbeheerder (via doorvoer) aangerekende vergoeding voor het gebruik van het transmissienet (elektriciteit) - </t>
    </r>
    <r>
      <rPr>
        <b/>
        <sz val="10"/>
        <rFont val="Arial"/>
        <family val="2"/>
      </rPr>
      <t xml:space="preserve">exclusief </t>
    </r>
    <r>
      <rPr>
        <sz val="10"/>
        <rFont val="Arial"/>
        <family val="2"/>
      </rPr>
      <t>federale bijdrage elektriciteit</t>
    </r>
  </si>
  <si>
    <r>
      <t xml:space="preserve">Opbrengst uit de aan een andere distributienetbeheer (via doorvoer) aangerekende vergoeding voor het gebruik van het transmissienet (elektriciteit) - </t>
    </r>
    <r>
      <rPr>
        <b/>
        <sz val="10"/>
        <rFont val="Arial"/>
        <family val="2"/>
      </rPr>
      <t>exclusief</t>
    </r>
    <r>
      <rPr>
        <sz val="10"/>
        <rFont val="Arial"/>
        <family val="2"/>
      </rPr>
      <t xml:space="preserve"> federale bijdrage elektriciteit</t>
    </r>
  </si>
  <si>
    <t>TABEL 5C</t>
  </si>
  <si>
    <t>Budget endogene kosten, volgens tariefvoorstel</t>
  </si>
  <si>
    <r>
      <t>Werkelijke inflatie jaar op jaar voor de maand juli van dat jaar (CPI</t>
    </r>
    <r>
      <rPr>
        <b/>
        <vertAlign val="subscript"/>
        <sz val="10"/>
        <rFont val="Arial"/>
        <family val="2"/>
      </rPr>
      <t>j</t>
    </r>
    <r>
      <rPr>
        <b/>
        <sz val="10"/>
        <rFont val="Arial"/>
        <family val="2"/>
      </rPr>
      <t>)</t>
    </r>
  </si>
  <si>
    <r>
      <t>Inflatie jaar op jaar voor de maand juli die in het jaar voordien werd verwacht, gehanteerd door de VREG bij vaststelling toegelaten inkomen voor het betreffende boekjaar (CPI</t>
    </r>
    <r>
      <rPr>
        <b/>
        <vertAlign val="subscript"/>
        <sz val="10"/>
        <rFont val="Arial"/>
        <family val="2"/>
      </rPr>
      <t>j,v</t>
    </r>
    <r>
      <rPr>
        <b/>
        <sz val="10"/>
        <rFont val="Arial"/>
        <family val="2"/>
      </rPr>
      <t>)</t>
    </r>
  </si>
  <si>
    <t>REGULATOIR SALDO VOLUMEVERSCHILLEN</t>
  </si>
  <si>
    <t>Totaal nog af te bouwen regulatoir saldo</t>
  </si>
  <si>
    <t>Totaal afgebouwd regulatoir saldo</t>
  </si>
  <si>
    <t>(+) ==&gt; Hogere inflatie dan verwacht (tekort);</t>
  </si>
  <si>
    <t>(+) ==&gt; Tekort, meer kosten dan gebudgetteerd;</t>
  </si>
  <si>
    <t>(-) ==&gt; Recuperatie tekort, verhoging van de tarieven ;</t>
  </si>
  <si>
    <t>(+) ==&gt; Teruggave overschot, verlaging van de tarieven</t>
  </si>
  <si>
    <t>(-) Credit saldo;</t>
  </si>
  <si>
    <t>(+) ==&gt; Minder werkelijke ontvangsten dan budget endogene kosten (tekort);</t>
  </si>
  <si>
    <t>(+) ==&gt; Meer werkelijke exogene kosten dan werkelijke ontvangsten voor exogene kosten (tekort)</t>
  </si>
  <si>
    <t>Evolutie saldo m.b.t. venootschapsbelasting op overlopende rekeningen</t>
  </si>
  <si>
    <t>Het eventueel voorschot zoals toegekend door de VREG en opgenomen in het tariefvoorstel</t>
  </si>
  <si>
    <t>Werkelijke ontvangsten m.b.t. endogene kosten</t>
  </si>
  <si>
    <t>De eventuele, geheel of gedeeltelijke, terugname van een eerder toegekend voorschot door de VREG en opgenomen in het tariefvoorstel</t>
  </si>
  <si>
    <t>6.</t>
  </si>
  <si>
    <t>Bepaling van het af te bouwen regulatoir saldo over boekjaar:</t>
  </si>
  <si>
    <t>Regulatoir saldo ontstaan in boekjaar</t>
  </si>
  <si>
    <t>Afbouw regulatoir saldo op te nemen in het toegelaten inkomen van boekjaar:</t>
  </si>
  <si>
    <t>OVERLOPENDE REKENINGEN</t>
  </si>
  <si>
    <t>BEPALING VAN HET AF TE BOUWEN REGULATOIR SALDO</t>
  </si>
  <si>
    <t>GEREGULEERDE ACTIVITEIT :</t>
  </si>
  <si>
    <t>Bedrijfsopbrengsten</t>
  </si>
  <si>
    <t>Financiële opbrengsten</t>
  </si>
  <si>
    <t>B. Wijziging in de voorraad goederen in bewerking, gereed product en bestellingen in uitvoering (toename +, afname -)</t>
  </si>
  <si>
    <t>Regularisering van belastingen en terugneming van voorzieningen</t>
  </si>
  <si>
    <t>Onttrekkingen aan de belastingvrije reserves en uitgestelde belastingen</t>
  </si>
  <si>
    <t>Verlies van het boekjaar</t>
  </si>
  <si>
    <t>Bedrijfskosten</t>
  </si>
  <si>
    <t>D. Afschrijvingen en waardeverminderingen op vaste activa</t>
  </si>
  <si>
    <t>E. Waardeverminderingen op voorraden, bestellingen in uitvoering en handelsvorderingen (toevoegingen +, terugnemingen -)</t>
  </si>
  <si>
    <t>F. Voorzieningen voor risico's en kosten (toevoegingen +, terugnemingen -)</t>
  </si>
  <si>
    <t>Financiële kosten</t>
  </si>
  <si>
    <t>Overboeking naar de uitgestelde belastingen en naar de belastingvrije reserves</t>
  </si>
  <si>
    <t>Belastingen op het resultaat</t>
  </si>
  <si>
    <t>Winst van het boekjaar</t>
  </si>
  <si>
    <t>Gereguleerde activiteit:</t>
  </si>
  <si>
    <t>Exogene kosten i.h.k.v. het tarief voor het databeheer</t>
  </si>
  <si>
    <t>Exogene kosten i.h.k.v. transmissienetkosten</t>
  </si>
  <si>
    <t>Endogene opbrengsten</t>
  </si>
  <si>
    <t>Exogene opbrengsten</t>
  </si>
  <si>
    <t>Overige opbrengsten</t>
  </si>
  <si>
    <t>Endogene kosten</t>
  </si>
  <si>
    <t>Exogene kosten</t>
  </si>
  <si>
    <t>Overige kosten</t>
  </si>
  <si>
    <t>TABEL 3: Detail inzake samenstelling exogene kosten</t>
  </si>
  <si>
    <t>Onderbouwing van het gebudgetteerde bedrag in afzonderlijk verklarende nota vereist:</t>
  </si>
  <si>
    <t>In kolom H wordt met 'X' aangegeven voor welke rubrieken de distributienetbeheerder een gedetailleerde onderbouwing van het ex-ante budget dient op te geven in een afzonderlijk verklarende nota.</t>
  </si>
  <si>
    <t>M.b.t. het tarief voor het databeheer</t>
  </si>
  <si>
    <t>Het tarief voor het databeheer</t>
  </si>
  <si>
    <t>Afbouw regulatoir saldo inzake herwaarderingsmeerwaarden</t>
  </si>
  <si>
    <t>Kosten m.b.t. REG-premies</t>
  </si>
  <si>
    <t xml:space="preserve">Kosten m.b.t. de actieverplichting energiescans </t>
  </si>
  <si>
    <t>Kosten m.b.t. de actieverplichting sociale energie efficiëntieprojecten</t>
  </si>
  <si>
    <t>Solidarisering GSC</t>
  </si>
  <si>
    <t>Solidarisering WKC</t>
  </si>
  <si>
    <t>Tarief beheer elektrisch systeem</t>
  </si>
  <si>
    <t>Tarief vermogensreserve en blackstart</t>
  </si>
  <si>
    <t>Tarief marktintegratie</t>
  </si>
  <si>
    <t>ODV - financiering van de aansluiting offshore windturbineparken</t>
  </si>
  <si>
    <t>ODV - financiering groenestroomcertificaten</t>
  </si>
  <si>
    <t>ODV - financiering strategische reserve</t>
  </si>
  <si>
    <t>ODV - financiering steunmaatregelen hernieuwbare energie en WKK</t>
  </si>
  <si>
    <t>ODV - financiering maatregelen ter bevordering REG</t>
  </si>
  <si>
    <t>Toeslag voor de taksen op masten en sleuven</t>
  </si>
  <si>
    <t>Verkopen t.a.v. de Vlaamse Overheid</t>
  </si>
  <si>
    <t>Overige verkopen</t>
  </si>
  <si>
    <t>Recuperatie van kosten m.b.t. REG-premies</t>
  </si>
  <si>
    <t xml:space="preserve">Recuperatie van kosten m.b.t. de actieverplichting energiescans </t>
  </si>
  <si>
    <t>Recuperatie van kosten m.b.t. de actieverplichting sociale energie efficiëntieprojecten</t>
  </si>
  <si>
    <t>Opbrengsten uit niet-recurrente recuperatie van exogene kosten uit bijvoorbeeld fraudezaken</t>
  </si>
  <si>
    <t>m.b.t. onterecht uitgekeerde REG-premies</t>
  </si>
  <si>
    <t>m.b.t. onterecht aangekochte GSC en WKC aan minimumwaarde</t>
  </si>
  <si>
    <t>Waardeverminderingen op vorderingen t.g.v. fraudedossiers</t>
  </si>
  <si>
    <t>Kosten t.g.v. terugvorderingen door de Vlaamse Overheid van onterechte financiering van openbaredienstverplichtingen</t>
  </si>
  <si>
    <t>Totale werkelijke ontvangsten uit periodieke distributienettarieven voor exogene kosten</t>
  </si>
  <si>
    <t>Kosten van de openbaredienstverplichtingen m.b.t. het stimuleren van rationeel energiegebruik (REG) volgens Energiebesluit:</t>
  </si>
  <si>
    <t>Kapitaalkostvergoeding voor het regulatoir saldo inzake herindexering van het budget voor endogene kosten</t>
  </si>
  <si>
    <t>Kapitaalkostvergoeding voor het regulatoir saldo inzake vennootschapsbelasting</t>
  </si>
  <si>
    <t>Kapitaalkostvergoeding voor het regulatoir saldo inzake herwaarderingsmeerwaarden</t>
  </si>
  <si>
    <t>TABEL 4A: Opvolging regulatoir saldo inzake exogene kosten m.b.t. distributie</t>
  </si>
  <si>
    <t>REGULATOIRE SALDI INZAKE EXOGENE KOSTEN M.B.T. DISTRIBUTIE</t>
  </si>
  <si>
    <t>TABEL 4B: Overzicht regulatoir saldo inzake exogene kosten m.b.t. distributie per tariefcomponent</t>
  </si>
  <si>
    <t>Boeking regulatoir saldo inzake exogene kosten m.b.t. distributie per tariefcomponent</t>
  </si>
  <si>
    <t xml:space="preserve">Het basistarief voor het gebruik van het net </t>
  </si>
  <si>
    <t>Bepaling van het af te bouwen regulatoir saldo over de boekjaar:</t>
  </si>
  <si>
    <t>Afgebouwd regulatoir saldo inzake exogene kosten m.b.t. distributie per tariefcomponent</t>
  </si>
  <si>
    <t>Nog af te bouwen regulatoir saldo inzake exogene kosten m.b.t. distributie per tariefcomponent</t>
  </si>
  <si>
    <t>TABEL 4C: Opvolging regulatoir saldo inzake exogene kosten m.b.t. transmissie (exclusief federale bijdrage elektriciteit)</t>
  </si>
  <si>
    <t>REGULATOIRE SALDI INZAKE EXOGENE KOSTEN M.B.T. TRANSMISSIE</t>
  </si>
  <si>
    <t>TABEL 5A: Opvolging regulatoir saldo inzake volumerisico endogeen budget</t>
  </si>
  <si>
    <t>Boeking regulatoir saldo inzake volumeverschillen m.b.t. endogene kosten per tariefcomponent</t>
  </si>
  <si>
    <t>Afgebouwd regulatoir saldo inzake volumeverschillen m.b.t. endogene kosten per tariefcomponent</t>
  </si>
  <si>
    <t>Nog af te bouwen regulatoir saldo inzake volumeverschillen m.b.t. endogene kosten per tariefcomponent</t>
  </si>
  <si>
    <t>Het basistarief voor het gebruik van het net</t>
  </si>
  <si>
    <t>TABEL 5B: Overzicht regulatoir saldo inzake volumerisico endogeen budget per tariefcomponent</t>
  </si>
  <si>
    <t>Trans HS</t>
  </si>
  <si>
    <t>&gt;26-36 kV</t>
  </si>
  <si>
    <t>26-1 kV</t>
  </si>
  <si>
    <t>Trans LS</t>
  </si>
  <si>
    <t>LS</t>
  </si>
  <si>
    <t>Basistarief voor het gebruik van het net</t>
  </si>
  <si>
    <t>Tarief systeembeheer</t>
  </si>
  <si>
    <t>Tarief databeheer</t>
  </si>
  <si>
    <t>Tarief ter dekking van de kosten m.b.t. gebruik van het transmissienet (exclusief federale bijdrage elektriciteit)</t>
  </si>
  <si>
    <t>Indien in een boekjaar periodieke elektriciteitsdistributienettarieven (afname)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elektriciteitsdistributienettarieven (afname)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</si>
  <si>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Indien in een boekjaar periodieke elektriciteitsdistributienettarieven (injectie)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elektriciteitsdistributienettarieven (injectie)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</si>
  <si>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Indien in een boekjaar periodieke aardgasdistributienettarieven (afname)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aardgasdistributienettarieven (afname)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</si>
  <si>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1. Tarief gebruik van het net</t>
  </si>
  <si>
    <t>1.2. Tarief systeembeheer</t>
  </si>
  <si>
    <t>1.3. Tarief databeheer</t>
  </si>
  <si>
    <t>3. Toeslagen</t>
  </si>
  <si>
    <t>T1</t>
  </si>
  <si>
    <t>T2</t>
  </si>
  <si>
    <t>T3</t>
  </si>
  <si>
    <t>T4</t>
  </si>
  <si>
    <t>T5</t>
  </si>
  <si>
    <t>T6</t>
  </si>
  <si>
    <t>Doorvoer</t>
  </si>
  <si>
    <t>Indien in een boekjaar periodieke aardgasdistributienettarieven (injectie)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aardgasdistributienettarieven (injectie)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</si>
  <si>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1.1. Tarief systeembeheer</t>
  </si>
  <si>
    <t>1.2. Tarief databeheer</t>
  </si>
  <si>
    <t>TOTAAL (GAS-AFNAME)</t>
  </si>
  <si>
    <t>TOTAAL (GAS-INJECTIE)</t>
  </si>
  <si>
    <t>1.1. Basistarief voor gebruik van het net</t>
  </si>
  <si>
    <t xml:space="preserve">De ex-ante correctie voor vennootschapsbelasting, zoals vastgesteld door de VREG m.b.t. het toegelaten inkomen voor endogene kosten </t>
  </si>
  <si>
    <t>De ex-ante aanvullende endogene term voor de kosten m.b.t. herwaarderingsmeerwaarden (zowel afschrijvingen als kapitaalkostvergoeding), zoals vastgesteld door de VREG m.b.t. het toegelaten inkomen voor endogene kosten</t>
  </si>
  <si>
    <t>De door de VREG gegeven financiële incentives op het toegelaten inkomen voor endogene kosten</t>
  </si>
  <si>
    <t>2. Tarief openbare dienstverplichtingen</t>
  </si>
  <si>
    <t>x''-waarde voor de betreffende reguleringsperiode</t>
  </si>
  <si>
    <t>TABEL 8: Opvolging regulatoir saldo inzake herwaarderingsmeerwaarden</t>
  </si>
  <si>
    <t>REGULATOIRE SALDI M.B.T. HERWAARDERINGSMEERWAARDEN</t>
  </si>
  <si>
    <r>
      <rPr>
        <b/>
        <sz val="10"/>
        <color theme="1"/>
        <rFont val="Arial"/>
        <family val="2"/>
      </rPr>
      <t>Boeking</t>
    </r>
    <r>
      <rPr>
        <sz val="10"/>
        <color theme="1"/>
        <rFont val="Arial"/>
        <family val="2"/>
      </rPr>
      <t xml:space="preserve"> van het saldo in het resultaat van het exploitatiejaar</t>
    </r>
  </si>
  <si>
    <r>
      <t xml:space="preserve">Terugname </t>
    </r>
    <r>
      <rPr>
        <sz val="10"/>
        <color theme="1"/>
        <rFont val="Arial"/>
        <family val="2"/>
      </rPr>
      <t>van het saldo in het resultaat van het exploitatiejaar (zoals vastgelegd in de tariefmethodologie)</t>
    </r>
  </si>
  <si>
    <t>Retributies</t>
  </si>
  <si>
    <t>Heffing volgens het Decreet houdende het Grootschalig Referentiebestand</t>
  </si>
  <si>
    <t>TABEL 5C, 5D, 5E en 5F</t>
  </si>
  <si>
    <t>Fiscaal niet-aftrekbare afschrijvingen op herwaarderingsmeerwaarden (+)</t>
  </si>
  <si>
    <t>Notionele intrestaftrek (-)</t>
  </si>
  <si>
    <t>Regulatoir saldo m.b.t. vennootschapsbelasting</t>
  </si>
  <si>
    <t>Bijkomende opmerking:</t>
  </si>
  <si>
    <t>Statutaire aanslagvoet</t>
  </si>
  <si>
    <t>Fiscaal niet-aftrekbare afschrijvingen op herwaarderingsmeerwaarden</t>
  </si>
  <si>
    <t>Gelieve positieve waarden in te geven voor activa (indien debetsaldo) en passiva (indien creditsaldo), en omgekeerd.</t>
  </si>
  <si>
    <t>Notionele intrestaftrek</t>
  </si>
  <si>
    <t>In rekening te brengen notionele intrestaftrek</t>
  </si>
  <si>
    <t xml:space="preserve">Gereguleerde activiteit: </t>
  </si>
  <si>
    <t>Regulatoir saldo m.b.t. herwaarderingsmeerwaarden</t>
  </si>
  <si>
    <t>Afschrijvingen van de herwaarderingsmeerwaarden o.b.v. de historische indexatie</t>
  </si>
  <si>
    <t>Afschrijvingen van de herwaarderingsmeerwaarden o.b.v. de iRAB</t>
  </si>
  <si>
    <t>Gecorrigeerd bedrag aan risicokapitaal (cfr bepalingen in WIB 1992)</t>
  </si>
  <si>
    <t>Basistarief voor de notionele intrestaftrek (cfr bepalingen in WIB 1992)</t>
  </si>
  <si>
    <t>Evolutie van de meerwaarden op basis van de historische indexatie (materiële vaste acitva):</t>
  </si>
  <si>
    <t>De tekens die in de kolomhoofden van de tabellen opgenomen zijn, dienen te worden geïnterpreteerd als:</t>
  </si>
  <si>
    <t>+: gelieve positieve waarde in te geven</t>
  </si>
  <si>
    <t>-: gelieve negatieve waarde in te geven</t>
  </si>
  <si>
    <t>Activaposten (boekhoudkundige rubrieken 22, 23, 24, 25, 26 en 27)</t>
  </si>
  <si>
    <t>Terreinen</t>
  </si>
  <si>
    <t>Industriële gebouwen</t>
  </si>
  <si>
    <t>Administratieve gebouwen</t>
  </si>
  <si>
    <t>Kabels - Transformatie MS</t>
  </si>
  <si>
    <t>Kabels - Transformatie LS</t>
  </si>
  <si>
    <t>Lijnen - Transformatie MS</t>
  </si>
  <si>
    <t>Lijnen - Transformatie LS</t>
  </si>
  <si>
    <t>Posten &amp; cabines - Transformatie MS</t>
  </si>
  <si>
    <t>Posten &amp; cabines - Transformatie LS</t>
  </si>
  <si>
    <t>Hergebruikte uitrusting cabines</t>
  </si>
  <si>
    <t>Aansluitingen - Transformatie MS</t>
  </si>
  <si>
    <t>Aansluitingen - Transformatie LS</t>
  </si>
  <si>
    <t>Meetapparatuur - Transformatie MS</t>
  </si>
  <si>
    <t>Meetapparatuur - Transformatie LS</t>
  </si>
  <si>
    <t>Teletransmissie en optische vezels</t>
  </si>
  <si>
    <t>Gereedschap en meubilair</t>
  </si>
  <si>
    <t>Rollend materieel</t>
  </si>
  <si>
    <t>CAB, telebediening, uitrusting dispatching</t>
  </si>
  <si>
    <t>Labo uitrusting</t>
  </si>
  <si>
    <t>Administratieve uitrusting (informatica en kantoor)</t>
  </si>
  <si>
    <t>Telegelezen meters</t>
  </si>
  <si>
    <t>Budgetmeters</t>
  </si>
  <si>
    <t>WKK installaties</t>
  </si>
  <si>
    <t>Unieke Operator</t>
  </si>
  <si>
    <t>Project slimme netten</t>
  </si>
  <si>
    <t>Project clearing house</t>
  </si>
  <si>
    <t>Project slimme meters</t>
  </si>
  <si>
    <t>Oplaadpunten voor elektrische voertuigen</t>
  </si>
  <si>
    <t>Activa in aanbouw</t>
  </si>
  <si>
    <t xml:space="preserve">TOTAAL  </t>
  </si>
  <si>
    <t>Afschrijvingspercentage</t>
  </si>
  <si>
    <t>Digitale meters</t>
  </si>
  <si>
    <t>Evolutie van de meerwaarden op basis van de iRAB (materiële vaste acitva):</t>
  </si>
  <si>
    <t>BUDGET</t>
  </si>
  <si>
    <t>REALITEIT</t>
  </si>
  <si>
    <t>Leidingen - MD</t>
  </si>
  <si>
    <t>Leidingen - LD</t>
  </si>
  <si>
    <t>Cabines/Stations - MD</t>
  </si>
  <si>
    <t>Cabines/Stations - LD</t>
  </si>
  <si>
    <t>Aansluitingen - MD</t>
  </si>
  <si>
    <t>Aansluitingen - LD</t>
  </si>
  <si>
    <t>Meetapparatuur - MD</t>
  </si>
  <si>
    <t>Meetapparatuur - LD</t>
  </si>
  <si>
    <t>Labo-uitrusting</t>
  </si>
  <si>
    <t>m.b.t. historische indexatie</t>
  </si>
  <si>
    <t>m.b.t. iRAB</t>
  </si>
  <si>
    <t>Afschrijvingen</t>
  </si>
  <si>
    <t>Kapitaalkostvergoeding herwaarderingsmeerwaarden</t>
  </si>
  <si>
    <t>REGULATOIRE SALDI M.B.T. VENNOOTSCHAPSBELASTING</t>
  </si>
  <si>
    <t xml:space="preserve">Realiteit </t>
  </si>
  <si>
    <t xml:space="preserve">RICHTLIJNEN BIJ HET INVULLEN EN DE INTERPRETATIE VAN HET RAPPORTERINGSMODEL </t>
  </si>
  <si>
    <t>RAPPORTERINGSMODEL EXOGENE KOSTEN EN AANVULLENDE ENDOGENE TERMEN 2021</t>
  </si>
  <si>
    <t>TABEL 2: Algemeen overzicht exogene kosten</t>
  </si>
  <si>
    <t>EXOGEEN</t>
  </si>
  <si>
    <t>AANVULLENDE ENDOGENE TERMEN</t>
  </si>
  <si>
    <t>Gelieve in een afzonderlijk verklarende nota aan te tonen dat bij de berekening van het gecorrigeerd bedrag aan risicokapitaal de bepalingen in het WIB 1992 werden gevolgd. Hierbij dient de distributienetbeheerder rekening te houden met het eigen vermogen en de correctieposten zoals deze blijken uit de fiscale berekening voor het opstellen van de jaarrekening, waarna het hieruit resulterende gecorrigeerde bedrag aan risicokapitaal vervolgens a.d.h.v. een verdeelsleutel aan de verschillende activiteiten van de distributienetbeheerder wordt toegewezen.</t>
  </si>
  <si>
    <t>Afbouw regulatoir saldo inzake volumerisico endogeen budget, zoals vastgelegd in de tariefmethodologie (positieve waarde voor recuperatie tekort, en omgekeerd)</t>
  </si>
  <si>
    <t>Kapitaalkostvergoeding voor het regulatoir saldo inzake volumerisico endogeen budget</t>
  </si>
  <si>
    <t>Tarief aanvullende afname of injectie reactieve energie</t>
  </si>
  <si>
    <t>TOTAAL (ELEKTRICITEIT - AFNAME)</t>
  </si>
  <si>
    <t>TOTAAL (ELEKTRICITEIT - INJECTIE)</t>
  </si>
  <si>
    <t>Evolutie saldo m.b.t. herwaarderingsmeerwaarden op overlopende rekeningen</t>
  </si>
  <si>
    <t>Evolutie saldo m.b.t. volumerisico op overlopende rekeningen</t>
  </si>
  <si>
    <t>Endogene kosten m.b.t. de correctie voor de vennootschapsbelasting</t>
  </si>
  <si>
    <t>Endogene kosten m.b.t. de correctie voor de herwaarderingsmeerwaarden</t>
  </si>
  <si>
    <r>
      <t xml:space="preserve">Dit rapporteringsmodel heeft als doel om via een standaardformaat tegemoet te komen aan de informatiebehoeften van de VREG teneinde voor elke distributienetbeheerder een toegelaten inkomen m.b.t. de exogene kosten enerzijds en de aanvullende endogene termen anderzijds te bepalen.
Het model is voorzien van een aantal automatisch berekende waarden teneinde de verwerking van het rapporteringsmodel, zowel voor de distributienetbeheerder als voor de VREG, efficiënt te laten verlopen. Deze waarden werden door de VREG dan ook beveiligd. Het rapporteringsmodel dient door de distributienetbeheerder in één afgedrukt exemplaar te worden opgeleverd, alsook onder elektronische vorm (Excel-formaat). In de elektronische vorm zijn geen verwijzingen naar externe bestanden (koppelingen) toegelaten.
In geval van rapportering van de werkelijke cijfers </t>
    </r>
    <r>
      <rPr>
        <b/>
        <sz val="10"/>
        <rFont val="Arial"/>
        <family val="2"/>
      </rPr>
      <t>ex-post</t>
    </r>
    <r>
      <rPr>
        <sz val="10"/>
        <rFont val="Arial"/>
        <family val="2"/>
      </rPr>
      <t xml:space="preserve"> dient het ingevulde rapporteringsmodel te zijn gewaarmerkt door een rapport van feitelijke bevindingen van de commissaris van de distributienetbeheerder. Op </t>
    </r>
    <r>
      <rPr>
        <b/>
        <sz val="10"/>
        <rFont val="Arial"/>
        <family val="2"/>
      </rPr>
      <t>ex-ante</t>
    </r>
    <r>
      <rPr>
        <sz val="10"/>
        <rFont val="Arial"/>
        <family val="2"/>
      </rPr>
      <t xml:space="preserve"> basis (gebudgetteerde waarden) is een rapport van feitelijke bevindingen van de commissaris dus niet vereist. </t>
    </r>
  </si>
  <si>
    <t>Niet relevante waarde voor de betreffende rapportering</t>
  </si>
  <si>
    <t>ENDO</t>
  </si>
  <si>
    <t>EXO</t>
  </si>
  <si>
    <t>REGULATOIR SALDO HERINDEXERING BUDGET ENDOGENE KOSTEN</t>
  </si>
  <si>
    <t>LEGENDE CELKLEUREN</t>
  </si>
  <si>
    <t>OVERZICHT TABELLEN</t>
  </si>
  <si>
    <t>Kabels - &gt;26-36 kV</t>
  </si>
  <si>
    <t>Kabels - MS</t>
  </si>
  <si>
    <t>Kabels - LS</t>
  </si>
  <si>
    <t>Lijnen - &gt;26-36 kV</t>
  </si>
  <si>
    <t>Lijnen - MS</t>
  </si>
  <si>
    <t>Lijnen - LS</t>
  </si>
  <si>
    <t>Posten &amp; cabines - &gt;26-36 kV</t>
  </si>
  <si>
    <t>Posten &amp; cabines - MS</t>
  </si>
  <si>
    <t>Posten &amp; cabines - LS</t>
  </si>
  <si>
    <t>Aansluitingen - &gt;26-36 kV</t>
  </si>
  <si>
    <t>Aansluitingen - MS</t>
  </si>
  <si>
    <t>Aansluitingen - LS</t>
  </si>
  <si>
    <t>Meetapparatuur - &gt;26-36 kV</t>
  </si>
  <si>
    <t>Meetapparatuur - MS</t>
  </si>
  <si>
    <t>Meetapparatuur - LS</t>
  </si>
  <si>
    <t>H. Als herstructureringskosten geactiveerde bedrijfskosten (-)</t>
  </si>
  <si>
    <t>MAR-code</t>
  </si>
  <si>
    <t>635/8</t>
  </si>
  <si>
    <t xml:space="preserve">qi-waarde </t>
  </si>
  <si>
    <t>Regulatoir saldo inzake exogene kosten</t>
  </si>
  <si>
    <t>M.B.T. DISTRIBUTIE</t>
  </si>
  <si>
    <t>M.B.T. TRANSMISSIE</t>
  </si>
  <si>
    <t>Tarief voor het systeembeheer</t>
  </si>
  <si>
    <t>Tarief voor het databeheer</t>
  </si>
  <si>
    <t>Tarief voor openbare dienstverplichtingen</t>
  </si>
  <si>
    <t>Tarief voor de regeling van de spanning en het reactief vermogen</t>
  </si>
  <si>
    <t>Tarief voor de compensatie van de netverliezen</t>
  </si>
  <si>
    <t>Transmissiekosten</t>
  </si>
  <si>
    <t>TABEL 10: Fiscaal niet-aftrekbare afschrijvingen op herwaarderingsmeerwaarden</t>
  </si>
  <si>
    <t>TABEL 9: Algemeen overzicht aanvullende endogene termen</t>
  </si>
  <si>
    <t>Tarief beheer en ontwikkeling netwerkinfrastructuur - maandpiek voor afname</t>
  </si>
  <si>
    <t>Tarief beheer en ontwikkeling netwerkinfrastructuur - jaarpiek voor afname</t>
  </si>
  <si>
    <t>Tarief beheer en ontwikkeling netwerkinfrastructuur - ter beschikking gesteld vermogen voor afname</t>
  </si>
  <si>
    <t>Tarief beheer en ontwikkeling netwerkinfrastructuur - aansluitingstarieven</t>
  </si>
  <si>
    <t>Verplicht aangekochte GSC en WKC aan minimumwaarde volgens Energiedecreet</t>
  </si>
  <si>
    <t>Kapitaalkostvergoeding groenestroom- en warmtekrachtcertificaten (GSC en WKC)</t>
  </si>
  <si>
    <t>Voorraadwijziging GSC (toename voorraad: negatieve waarde, afname voorraad: positieve waarde)</t>
  </si>
  <si>
    <t>Voorraadwijziging WKC (toename voorraad: negatieve waarde, afname voorraad: positieve waarde)</t>
  </si>
  <si>
    <t>Netto-uitgaven/ -inkomsten (positieve waarde voor een netto-uitgave, en omgekeerd) i.h.k.v. de verrekening van de kost van GSC en WKC onder distributienetbeheerders volgens Energiedecreet (solidarisering opkoopverplichting)</t>
  </si>
  <si>
    <t>Tarief voor de belastingen, heffingen, toeslagen, bijdragen en retributies</t>
  </si>
  <si>
    <t>Overzicht van aanvullende endogene termen:</t>
  </si>
  <si>
    <t>NAAM DNB</t>
  </si>
  <si>
    <t>Bijkomende opmerking</t>
  </si>
  <si>
    <t>De transfers die door de distributienetbeheerder in het betreffende boekjaar tussen de verschillende activarubrieken werden doorgevoerd, dienen in een afzonderlijk verklarende nota uitgebreid te worden gemotiveerd.</t>
  </si>
  <si>
    <t>Fiscaal niet-aftrekbare heffing volgens het Decreet houdende het Grootschalig Referentiebestand</t>
  </si>
  <si>
    <t>TABEL 11: Fiscaal niet-aftrekbare heffing volgens het Decreet houdende het Grootschalig Referentiebestand</t>
  </si>
  <si>
    <t>Fiscaal niet-aftrekbare heffing volgens het Decreet houdende het Grootschalig Referentiebestand (+)</t>
  </si>
  <si>
    <t>TABEL 12: Notionele intrestaftrek</t>
  </si>
  <si>
    <t>TABEL 13A: Afschrijvingen van de meerwaarde op basis van de historische indexatie (materiële vaste activa) - elektriciteit</t>
  </si>
  <si>
    <t>TABEL 13B: Afschrijvingen van de meerwaarde op basis van de iRAB (materiële vaste activa) - elektriciteit</t>
  </si>
  <si>
    <t>TABEL 13C: Afschrijvingen van de meerwaarde op basis van de historische indexatie (materiële vaste activa) - gas</t>
  </si>
  <si>
    <t>TABEL 14: Kapitaalkostvergoeding herwaarderingsmeerwaarden</t>
  </si>
  <si>
    <t>df</t>
  </si>
  <si>
    <t>Afschrijvingen op herwaarderingsmeerwaarden</t>
  </si>
  <si>
    <t>Desinvesteringen (n.a.v. verkoop of structuurwijziging)</t>
  </si>
  <si>
    <t>In rekening te brengen afschrijvingen voor</t>
  </si>
  <si>
    <t>E. Niet-recurrente bedrijfsopbrengsten</t>
  </si>
  <si>
    <t>76A</t>
  </si>
  <si>
    <t>70/76A</t>
  </si>
  <si>
    <t>A. Recurrente financiële opbrengsten</t>
  </si>
  <si>
    <t>B. Niet-recurrente financiële opbrengsten</t>
  </si>
  <si>
    <t>76B</t>
  </si>
  <si>
    <t>75/76B</t>
  </si>
  <si>
    <t>60/66A</t>
  </si>
  <si>
    <t>I. Niet-recurrente bedrijfskosten</t>
  </si>
  <si>
    <t>66A</t>
  </si>
  <si>
    <t>A. Recurrente financiële kosten</t>
  </si>
  <si>
    <t>B. Niet-recurrente financiële kosten</t>
  </si>
  <si>
    <t>66B</t>
  </si>
  <si>
    <t>65/66B</t>
  </si>
  <si>
    <t>ex-ante</t>
  </si>
  <si>
    <t>elektriciteit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</si>
</sst>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0.00\ &quot;€&quot;;\-#,##0.00\ &quot;€&quot;"/>
    <numFmt numFmtId="44" formatCode="_-* #,##0.00\ &quot;€&quot;_-;\-* #,##0.00\ &quot;€&quot;_-;_-* &quot;-&quot;??\ &quot;€&quot;_-;_-@_-"/>
    <numFmt numFmtId="164" formatCode="_-* #,##0.00\ _€_-;\-* #,##0.00\ _€_-;_-* &quot;-&quot;??\ _€_-;_-@_-"/>
    <numFmt numFmtId="165" formatCode="#,##0.00\ &quot;€&quot;"/>
    <numFmt numFmtId="166" formatCode="#,##0.0000"/>
    <numFmt numFmtId="167" formatCode="#,##0.00000"/>
    <numFmt numFmtId="168" formatCode="#,##0.000000"/>
    <numFmt numFmtId="169" formatCode="#,##0.0000000000000"/>
    <numFmt numFmtId="170" formatCode="0.000%"/>
    <numFmt numFmtId="171" formatCode="#,##0.000"/>
    <numFmt numFmtId="172" formatCode="#,##0.0000000000"/>
    <numFmt numFmtId="173" formatCode="0.0000%"/>
  </numFmts>
  <fonts count="93" x14ac:knownFonts="1">
    <font>
      <sz val="10"/>
      <name val="Arial"/>
      <family val="2"/>
    </font>
    <font>
      <sz val="11"/>
      <color theme="1"/>
      <name val="Calibri"/>
      <family val="2"/>
      <scheme val="minor"/>
    </font>
    <font>
      <sz val="11"/>
      <color indexed="8"/>
      <name val="Calibri"/>
      <family val="2"/>
    </font>
    <font>
      <sz val="10"/>
      <name val="Arial"/>
      <family val="2"/>
    </font>
    <font>
      <b/>
      <sz val="12"/>
      <name val="Arial"/>
      <family val="2"/>
    </font>
    <font>
      <b/>
      <u/>
      <sz val="10"/>
      <name val="Arial"/>
      <family val="2"/>
    </font>
    <font>
      <i/>
      <sz val="10"/>
      <name val="Arial"/>
      <family val="2"/>
    </font>
    <font>
      <b/>
      <sz val="10"/>
      <name val="Arial"/>
      <family val="2"/>
    </font>
    <font>
      <sz val="10"/>
      <color indexed="8"/>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u/>
      <sz val="14"/>
      <name val="Arial"/>
      <family val="2"/>
    </font>
    <font>
      <sz val="11"/>
      <name val="Arial"/>
      <family val="2"/>
    </font>
    <font>
      <b/>
      <sz val="11"/>
      <name val="Arial"/>
      <family val="2"/>
    </font>
    <font>
      <u/>
      <sz val="10"/>
      <color indexed="12"/>
      <name val="Arial"/>
      <family val="2"/>
    </font>
    <font>
      <b/>
      <i/>
      <sz val="10"/>
      <name val="Arial"/>
      <family val="2"/>
    </font>
    <font>
      <b/>
      <sz val="14"/>
      <name val="Arial"/>
      <family val="2"/>
    </font>
    <font>
      <b/>
      <sz val="8"/>
      <name val="Arial"/>
      <family val="2"/>
    </font>
    <font>
      <b/>
      <u/>
      <sz val="12"/>
      <name val="Arial"/>
      <family val="2"/>
    </font>
    <font>
      <b/>
      <sz val="13"/>
      <name val="Arial"/>
      <family val="2"/>
    </font>
    <font>
      <b/>
      <sz val="10"/>
      <color indexed="10"/>
      <name val="Arial"/>
      <family val="2"/>
    </font>
    <font>
      <i/>
      <sz val="9"/>
      <name val="Arial"/>
      <family val="2"/>
    </font>
    <font>
      <b/>
      <u/>
      <sz val="11"/>
      <name val="Arial"/>
      <family val="2"/>
    </font>
    <font>
      <sz val="12"/>
      <name val="Arial"/>
      <family val="2"/>
    </font>
    <font>
      <sz val="14"/>
      <name val="Arial"/>
      <family val="2"/>
    </font>
    <font>
      <sz val="8"/>
      <name val="Arial"/>
      <family val="2"/>
    </font>
    <font>
      <sz val="10"/>
      <name val="Arial"/>
      <family val="2"/>
    </font>
    <font>
      <sz val="10"/>
      <color indexed="8"/>
      <name val="MS Sans Serif"/>
      <family val="2"/>
    </font>
    <font>
      <sz val="9"/>
      <name val="Arial"/>
      <family val="2"/>
    </font>
    <font>
      <sz val="10"/>
      <name val="Tahoma"/>
      <family val="2"/>
    </font>
    <font>
      <sz val="10"/>
      <color indexed="8"/>
      <name val="Tahoma"/>
      <family val="2"/>
    </font>
    <font>
      <i/>
      <sz val="8"/>
      <name val="Arial"/>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8"/>
      <name val="Arial"/>
      <family val="2"/>
    </font>
    <font>
      <u/>
      <sz val="10"/>
      <name val="Arial"/>
      <family val="2"/>
    </font>
    <font>
      <sz val="10"/>
      <color indexed="12"/>
      <name val="Arial"/>
      <family val="2"/>
    </font>
    <font>
      <b/>
      <u/>
      <sz val="9"/>
      <name val="Arial"/>
      <family val="2"/>
    </font>
    <font>
      <b/>
      <sz val="18"/>
      <color indexed="62"/>
      <name val="Cambria"/>
      <family val="2"/>
    </font>
    <font>
      <b/>
      <vertAlign val="subscript"/>
      <sz val="10"/>
      <name val="Arial"/>
      <family val="2"/>
    </font>
    <font>
      <sz val="11"/>
      <color theme="1"/>
      <name val="Calibri"/>
      <family val="2"/>
      <scheme val="minor"/>
    </font>
    <font>
      <b/>
      <sz val="8"/>
      <color theme="4" tint="-0.249977111117893"/>
      <name val="Arial"/>
      <family val="2"/>
    </font>
    <font>
      <sz val="10"/>
      <color theme="4" tint="-0.249977111117893"/>
      <name val="Arial"/>
      <family val="2"/>
    </font>
    <font>
      <b/>
      <i/>
      <sz val="12"/>
      <color theme="4" tint="-0.249977111117893"/>
      <name val="Arial"/>
      <family val="2"/>
    </font>
    <font>
      <b/>
      <sz val="12"/>
      <color theme="4" tint="-0.249977111117893"/>
      <name val="Arial"/>
      <family val="2"/>
    </font>
    <font>
      <i/>
      <sz val="10"/>
      <color theme="4" tint="-0.249977111117893"/>
      <name val="Arial"/>
      <family val="2"/>
    </font>
    <font>
      <b/>
      <sz val="10"/>
      <color theme="4" tint="-0.249977111117893"/>
      <name val="Arial"/>
      <family val="2"/>
    </font>
    <font>
      <sz val="10"/>
      <color theme="0"/>
      <name val="Arial"/>
      <family val="2"/>
    </font>
    <font>
      <b/>
      <u/>
      <sz val="12"/>
      <color theme="0"/>
      <name val="Arial"/>
      <family val="2"/>
    </font>
    <font>
      <b/>
      <sz val="8"/>
      <color theme="0"/>
      <name val="Arial"/>
      <family val="2"/>
    </font>
    <font>
      <sz val="8"/>
      <color theme="0"/>
      <name val="Arial"/>
      <family val="2"/>
    </font>
    <font>
      <b/>
      <sz val="12"/>
      <color theme="0"/>
      <name val="Arial"/>
      <family val="2"/>
    </font>
    <font>
      <sz val="14"/>
      <color theme="0"/>
      <name val="Arial"/>
      <family val="2"/>
    </font>
    <font>
      <sz val="10"/>
      <color rgb="FF00B050"/>
      <name val="Arial"/>
      <family val="2"/>
    </font>
    <font>
      <b/>
      <sz val="10"/>
      <color rgb="FF00B050"/>
      <name val="Arial"/>
      <family val="2"/>
    </font>
    <font>
      <i/>
      <sz val="10"/>
      <color rgb="FF00B050"/>
      <name val="Arial"/>
      <family val="2"/>
    </font>
    <font>
      <i/>
      <sz val="10"/>
      <color theme="0"/>
      <name val="Arial"/>
      <family val="2"/>
    </font>
    <font>
      <b/>
      <sz val="8"/>
      <color rgb="FFFF0000"/>
      <name val="Arial"/>
      <family val="2"/>
    </font>
    <font>
      <sz val="10"/>
      <color rgb="FFFF0000"/>
      <name val="Arial"/>
      <family val="2"/>
    </font>
    <font>
      <b/>
      <sz val="14"/>
      <color rgb="FFFF0000"/>
      <name val="Arial"/>
      <family val="2"/>
    </font>
    <font>
      <sz val="10"/>
      <color theme="1"/>
      <name val="Arial"/>
      <family val="2"/>
    </font>
    <font>
      <b/>
      <u/>
      <sz val="12"/>
      <color rgb="FFFF0000"/>
      <name val="Arial"/>
      <family val="2"/>
    </font>
    <font>
      <b/>
      <u/>
      <sz val="11"/>
      <color rgb="FFFF0000"/>
      <name val="Arial"/>
      <family val="2"/>
    </font>
    <font>
      <b/>
      <sz val="12"/>
      <color rgb="FFFF0000"/>
      <name val="Arial"/>
      <family val="2"/>
    </font>
    <font>
      <i/>
      <sz val="10"/>
      <color rgb="FFFF0000"/>
      <name val="Arial"/>
      <family val="2"/>
    </font>
    <font>
      <b/>
      <sz val="10"/>
      <color indexed="12"/>
      <name val="Arial"/>
      <family val="2"/>
    </font>
    <font>
      <sz val="8"/>
      <color rgb="FFFF0000"/>
      <name val="Arial"/>
      <family val="2"/>
    </font>
    <font>
      <sz val="14"/>
      <color rgb="FFFF0000"/>
      <name val="Arial"/>
      <family val="2"/>
    </font>
    <font>
      <b/>
      <sz val="10"/>
      <color theme="0"/>
      <name val="Arial"/>
      <family val="2"/>
    </font>
    <font>
      <b/>
      <sz val="14"/>
      <color theme="0"/>
      <name val="Arial"/>
      <family val="2"/>
    </font>
    <font>
      <b/>
      <sz val="10"/>
      <color theme="1"/>
      <name val="Arial"/>
      <family val="2"/>
    </font>
    <font>
      <b/>
      <i/>
      <sz val="9"/>
      <name val="Arial"/>
      <family val="2"/>
    </font>
    <font>
      <b/>
      <sz val="20"/>
      <color theme="0"/>
      <name val="Arial"/>
      <family val="2"/>
    </font>
    <font>
      <u/>
      <sz val="10"/>
      <color theme="0" tint="-0.499984740745262"/>
      <name val="Arial"/>
      <family val="2"/>
    </font>
    <font>
      <sz val="10"/>
      <color theme="0" tint="-0.499984740745262"/>
      <name val="Arial"/>
      <family val="2"/>
    </font>
    <font>
      <b/>
      <i/>
      <u/>
      <sz val="10"/>
      <name val="Arial"/>
      <family val="2"/>
    </font>
  </fonts>
  <fills count="4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lightUp"/>
    </fill>
    <fill>
      <patternFill patternType="solid">
        <fgColor rgb="FFFFFFB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lightUp">
        <bgColor theme="0"/>
      </patternFill>
    </fill>
    <fill>
      <patternFill patternType="solid">
        <fgColor theme="3" tint="0.79995117038483843"/>
        <bgColor indexed="64"/>
      </patternFill>
    </fill>
    <fill>
      <patternFill patternType="lightUp">
        <bgColor rgb="FFFFFFB3"/>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Up">
        <bgColor theme="3" tint="0.79995117038483843"/>
      </patternFill>
    </fill>
    <fill>
      <patternFill patternType="lightUp">
        <bgColor theme="0" tint="-4.9989318521683403E-2"/>
      </patternFill>
    </fill>
    <fill>
      <patternFill patternType="lightUp">
        <bgColor theme="0" tint="-0.14999847407452621"/>
      </patternFill>
    </fill>
    <fill>
      <patternFill patternType="lightUp">
        <bgColor theme="0" tint="-0.14996795556505021"/>
      </patternFill>
    </fill>
    <fill>
      <patternFill patternType="solid">
        <fgColor rgb="FFC5D9F1"/>
        <bgColor indexed="64"/>
      </patternFill>
    </fill>
  </fills>
  <borders count="1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bottom/>
      <diagonal/>
    </border>
    <border>
      <left style="medium">
        <color indexed="64"/>
      </left>
      <right/>
      <top/>
      <bottom/>
      <diagonal/>
    </border>
    <border>
      <left/>
      <right/>
      <top/>
      <bottom style="medium">
        <color indexed="64"/>
      </bottom>
      <diagonal/>
    </border>
    <border>
      <left style="double">
        <color indexed="64"/>
      </left>
      <right/>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medium">
        <color indexed="64"/>
      </left>
      <right style="medium">
        <color indexed="64"/>
      </right>
      <top/>
      <bottom style="medium">
        <color indexed="64"/>
      </bottom>
      <diagonal/>
    </border>
    <border>
      <left/>
      <right/>
      <top/>
      <bottom style="dotted">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195">
    <xf numFmtId="0" fontId="0" fillId="0" borderId="0"/>
    <xf numFmtId="0" fontId="3" fillId="0" borderId="0"/>
    <xf numFmtId="0" fontId="45" fillId="2" borderId="0" applyNumberFormat="0" applyBorder="0" applyAlignment="0" applyProtection="0"/>
    <xf numFmtId="0" fontId="36" fillId="12" borderId="1" applyNumberFormat="0" applyAlignment="0" applyProtection="0"/>
    <xf numFmtId="0" fontId="37" fillId="13" borderId="2" applyNumberFormat="0" applyAlignment="0" applyProtection="0"/>
    <xf numFmtId="164" fontId="3" fillId="0" borderId="0" applyFont="0" applyFill="0" applyBorder="0" applyAlignment="0" applyProtection="0"/>
    <xf numFmtId="44" fontId="3" fillId="0" borderId="0" applyFont="0" applyFill="0" applyBorder="0" applyAlignment="0" applyProtection="0"/>
    <xf numFmtId="0" fontId="49" fillId="0" borderId="0" applyNumberFormat="0" applyFill="0" applyBorder="0" applyAlignment="0" applyProtection="0"/>
    <xf numFmtId="0" fontId="39" fillId="3"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alignment vertical="top"/>
      <protection locked="0"/>
    </xf>
    <xf numFmtId="0" fontId="40" fillId="4" borderId="1"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0" fontId="38" fillId="0" borderId="3" applyNumberFormat="0" applyFill="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0" fontId="44" fillId="14" borderId="0" applyNumberFormat="0" applyBorder="0" applyAlignment="0" applyProtection="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15" borderId="7" applyNumberFormat="0" applyFont="0" applyAlignment="0" applyProtection="0"/>
    <xf numFmtId="0" fontId="48" fillId="12"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4" fontId="9" fillId="14" borderId="9" applyNumberFormat="0" applyProtection="0">
      <alignment vertical="center"/>
    </xf>
    <xf numFmtId="4" fontId="10" fillId="16" borderId="9" applyNumberFormat="0" applyProtection="0">
      <alignment vertical="center"/>
    </xf>
    <xf numFmtId="4" fontId="9" fillId="16" borderId="9" applyNumberFormat="0" applyProtection="0">
      <alignment horizontal="left" vertical="center" indent="1"/>
    </xf>
    <xf numFmtId="0" fontId="9" fillId="16" borderId="9" applyNumberFormat="0" applyProtection="0">
      <alignment horizontal="left" vertical="top" indent="1"/>
    </xf>
    <xf numFmtId="4" fontId="9" fillId="17" borderId="0" applyNumberFormat="0" applyProtection="0">
      <alignment horizontal="left" vertical="center" indent="1"/>
    </xf>
    <xf numFmtId="4" fontId="9" fillId="18" borderId="0" applyNumberFormat="0" applyProtection="0">
      <alignment horizontal="left" vertical="center" indent="1"/>
    </xf>
    <xf numFmtId="4" fontId="8" fillId="2" borderId="9" applyNumberFormat="0" applyProtection="0">
      <alignment horizontal="right" vertical="center"/>
    </xf>
    <xf numFmtId="4" fontId="8" fillId="5" borderId="9" applyNumberFormat="0" applyProtection="0">
      <alignment horizontal="right" vertical="center"/>
    </xf>
    <xf numFmtId="4" fontId="8" fillId="9" borderId="9" applyNumberFormat="0" applyProtection="0">
      <alignment horizontal="right" vertical="center"/>
    </xf>
    <xf numFmtId="4" fontId="8" fillId="7" borderId="9" applyNumberFormat="0" applyProtection="0">
      <alignment horizontal="right" vertical="center"/>
    </xf>
    <xf numFmtId="4" fontId="8" fillId="8" borderId="9" applyNumberFormat="0" applyProtection="0">
      <alignment horizontal="right" vertical="center"/>
    </xf>
    <xf numFmtId="4" fontId="8" fillId="11" borderId="9" applyNumberFormat="0" applyProtection="0">
      <alignment horizontal="right" vertical="center"/>
    </xf>
    <xf numFmtId="4" fontId="8" fillId="10" borderId="9" applyNumberFormat="0" applyProtection="0">
      <alignment horizontal="right" vertical="center"/>
    </xf>
    <xf numFmtId="4" fontId="8" fillId="19" borderId="9" applyNumberFormat="0" applyProtection="0">
      <alignment horizontal="right" vertical="center"/>
    </xf>
    <xf numFmtId="4" fontId="8" fillId="6" borderId="9" applyNumberFormat="0" applyProtection="0">
      <alignment horizontal="right" vertical="center"/>
    </xf>
    <xf numFmtId="4" fontId="9" fillId="20" borderId="10" applyNumberFormat="0" applyProtection="0">
      <alignment horizontal="left" vertical="center" indent="1"/>
    </xf>
    <xf numFmtId="4" fontId="8" fillId="21" borderId="0" applyNumberFormat="0" applyProtection="0">
      <alignment horizontal="left" vertical="center" indent="1"/>
    </xf>
    <xf numFmtId="4" fontId="11" fillId="22" borderId="0" applyNumberFormat="0" applyProtection="0">
      <alignment horizontal="left" vertical="center" indent="1"/>
    </xf>
    <xf numFmtId="4" fontId="8" fillId="18" borderId="9" applyNumberFormat="0" applyProtection="0">
      <alignment horizontal="right" vertical="center"/>
    </xf>
    <xf numFmtId="4" fontId="8" fillId="21" borderId="0" applyNumberFormat="0" applyProtection="0">
      <alignment horizontal="left" vertical="center" indent="1"/>
    </xf>
    <xf numFmtId="4" fontId="8" fillId="17" borderId="0" applyNumberFormat="0" applyProtection="0">
      <alignment horizontal="left" vertical="center" indent="1"/>
    </xf>
    <xf numFmtId="0" fontId="3" fillId="22" borderId="9" applyNumberFormat="0" applyProtection="0">
      <alignment horizontal="left" vertical="center" indent="1"/>
    </xf>
    <xf numFmtId="0" fontId="3" fillId="22" borderId="9" applyNumberFormat="0" applyProtection="0">
      <alignment horizontal="left" vertical="top" indent="1"/>
    </xf>
    <xf numFmtId="0" fontId="3" fillId="17" borderId="9" applyNumberFormat="0" applyProtection="0">
      <alignment horizontal="left" vertical="center" indent="1"/>
    </xf>
    <xf numFmtId="0" fontId="3" fillId="17" borderId="9" applyNumberFormat="0" applyProtection="0">
      <alignment horizontal="left" vertical="top" indent="1"/>
    </xf>
    <xf numFmtId="0" fontId="3" fillId="23" borderId="9" applyNumberFormat="0" applyProtection="0">
      <alignment horizontal="left" vertical="center" indent="1"/>
    </xf>
    <xf numFmtId="0" fontId="3" fillId="23" borderId="9" applyNumberFormat="0" applyProtection="0">
      <alignment horizontal="left" vertical="top" indent="1"/>
    </xf>
    <xf numFmtId="0" fontId="3" fillId="24" borderId="9" applyNumberFormat="0" applyProtection="0">
      <alignment horizontal="left" vertical="center" indent="1"/>
    </xf>
    <xf numFmtId="0" fontId="3" fillId="24" borderId="9" applyNumberFormat="0" applyProtection="0">
      <alignment horizontal="left" vertical="top" indent="1"/>
    </xf>
    <xf numFmtId="0" fontId="3" fillId="25" borderId="11" applyNumberFormat="0">
      <protection locked="0"/>
    </xf>
    <xf numFmtId="4" fontId="8" fillId="26" borderId="9" applyNumberFormat="0" applyProtection="0">
      <alignment vertical="center"/>
    </xf>
    <xf numFmtId="4" fontId="12" fillId="26" borderId="9" applyNumberFormat="0" applyProtection="0">
      <alignment vertical="center"/>
    </xf>
    <xf numFmtId="4" fontId="8" fillId="26" borderId="9" applyNumberFormat="0" applyProtection="0">
      <alignment horizontal="left" vertical="center" indent="1"/>
    </xf>
    <xf numFmtId="0" fontId="8" fillId="26" borderId="9" applyNumberFormat="0" applyProtection="0">
      <alignment horizontal="left" vertical="top" indent="1"/>
    </xf>
    <xf numFmtId="4" fontId="8" fillId="21" borderId="9" applyNumberFormat="0" applyProtection="0">
      <alignment horizontal="right" vertical="center"/>
    </xf>
    <xf numFmtId="4" fontId="12" fillId="21" borderId="9" applyNumberFormat="0" applyProtection="0">
      <alignment horizontal="right" vertical="center"/>
    </xf>
    <xf numFmtId="4" fontId="8" fillId="18" borderId="9" applyNumberFormat="0" applyProtection="0">
      <alignment horizontal="left" vertical="center" indent="1"/>
    </xf>
    <xf numFmtId="4" fontId="8" fillId="18" borderId="9" applyNumberFormat="0" applyProtection="0">
      <alignment horizontal="left" vertical="center" indent="1"/>
    </xf>
    <xf numFmtId="0" fontId="8" fillId="17" borderId="9" applyNumberFormat="0" applyProtection="0">
      <alignment horizontal="left" vertical="top" indent="1"/>
    </xf>
    <xf numFmtId="4" fontId="13" fillId="27" borderId="0" applyNumberFormat="0" applyProtection="0">
      <alignment horizontal="left" vertical="center" indent="1"/>
    </xf>
    <xf numFmtId="4" fontId="14" fillId="21" borderId="9" applyNumberFormat="0" applyProtection="0">
      <alignment horizontal="right" vertical="center"/>
    </xf>
    <xf numFmtId="0" fontId="55" fillId="0" borderId="0" applyNumberFormat="0" applyFill="0" applyBorder="0" applyAlignment="0" applyProtection="0"/>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57" fillId="0" borderId="0"/>
    <xf numFmtId="0" fontId="3" fillId="0" borderId="0">
      <alignment vertical="top"/>
    </xf>
    <xf numFmtId="0" fontId="2" fillId="0" borderId="0"/>
    <xf numFmtId="0" fontId="3" fillId="0" borderId="0">
      <alignment vertical="top"/>
    </xf>
    <xf numFmtId="0" fontId="3" fillId="0" borderId="0">
      <alignment vertical="top"/>
    </xf>
    <xf numFmtId="0" fontId="30" fillId="0" borderId="0"/>
    <xf numFmtId="0" fontId="3" fillId="0" borderId="0"/>
    <xf numFmtId="0" fontId="3" fillId="0" borderId="0"/>
    <xf numFmtId="0" fontId="31" fillId="0" borderId="0"/>
    <xf numFmtId="0" fontId="3" fillId="0" borderId="0"/>
    <xf numFmtId="0" fontId="3" fillId="0" borderId="0"/>
    <xf numFmtId="0" fontId="8" fillId="0" borderId="0">
      <alignment vertical="top"/>
    </xf>
    <xf numFmtId="0" fontId="8" fillId="0" borderId="0">
      <alignment vertical="top"/>
    </xf>
    <xf numFmtId="0" fontId="46" fillId="0" borderId="0" applyNumberFormat="0" applyFill="0" applyBorder="0" applyAlignment="0" applyProtection="0"/>
    <xf numFmtId="0" fontId="47" fillId="0" borderId="12" applyNumberFormat="0" applyFill="0" applyAlignment="0" applyProtection="0"/>
    <xf numFmtId="44" fontId="3" fillId="0" borderId="0" applyFont="0" applyFill="0" applyBorder="0" applyAlignment="0" applyProtection="0"/>
    <xf numFmtId="0" fontId="50" fillId="0" borderId="0" applyNumberFormat="0" applyFill="0" applyBorder="0" applyAlignment="0" applyProtection="0"/>
    <xf numFmtId="44" fontId="3" fillId="0" borderId="0" applyFont="0" applyFill="0" applyBorder="0" applyAlignment="0" applyProtection="0"/>
  </cellStyleXfs>
  <cellXfs count="1375">
    <xf numFmtId="0" fontId="0" fillId="0" borderId="0" xfId="0"/>
    <xf numFmtId="0" fontId="18" fillId="32" borderId="0" xfId="13" applyFill="1" applyAlignment="1" applyProtection="1"/>
    <xf numFmtId="0" fontId="18" fillId="0" borderId="11" xfId="13" applyBorder="1" applyAlignment="1" applyProtection="1">
      <alignment horizontal="center" vertical="center"/>
    </xf>
    <xf numFmtId="0" fontId="3" fillId="0" borderId="0" xfId="171" applyFont="1" applyFill="1" applyProtection="1"/>
    <xf numFmtId="0" fontId="7" fillId="0" borderId="0" xfId="171" applyFont="1" applyFill="1" applyProtection="1"/>
    <xf numFmtId="0" fontId="7" fillId="0" borderId="0" xfId="171" applyFont="1" applyFill="1" applyAlignment="1" applyProtection="1">
      <alignment horizontal="center"/>
    </xf>
    <xf numFmtId="0" fontId="5" fillId="0" borderId="0" xfId="171" applyFont="1" applyFill="1" applyAlignment="1" applyProtection="1">
      <alignment horizontal="center"/>
    </xf>
    <xf numFmtId="0" fontId="3" fillId="32" borderId="0" xfId="171" applyFont="1" applyFill="1" applyProtection="1"/>
    <xf numFmtId="0" fontId="7" fillId="32" borderId="0" xfId="171" applyFont="1" applyFill="1" applyProtection="1"/>
    <xf numFmtId="44" fontId="3" fillId="32" borderId="15" xfId="192" applyFont="1" applyFill="1" applyBorder="1" applyAlignment="1" applyProtection="1">
      <alignment horizontal="center"/>
    </xf>
    <xf numFmtId="0" fontId="7" fillId="32" borderId="0" xfId="0" applyFont="1" applyFill="1" applyProtection="1"/>
    <xf numFmtId="0" fontId="5" fillId="0" borderId="0" xfId="171" applyFont="1" applyFill="1" applyProtection="1"/>
    <xf numFmtId="0" fontId="0" fillId="32" borderId="0" xfId="0" applyFill="1" applyProtection="1"/>
    <xf numFmtId="0" fontId="0" fillId="32" borderId="0" xfId="0" applyFill="1" applyBorder="1" applyProtection="1"/>
    <xf numFmtId="0" fontId="7" fillId="0" borderId="0" xfId="171" applyFont="1" applyFill="1" applyAlignment="1" applyProtection="1">
      <alignment horizontal="left"/>
    </xf>
    <xf numFmtId="0" fontId="3" fillId="0" borderId="0" xfId="171" applyFont="1" applyFill="1" applyAlignment="1" applyProtection="1">
      <alignment horizontal="left"/>
    </xf>
    <xf numFmtId="0" fontId="16" fillId="0" borderId="0" xfId="171" applyFont="1" applyAlignment="1" applyProtection="1"/>
    <xf numFmtId="0" fontId="3" fillId="0" borderId="0" xfId="171" applyFont="1" applyAlignment="1" applyProtection="1"/>
    <xf numFmtId="0" fontId="3" fillId="0" borderId="0" xfId="171" applyNumberFormat="1" applyFont="1" applyAlignment="1" applyProtection="1"/>
    <xf numFmtId="0" fontId="3" fillId="0" borderId="0" xfId="1" applyFont="1" applyProtection="1"/>
    <xf numFmtId="0" fontId="33" fillId="16" borderId="11" xfId="185" applyFont="1" applyFill="1" applyBorder="1" applyProtection="1"/>
    <xf numFmtId="0" fontId="33" fillId="0" borderId="0" xfId="171" applyFont="1" applyFill="1" applyProtection="1"/>
    <xf numFmtId="0" fontId="0" fillId="0" borderId="0" xfId="171" applyFont="1" applyAlignment="1" applyProtection="1"/>
    <xf numFmtId="0" fontId="33" fillId="28" borderId="0" xfId="185" applyFont="1" applyFill="1" applyBorder="1" applyProtection="1"/>
    <xf numFmtId="0" fontId="33" fillId="32" borderId="11" xfId="185" applyFont="1" applyFill="1" applyBorder="1" applyAlignment="1" applyProtection="1">
      <alignment horizontal="left" vertical="top" wrapText="1"/>
    </xf>
    <xf numFmtId="0" fontId="33" fillId="32" borderId="0" xfId="171" applyFont="1" applyFill="1" applyBorder="1" applyProtection="1"/>
    <xf numFmtId="0" fontId="33" fillId="0" borderId="0" xfId="171" applyFont="1" applyFill="1" applyAlignment="1" applyProtection="1"/>
    <xf numFmtId="0" fontId="34" fillId="28" borderId="0" xfId="185" applyFont="1" applyFill="1" applyBorder="1" applyProtection="1"/>
    <xf numFmtId="0" fontId="33" fillId="34" borderId="11" xfId="185" applyFont="1" applyFill="1" applyBorder="1" applyProtection="1"/>
    <xf numFmtId="0" fontId="33" fillId="0" borderId="0" xfId="1" applyFont="1" applyProtection="1"/>
    <xf numFmtId="0" fontId="33" fillId="35" borderId="11" xfId="185" applyFont="1" applyFill="1" applyBorder="1" applyAlignment="1" applyProtection="1">
      <alignment horizontal="left" vertical="top" wrapText="1"/>
    </xf>
    <xf numFmtId="0" fontId="33" fillId="0" borderId="0" xfId="171" applyFont="1" applyFill="1" applyAlignment="1" applyProtection="1">
      <alignment vertical="top"/>
    </xf>
    <xf numFmtId="0" fontId="3" fillId="0" borderId="0" xfId="171" applyFont="1" applyFill="1" applyAlignment="1" applyProtection="1">
      <alignment vertical="top"/>
    </xf>
    <xf numFmtId="0" fontId="0" fillId="0" borderId="0" xfId="171" applyFont="1" applyFill="1" applyProtection="1"/>
    <xf numFmtId="0" fontId="20" fillId="32" borderId="0" xfId="186" applyFont="1" applyFill="1" applyProtection="1"/>
    <xf numFmtId="0" fontId="20" fillId="32" borderId="0" xfId="186" applyFont="1" applyFill="1" applyAlignment="1" applyProtection="1">
      <alignment horizontal="center"/>
    </xf>
    <xf numFmtId="0" fontId="0" fillId="32" borderId="0" xfId="0" applyFill="1" applyAlignment="1" applyProtection="1">
      <alignment vertical="top"/>
    </xf>
    <xf numFmtId="0" fontId="5" fillId="32" borderId="0" xfId="0" applyFont="1" applyFill="1" applyAlignment="1" applyProtection="1">
      <alignment vertical="top" wrapText="1"/>
    </xf>
    <xf numFmtId="0" fontId="0" fillId="32" borderId="0" xfId="0" applyFill="1" applyAlignment="1" applyProtection="1">
      <alignment horizontal="center" vertical="top"/>
    </xf>
    <xf numFmtId="0" fontId="6" fillId="32" borderId="0" xfId="0" applyFont="1" applyFill="1" applyAlignment="1" applyProtection="1">
      <alignment vertical="top"/>
    </xf>
    <xf numFmtId="0" fontId="7" fillId="32" borderId="0" xfId="186" applyFont="1" applyFill="1" applyProtection="1"/>
    <xf numFmtId="0" fontId="7" fillId="32" borderId="0" xfId="186" applyFont="1" applyFill="1" applyAlignment="1" applyProtection="1">
      <alignment horizontal="center"/>
    </xf>
    <xf numFmtId="0" fontId="3" fillId="32" borderId="0" xfId="186" applyFont="1" applyFill="1" applyProtection="1"/>
    <xf numFmtId="0" fontId="3" fillId="32" borderId="0" xfId="186" applyFont="1" applyFill="1" applyAlignment="1" applyProtection="1">
      <alignment horizontal="center"/>
    </xf>
    <xf numFmtId="4" fontId="32" fillId="32" borderId="0" xfId="186" applyNumberFormat="1" applyFont="1" applyFill="1" applyBorder="1" applyProtection="1"/>
    <xf numFmtId="4" fontId="5" fillId="32" borderId="16" xfId="186" applyNumberFormat="1" applyFont="1" applyFill="1" applyBorder="1" applyAlignment="1" applyProtection="1">
      <alignment horizontal="centerContinuous" vertical="center"/>
    </xf>
    <xf numFmtId="4" fontId="5" fillId="32" borderId="0" xfId="186" applyNumberFormat="1" applyFont="1" applyFill="1" applyBorder="1" applyAlignment="1" applyProtection="1">
      <alignment horizontal="centerContinuous" vertical="center"/>
    </xf>
    <xf numFmtId="4" fontId="5" fillId="32" borderId="0" xfId="186" applyNumberFormat="1" applyFont="1" applyFill="1" applyBorder="1" applyAlignment="1" applyProtection="1">
      <alignment horizontal="centerContinuous"/>
    </xf>
    <xf numFmtId="4" fontId="5" fillId="32" borderId="17" xfId="186" applyNumberFormat="1" applyFont="1" applyFill="1" applyBorder="1" applyAlignment="1" applyProtection="1">
      <alignment horizontal="center"/>
    </xf>
    <xf numFmtId="4" fontId="7" fillId="32" borderId="18" xfId="186" applyNumberFormat="1" applyFont="1" applyFill="1" applyBorder="1" applyAlignment="1" applyProtection="1">
      <alignment horizontal="center" vertical="center" wrapText="1"/>
    </xf>
    <xf numFmtId="4" fontId="7" fillId="32" borderId="18" xfId="186" applyNumberFormat="1" applyFont="1" applyFill="1" applyBorder="1" applyAlignment="1" applyProtection="1">
      <alignment horizontal="center" vertical="center"/>
    </xf>
    <xf numFmtId="4" fontId="7" fillId="32" borderId="17" xfId="186" applyNumberFormat="1" applyFont="1" applyFill="1" applyBorder="1" applyAlignment="1" applyProtection="1">
      <alignment horizontal="center" vertical="center"/>
    </xf>
    <xf numFmtId="4" fontId="3" fillId="32" borderId="16" xfId="186" applyNumberFormat="1" applyFont="1" applyFill="1" applyBorder="1" applyProtection="1"/>
    <xf numFmtId="4" fontId="3" fillId="32" borderId="0" xfId="186" applyNumberFormat="1" applyFont="1" applyFill="1" applyBorder="1" applyProtection="1"/>
    <xf numFmtId="4" fontId="3" fillId="32" borderId="17" xfId="186" applyNumberFormat="1" applyFont="1" applyFill="1" applyBorder="1" applyProtection="1"/>
    <xf numFmtId="4" fontId="5" fillId="32" borderId="16" xfId="186" applyNumberFormat="1" applyFont="1" applyFill="1" applyBorder="1" applyAlignment="1" applyProtection="1">
      <alignment horizontal="left" vertical="center"/>
    </xf>
    <xf numFmtId="4" fontId="5" fillId="32" borderId="0" xfId="186" applyNumberFormat="1" applyFont="1" applyFill="1" applyBorder="1" applyAlignment="1" applyProtection="1">
      <alignment vertical="center"/>
    </xf>
    <xf numFmtId="0" fontId="5" fillId="32" borderId="17" xfId="186" applyNumberFormat="1" applyFont="1" applyFill="1" applyBorder="1" applyAlignment="1" applyProtection="1">
      <alignment horizontal="center" vertical="center"/>
    </xf>
    <xf numFmtId="4" fontId="32" fillId="32" borderId="0" xfId="186" applyNumberFormat="1" applyFont="1" applyFill="1" applyBorder="1" applyAlignment="1" applyProtection="1">
      <alignment vertical="center"/>
    </xf>
    <xf numFmtId="4" fontId="3" fillId="32" borderId="16" xfId="186" applyNumberFormat="1" applyFont="1" applyFill="1" applyBorder="1" applyAlignment="1" applyProtection="1">
      <alignment horizontal="left" vertical="center"/>
    </xf>
    <xf numFmtId="4" fontId="3" fillId="32" borderId="0" xfId="186" applyNumberFormat="1" applyFont="1" applyFill="1" applyBorder="1" applyAlignment="1" applyProtection="1">
      <alignment vertical="center"/>
    </xf>
    <xf numFmtId="0" fontId="3" fillId="32" borderId="17" xfId="186" applyNumberFormat="1" applyFont="1" applyFill="1" applyBorder="1" applyAlignment="1" applyProtection="1">
      <alignment horizontal="center" vertical="center"/>
    </xf>
    <xf numFmtId="4" fontId="3" fillId="32" borderId="16" xfId="186" applyNumberFormat="1" applyFont="1" applyFill="1" applyBorder="1" applyAlignment="1" applyProtection="1">
      <alignment vertical="center"/>
    </xf>
    <xf numFmtId="4" fontId="3" fillId="32" borderId="0" xfId="186" applyNumberFormat="1" applyFont="1" applyFill="1" applyBorder="1" applyAlignment="1" applyProtection="1">
      <alignment horizontal="left" vertical="center"/>
    </xf>
    <xf numFmtId="4" fontId="5" fillId="32" borderId="16" xfId="186" applyNumberFormat="1" applyFont="1" applyFill="1" applyBorder="1" applyAlignment="1" applyProtection="1">
      <alignment vertical="center"/>
    </xf>
    <xf numFmtId="4" fontId="5" fillId="32" borderId="0" xfId="186" applyNumberFormat="1" applyFont="1" applyFill="1" applyBorder="1" applyAlignment="1" applyProtection="1">
      <alignment horizontal="left" vertical="center"/>
    </xf>
    <xf numFmtId="4" fontId="6" fillId="32" borderId="16" xfId="186" applyNumberFormat="1" applyFont="1" applyFill="1" applyBorder="1" applyAlignment="1" applyProtection="1">
      <alignment vertical="center"/>
    </xf>
    <xf numFmtId="4" fontId="6" fillId="32" borderId="0" xfId="186" applyNumberFormat="1" applyFont="1" applyFill="1" applyBorder="1" applyAlignment="1" applyProtection="1">
      <alignment horizontal="left" vertical="center"/>
    </xf>
    <xf numFmtId="4" fontId="6" fillId="32" borderId="0" xfId="186" applyNumberFormat="1" applyFont="1" applyFill="1" applyBorder="1" applyAlignment="1" applyProtection="1">
      <alignment vertical="center"/>
    </xf>
    <xf numFmtId="0" fontId="6" fillId="32" borderId="17" xfId="186" applyNumberFormat="1" applyFont="1" applyFill="1" applyBorder="1" applyAlignment="1" applyProtection="1">
      <alignment horizontal="center" vertical="center"/>
    </xf>
    <xf numFmtId="4" fontId="4" fillId="32" borderId="16" xfId="186" applyNumberFormat="1" applyFont="1" applyFill="1" applyBorder="1" applyAlignment="1" applyProtection="1">
      <alignment horizontal="right" vertical="center"/>
    </xf>
    <xf numFmtId="4" fontId="4" fillId="32" borderId="0" xfId="0" applyNumberFormat="1" applyFont="1" applyFill="1" applyBorder="1" applyAlignment="1" applyProtection="1">
      <alignment horizontal="right" vertical="center"/>
    </xf>
    <xf numFmtId="4" fontId="4" fillId="32" borderId="19" xfId="0" applyNumberFormat="1" applyFont="1" applyFill="1" applyBorder="1" applyAlignment="1" applyProtection="1">
      <alignment horizontal="right" vertical="center"/>
    </xf>
    <xf numFmtId="0" fontId="4" fillId="32" borderId="20" xfId="186" applyNumberFormat="1" applyFont="1" applyFill="1" applyBorder="1" applyAlignment="1" applyProtection="1">
      <alignment horizontal="center" vertical="center"/>
    </xf>
    <xf numFmtId="4" fontId="17" fillId="32" borderId="16" xfId="0" applyNumberFormat="1" applyFont="1" applyFill="1" applyBorder="1" applyAlignment="1" applyProtection="1">
      <alignment horizontal="right" vertical="center"/>
    </xf>
    <xf numFmtId="4" fontId="17" fillId="32" borderId="0" xfId="0" applyNumberFormat="1" applyFont="1" applyFill="1" applyBorder="1" applyAlignment="1" applyProtection="1">
      <alignment horizontal="right" vertical="center"/>
    </xf>
    <xf numFmtId="4" fontId="17" fillId="32" borderId="19" xfId="0" applyNumberFormat="1" applyFont="1" applyFill="1" applyBorder="1" applyAlignment="1" applyProtection="1">
      <alignment horizontal="right" vertical="center"/>
    </xf>
    <xf numFmtId="0" fontId="17" fillId="32" borderId="17" xfId="0" applyNumberFormat="1" applyFont="1" applyFill="1" applyBorder="1" applyAlignment="1" applyProtection="1">
      <alignment horizontal="center" vertical="center"/>
    </xf>
    <xf numFmtId="4" fontId="4" fillId="32" borderId="21" xfId="0" applyNumberFormat="1" applyFont="1" applyFill="1" applyBorder="1" applyAlignment="1" applyProtection="1">
      <alignment horizontal="right" vertical="center"/>
    </xf>
    <xf numFmtId="4" fontId="4" fillId="32" borderId="22" xfId="0" applyNumberFormat="1" applyFont="1" applyFill="1" applyBorder="1" applyAlignment="1" applyProtection="1">
      <alignment horizontal="right" vertical="center"/>
    </xf>
    <xf numFmtId="4" fontId="4" fillId="32" borderId="23" xfId="0" applyNumberFormat="1" applyFont="1" applyFill="1" applyBorder="1" applyAlignment="1" applyProtection="1">
      <alignment horizontal="right" vertical="center"/>
    </xf>
    <xf numFmtId="0" fontId="4" fillId="32" borderId="24" xfId="0" applyNumberFormat="1" applyFont="1" applyFill="1" applyBorder="1" applyAlignment="1" applyProtection="1">
      <alignment horizontal="center" vertical="center"/>
    </xf>
    <xf numFmtId="165" fontId="4" fillId="32" borderId="24" xfId="0" applyNumberFormat="1" applyFont="1" applyFill="1" applyBorder="1" applyAlignment="1" applyProtection="1">
      <alignment vertical="center"/>
    </xf>
    <xf numFmtId="4" fontId="7" fillId="32" borderId="0" xfId="186" applyNumberFormat="1" applyFont="1" applyFill="1" applyBorder="1" applyAlignment="1" applyProtection="1"/>
    <xf numFmtId="4" fontId="3" fillId="32" borderId="0" xfId="186" applyNumberFormat="1" applyFont="1" applyFill="1" applyProtection="1"/>
    <xf numFmtId="0" fontId="3" fillId="32" borderId="0" xfId="186" applyNumberFormat="1" applyFont="1" applyFill="1" applyAlignment="1" applyProtection="1">
      <alignment horizontal="center"/>
    </xf>
    <xf numFmtId="4" fontId="7" fillId="32" borderId="0" xfId="186" applyNumberFormat="1" applyFont="1" applyFill="1" applyProtection="1"/>
    <xf numFmtId="4" fontId="3" fillId="32" borderId="0" xfId="186" applyNumberFormat="1" applyFont="1" applyFill="1" applyAlignment="1" applyProtection="1">
      <alignment vertical="center"/>
    </xf>
    <xf numFmtId="4" fontId="3" fillId="32" borderId="0" xfId="186" applyNumberFormat="1" applyFont="1" applyFill="1" applyAlignment="1" applyProtection="1">
      <alignment horizontal="center" vertical="center"/>
    </xf>
    <xf numFmtId="165" fontId="3" fillId="32" borderId="0" xfId="186" applyNumberFormat="1" applyFont="1" applyFill="1" applyAlignment="1" applyProtection="1">
      <alignment vertical="center"/>
    </xf>
    <xf numFmtId="4" fontId="19" fillId="32" borderId="0" xfId="186" quotePrefix="1" applyNumberFormat="1" applyFont="1" applyFill="1" applyAlignment="1" applyProtection="1">
      <alignment vertical="center"/>
    </xf>
    <xf numFmtId="4" fontId="3" fillId="32" borderId="0" xfId="186" applyNumberFormat="1" applyFont="1" applyFill="1" applyAlignment="1" applyProtection="1">
      <alignment horizontal="center"/>
    </xf>
    <xf numFmtId="0" fontId="25" fillId="32" borderId="0" xfId="30" applyFont="1" applyFill="1" applyProtection="1"/>
    <xf numFmtId="0" fontId="3" fillId="32" borderId="11" xfId="30" applyFont="1" applyFill="1" applyBorder="1" applyAlignment="1" applyProtection="1">
      <alignment horizontal="center" vertical="center"/>
    </xf>
    <xf numFmtId="0" fontId="7" fillId="0" borderId="0" xfId="174" applyFont="1" applyFill="1" applyAlignment="1" applyProtection="1">
      <alignment horizontal="right" vertical="center"/>
    </xf>
    <xf numFmtId="0" fontId="21" fillId="0" borderId="0" xfId="174" applyFont="1" applyFill="1" applyAlignment="1" applyProtection="1">
      <alignment horizontal="right" vertical="center"/>
    </xf>
    <xf numFmtId="0" fontId="3" fillId="0" borderId="0" xfId="174" applyFont="1" applyFill="1" applyAlignment="1" applyProtection="1">
      <alignment vertical="center"/>
    </xf>
    <xf numFmtId="0" fontId="3" fillId="0" borderId="45" xfId="174" applyFont="1" applyFill="1" applyBorder="1" applyAlignment="1" applyProtection="1">
      <alignment vertical="center"/>
    </xf>
    <xf numFmtId="0" fontId="21" fillId="32" borderId="0" xfId="184" applyFont="1" applyFill="1" applyAlignment="1" applyProtection="1">
      <alignment vertical="center"/>
    </xf>
    <xf numFmtId="0" fontId="7" fillId="32" borderId="41" xfId="184" applyFont="1" applyFill="1" applyBorder="1" applyAlignment="1" applyProtection="1">
      <alignment vertical="center"/>
    </xf>
    <xf numFmtId="0" fontId="6" fillId="32" borderId="56" xfId="184" applyFont="1" applyFill="1" applyBorder="1" applyAlignment="1" applyProtection="1">
      <alignment horizontal="right" vertical="center"/>
    </xf>
    <xf numFmtId="0" fontId="3" fillId="32" borderId="0" xfId="184" applyFont="1" applyFill="1" applyAlignment="1" applyProtection="1">
      <alignment vertical="center"/>
    </xf>
    <xf numFmtId="0" fontId="4" fillId="32" borderId="38" xfId="171" applyFont="1" applyFill="1" applyBorder="1" applyAlignment="1" applyProtection="1">
      <alignment horizontal="center" vertical="center"/>
    </xf>
    <xf numFmtId="0" fontId="3" fillId="32" borderId="54" xfId="171" applyFont="1" applyFill="1" applyBorder="1" applyAlignment="1" applyProtection="1">
      <alignment vertical="center"/>
    </xf>
    <xf numFmtId="0" fontId="3" fillId="32" borderId="56" xfId="171" applyFont="1" applyFill="1" applyBorder="1" applyAlignment="1" applyProtection="1">
      <alignment vertical="center"/>
    </xf>
    <xf numFmtId="0" fontId="3" fillId="32" borderId="14" xfId="171" applyFont="1" applyFill="1" applyBorder="1" applyAlignment="1" applyProtection="1">
      <alignment vertical="center"/>
    </xf>
    <xf numFmtId="0" fontId="3" fillId="32" borderId="53" xfId="171" applyFont="1" applyFill="1" applyBorder="1" applyAlignment="1" applyProtection="1">
      <alignment vertical="center"/>
    </xf>
    <xf numFmtId="0" fontId="7" fillId="32" borderId="53" xfId="171" applyFont="1" applyFill="1" applyBorder="1" applyAlignment="1" applyProtection="1">
      <alignment horizontal="right" vertical="center"/>
    </xf>
    <xf numFmtId="0" fontId="7" fillId="32" borderId="54" xfId="171" applyFont="1" applyFill="1" applyBorder="1" applyAlignment="1" applyProtection="1">
      <alignment vertical="center"/>
    </xf>
    <xf numFmtId="0" fontId="7" fillId="32" borderId="56" xfId="171" applyFont="1" applyFill="1" applyBorder="1" applyAlignment="1" applyProtection="1">
      <alignment vertical="center"/>
    </xf>
    <xf numFmtId="0" fontId="7" fillId="32" borderId="14" xfId="171" applyFont="1" applyFill="1" applyBorder="1" applyAlignment="1" applyProtection="1">
      <alignment vertical="center"/>
    </xf>
    <xf numFmtId="0" fontId="3" fillId="32" borderId="54" xfId="171" applyFont="1" applyFill="1" applyBorder="1" applyAlignment="1" applyProtection="1">
      <alignment horizontal="right" vertical="center"/>
    </xf>
    <xf numFmtId="3" fontId="6" fillId="32" borderId="56" xfId="192" applyNumberFormat="1" applyFont="1" applyFill="1" applyBorder="1" applyAlignment="1" applyProtection="1">
      <alignment horizontal="right" vertical="center"/>
    </xf>
    <xf numFmtId="3" fontId="6" fillId="32" borderId="14" xfId="192" applyNumberFormat="1" applyFont="1" applyFill="1" applyBorder="1" applyAlignment="1" applyProtection="1">
      <alignment horizontal="right" vertical="center"/>
    </xf>
    <xf numFmtId="0" fontId="3" fillId="32" borderId="56" xfId="171" applyFont="1" applyFill="1" applyBorder="1" applyAlignment="1" applyProtection="1">
      <alignment horizontal="right" vertical="center"/>
    </xf>
    <xf numFmtId="0" fontId="3" fillId="32" borderId="14" xfId="171" applyFont="1" applyFill="1" applyBorder="1" applyAlignment="1" applyProtection="1">
      <alignment horizontal="right" vertical="center"/>
    </xf>
    <xf numFmtId="0" fontId="7" fillId="32" borderId="44" xfId="171" applyFont="1" applyFill="1" applyBorder="1" applyAlignment="1" applyProtection="1">
      <alignment horizontal="right" vertical="center"/>
    </xf>
    <xf numFmtId="0" fontId="7" fillId="32" borderId="0" xfId="171" applyFont="1" applyFill="1" applyBorder="1" applyAlignment="1" applyProtection="1">
      <alignment vertical="center" wrapText="1"/>
    </xf>
    <xf numFmtId="3" fontId="6" fillId="32" borderId="40" xfId="192" applyNumberFormat="1" applyFont="1" applyFill="1" applyBorder="1" applyAlignment="1" applyProtection="1">
      <alignment horizontal="right" vertical="center"/>
    </xf>
    <xf numFmtId="0" fontId="7" fillId="32" borderId="34" xfId="171" applyFont="1" applyFill="1" applyBorder="1" applyAlignment="1" applyProtection="1">
      <alignment horizontal="right" vertical="center"/>
    </xf>
    <xf numFmtId="0" fontId="7" fillId="32" borderId="47" xfId="171" applyFont="1" applyFill="1" applyBorder="1" applyAlignment="1" applyProtection="1">
      <alignment vertical="center" wrapText="1"/>
    </xf>
    <xf numFmtId="3" fontId="6" fillId="32" borderId="39" xfId="192" applyNumberFormat="1" applyFont="1" applyFill="1" applyBorder="1" applyAlignment="1" applyProtection="1">
      <alignment horizontal="right" vertical="center"/>
    </xf>
    <xf numFmtId="0" fontId="3" fillId="32" borderId="0" xfId="171" applyFont="1" applyFill="1" applyAlignment="1" applyProtection="1">
      <alignment vertical="center"/>
    </xf>
    <xf numFmtId="0" fontId="3" fillId="32" borderId="0" xfId="0" applyFont="1" applyFill="1" applyBorder="1" applyAlignment="1" applyProtection="1">
      <alignment vertical="center" wrapText="1"/>
    </xf>
    <xf numFmtId="0" fontId="25" fillId="32" borderId="0" xfId="30" quotePrefix="1" applyFont="1" applyFill="1" applyProtection="1"/>
    <xf numFmtId="0" fontId="7" fillId="0" borderId="25" xfId="174" applyFont="1" applyFill="1" applyBorder="1" applyAlignment="1" applyProtection="1">
      <alignment horizontal="center" vertical="center" wrapText="1"/>
    </xf>
    <xf numFmtId="14" fontId="7" fillId="0" borderId="0" xfId="171" applyNumberFormat="1" applyFont="1" applyFill="1" applyProtection="1"/>
    <xf numFmtId="4" fontId="5" fillId="32" borderId="16" xfId="186" applyNumberFormat="1" applyFont="1" applyFill="1" applyBorder="1" applyAlignment="1" applyProtection="1">
      <alignment horizontal="center" vertical="center"/>
    </xf>
    <xf numFmtId="4" fontId="5" fillId="32" borderId="0" xfId="186" applyNumberFormat="1" applyFont="1" applyFill="1" applyBorder="1" applyAlignment="1" applyProtection="1">
      <alignment horizontal="center" vertical="center"/>
    </xf>
    <xf numFmtId="4" fontId="5" fillId="32" borderId="17" xfId="186" applyNumberFormat="1" applyFont="1" applyFill="1" applyBorder="1" applyAlignment="1" applyProtection="1">
      <alignment horizontal="center" vertical="center"/>
    </xf>
    <xf numFmtId="4" fontId="7" fillId="32" borderId="66" xfId="186" applyNumberFormat="1" applyFont="1" applyFill="1" applyBorder="1" applyAlignment="1" applyProtection="1">
      <alignment horizontal="center" vertical="center" wrapText="1"/>
    </xf>
    <xf numFmtId="165" fontId="5" fillId="32" borderId="17" xfId="186" applyNumberFormat="1" applyFont="1" applyFill="1" applyBorder="1" applyAlignment="1" applyProtection="1">
      <alignment vertical="center"/>
    </xf>
    <xf numFmtId="165" fontId="3" fillId="32" borderId="17" xfId="186" applyNumberFormat="1" applyFont="1" applyFill="1" applyBorder="1" applyAlignment="1" applyProtection="1">
      <alignment vertical="center"/>
    </xf>
    <xf numFmtId="165" fontId="3" fillId="32" borderId="17" xfId="186" applyNumberFormat="1" applyFont="1" applyFill="1" applyBorder="1" applyProtection="1"/>
    <xf numFmtId="165" fontId="6" fillId="32" borderId="17" xfId="186" applyNumberFormat="1" applyFont="1" applyFill="1" applyBorder="1" applyAlignment="1" applyProtection="1">
      <alignment vertical="center"/>
    </xf>
    <xf numFmtId="165" fontId="3" fillId="32" borderId="65" xfId="186" applyNumberFormat="1" applyFont="1" applyFill="1" applyBorder="1" applyAlignment="1" applyProtection="1">
      <alignment vertical="center"/>
    </xf>
    <xf numFmtId="165" fontId="4" fillId="32" borderId="20" xfId="186" applyNumberFormat="1" applyFont="1" applyFill="1" applyBorder="1" applyAlignment="1" applyProtection="1">
      <alignment vertical="center"/>
    </xf>
    <xf numFmtId="165" fontId="17" fillId="32" borderId="17" xfId="186" applyNumberFormat="1" applyFont="1" applyFill="1" applyBorder="1" applyAlignment="1" applyProtection="1">
      <alignment vertical="center"/>
    </xf>
    <xf numFmtId="165" fontId="7" fillId="32" borderId="0" xfId="186" applyNumberFormat="1" applyFont="1" applyFill="1" applyAlignment="1" applyProtection="1">
      <alignment vertical="center"/>
    </xf>
    <xf numFmtId="0" fontId="3" fillId="32" borderId="42" xfId="174" applyFont="1" applyFill="1" applyBorder="1" applyAlignment="1" applyProtection="1">
      <alignment vertical="center"/>
    </xf>
    <xf numFmtId="0" fontId="3" fillId="32" borderId="45" xfId="174" applyFont="1" applyFill="1" applyBorder="1" applyAlignment="1" applyProtection="1">
      <alignment vertical="center" wrapText="1"/>
    </xf>
    <xf numFmtId="0" fontId="64" fillId="32" borderId="0" xfId="186" applyFont="1" applyFill="1" applyProtection="1"/>
    <xf numFmtId="0" fontId="64" fillId="32" borderId="0" xfId="0" applyFont="1" applyFill="1" applyAlignment="1" applyProtection="1">
      <alignment vertical="top"/>
    </xf>
    <xf numFmtId="165" fontId="7" fillId="32" borderId="69" xfId="192" applyNumberFormat="1" applyFont="1" applyFill="1" applyBorder="1" applyAlignment="1" applyProtection="1">
      <alignment vertical="center"/>
    </xf>
    <xf numFmtId="165" fontId="3" fillId="32" borderId="69" xfId="192" applyNumberFormat="1" applyFont="1" applyFill="1" applyBorder="1" applyAlignment="1" applyProtection="1">
      <alignment vertical="center"/>
    </xf>
    <xf numFmtId="167" fontId="7" fillId="32" borderId="69" xfId="192" applyNumberFormat="1" applyFont="1" applyFill="1" applyBorder="1" applyAlignment="1" applyProtection="1">
      <alignment vertical="center"/>
    </xf>
    <xf numFmtId="165" fontId="7" fillId="32" borderId="72" xfId="171" applyNumberFormat="1" applyFont="1" applyFill="1" applyBorder="1" applyAlignment="1" applyProtection="1">
      <alignment vertical="center"/>
    </xf>
    <xf numFmtId="0" fontId="3" fillId="32" borderId="72" xfId="171" applyFont="1" applyFill="1" applyBorder="1" applyAlignment="1" applyProtection="1">
      <alignment vertical="center"/>
    </xf>
    <xf numFmtId="3" fontId="6" fillId="32" borderId="13" xfId="192" applyNumberFormat="1" applyFont="1" applyFill="1" applyBorder="1" applyAlignment="1" applyProtection="1">
      <alignment horizontal="right" vertical="center"/>
    </xf>
    <xf numFmtId="165" fontId="7" fillId="32" borderId="60" xfId="192" applyNumberFormat="1" applyFont="1" applyFill="1" applyBorder="1" applyAlignment="1" applyProtection="1">
      <alignment horizontal="right" vertical="center"/>
    </xf>
    <xf numFmtId="165" fontId="7" fillId="32" borderId="75" xfId="192" applyNumberFormat="1" applyFont="1" applyFill="1" applyBorder="1" applyAlignment="1" applyProtection="1">
      <alignment horizontal="right" vertical="center"/>
    </xf>
    <xf numFmtId="165" fontId="7" fillId="32" borderId="76" xfId="171" applyNumberFormat="1" applyFont="1" applyFill="1" applyBorder="1" applyAlignment="1" applyProtection="1">
      <alignment vertical="center"/>
    </xf>
    <xf numFmtId="0" fontId="3" fillId="32" borderId="76" xfId="171" applyFont="1" applyFill="1" applyBorder="1" applyAlignment="1" applyProtection="1">
      <alignment vertical="center"/>
    </xf>
    <xf numFmtId="165" fontId="3" fillId="32" borderId="76" xfId="171" applyNumberFormat="1" applyFont="1" applyFill="1" applyBorder="1" applyAlignment="1" applyProtection="1">
      <alignment vertical="center"/>
    </xf>
    <xf numFmtId="3" fontId="6" fillId="32" borderId="76" xfId="192" applyNumberFormat="1" applyFont="1" applyFill="1" applyBorder="1" applyAlignment="1" applyProtection="1">
      <alignment horizontal="right" vertical="center"/>
    </xf>
    <xf numFmtId="0" fontId="3" fillId="32" borderId="76" xfId="171" applyFont="1" applyFill="1" applyBorder="1" applyAlignment="1" applyProtection="1">
      <alignment horizontal="right" vertical="center"/>
    </xf>
    <xf numFmtId="165" fontId="3" fillId="29" borderId="76" xfId="171" applyNumberFormat="1" applyFont="1" applyFill="1" applyBorder="1" applyAlignment="1" applyProtection="1">
      <alignment vertical="center"/>
    </xf>
    <xf numFmtId="3" fontId="6" fillId="32" borderId="77" xfId="192" applyNumberFormat="1" applyFont="1" applyFill="1" applyBorder="1" applyAlignment="1" applyProtection="1">
      <alignment horizontal="right" vertical="center"/>
    </xf>
    <xf numFmtId="165" fontId="7" fillId="32" borderId="25" xfId="192" applyNumberFormat="1" applyFont="1" applyFill="1" applyBorder="1" applyAlignment="1" applyProtection="1">
      <alignment horizontal="right" vertical="center"/>
    </xf>
    <xf numFmtId="0" fontId="7" fillId="32" borderId="25" xfId="0" applyFont="1" applyFill="1" applyBorder="1" applyProtection="1"/>
    <xf numFmtId="0" fontId="52" fillId="29" borderId="11" xfId="13" applyFont="1" applyFill="1" applyBorder="1" applyAlignment="1" applyProtection="1">
      <alignment horizontal="center" vertical="center"/>
    </xf>
    <xf numFmtId="0" fontId="18" fillId="0" borderId="0" xfId="13" applyAlignment="1" applyProtection="1">
      <alignment horizontal="center" vertical="center"/>
    </xf>
    <xf numFmtId="3" fontId="6" fillId="32" borderId="53" xfId="192" applyNumberFormat="1" applyFont="1" applyFill="1" applyBorder="1" applyAlignment="1" applyProtection="1">
      <alignment horizontal="right" vertical="center"/>
    </xf>
    <xf numFmtId="0" fontId="3" fillId="32" borderId="53" xfId="171" applyFont="1" applyFill="1" applyBorder="1" applyAlignment="1" applyProtection="1">
      <alignment horizontal="right" vertical="center"/>
    </xf>
    <xf numFmtId="0" fontId="3" fillId="32" borderId="41" xfId="171" applyFont="1" applyFill="1" applyBorder="1" applyAlignment="1" applyProtection="1">
      <alignment horizontal="right" vertical="center"/>
    </xf>
    <xf numFmtId="165" fontId="3" fillId="29" borderId="41" xfId="192" applyNumberFormat="1" applyFont="1" applyFill="1" applyBorder="1" applyAlignment="1" applyProtection="1">
      <alignment vertical="center"/>
    </xf>
    <xf numFmtId="0" fontId="7" fillId="32" borderId="11" xfId="0" applyFont="1" applyFill="1" applyBorder="1" applyAlignment="1" applyProtection="1">
      <alignment horizontal="center" vertical="center" wrapText="1"/>
    </xf>
    <xf numFmtId="0" fontId="0" fillId="32" borderId="0" xfId="0" applyFill="1" applyAlignment="1" applyProtection="1">
      <alignment vertical="center"/>
    </xf>
    <xf numFmtId="0" fontId="0" fillId="32" borderId="11" xfId="0" applyFill="1" applyBorder="1" applyAlignment="1" applyProtection="1">
      <alignment vertical="center"/>
    </xf>
    <xf numFmtId="4" fontId="7" fillId="32" borderId="11" xfId="0" applyNumberFormat="1" applyFont="1" applyFill="1" applyBorder="1" applyAlignment="1" applyProtection="1">
      <alignment horizontal="right" vertical="center"/>
    </xf>
    <xf numFmtId="0" fontId="7" fillId="38" borderId="11" xfId="0" applyFont="1" applyFill="1" applyBorder="1" applyAlignment="1" applyProtection="1">
      <alignment vertical="center"/>
    </xf>
    <xf numFmtId="4" fontId="7" fillId="38" borderId="11" xfId="0" applyNumberFormat="1" applyFont="1" applyFill="1" applyBorder="1" applyAlignment="1" applyProtection="1">
      <alignment horizontal="center" vertical="center"/>
    </xf>
    <xf numFmtId="0" fontId="7" fillId="38" borderId="11" xfId="0" applyFont="1" applyFill="1" applyBorder="1" applyAlignment="1" applyProtection="1">
      <alignment horizontal="center" vertical="center"/>
    </xf>
    <xf numFmtId="0" fontId="19" fillId="38" borderId="11" xfId="0" applyFont="1" applyFill="1" applyBorder="1" applyAlignment="1" applyProtection="1">
      <alignment vertical="center"/>
    </xf>
    <xf numFmtId="4" fontId="19" fillId="38" borderId="11" xfId="0" applyNumberFormat="1" applyFont="1" applyFill="1" applyBorder="1" applyAlignment="1" applyProtection="1">
      <alignment vertical="center"/>
    </xf>
    <xf numFmtId="0" fontId="6" fillId="32" borderId="11" xfId="0" applyFont="1" applyFill="1" applyBorder="1" applyAlignment="1" applyProtection="1">
      <alignment horizontal="left" vertical="center" wrapText="1" indent="2"/>
    </xf>
    <xf numFmtId="0" fontId="0" fillId="32" borderId="0" xfId="0" applyFill="1" applyAlignment="1" applyProtection="1">
      <alignment horizontal="left" vertical="center"/>
    </xf>
    <xf numFmtId="4" fontId="6" fillId="32" borderId="11" xfId="192" applyNumberFormat="1" applyFont="1" applyFill="1" applyBorder="1" applyAlignment="1" applyProtection="1">
      <alignment vertical="center"/>
    </xf>
    <xf numFmtId="0" fontId="3" fillId="32" borderId="0" xfId="30" applyFill="1" applyAlignment="1" applyProtection="1">
      <alignment vertical="center"/>
    </xf>
    <xf numFmtId="0" fontId="3" fillId="0" borderId="0" xfId="30" applyAlignment="1" applyProtection="1">
      <alignment vertical="center"/>
    </xf>
    <xf numFmtId="0" fontId="0" fillId="32" borderId="11" xfId="0" applyFont="1" applyFill="1" applyBorder="1" applyAlignment="1" applyProtection="1">
      <alignment vertical="center" wrapText="1"/>
    </xf>
    <xf numFmtId="10" fontId="6" fillId="32" borderId="11" xfId="121" applyNumberFormat="1" applyFont="1" applyFill="1" applyBorder="1" applyAlignment="1" applyProtection="1">
      <alignment horizontal="right" vertical="center"/>
    </xf>
    <xf numFmtId="0" fontId="19" fillId="32" borderId="11" xfId="0" applyFont="1" applyFill="1" applyBorder="1" applyAlignment="1" applyProtection="1">
      <alignment vertical="center"/>
    </xf>
    <xf numFmtId="4" fontId="7" fillId="0" borderId="11" xfId="186" applyNumberFormat="1" applyFont="1" applyBorder="1" applyAlignment="1" applyProtection="1">
      <alignment horizontal="left" vertical="center" wrapText="1"/>
    </xf>
    <xf numFmtId="165" fontId="7" fillId="0" borderId="11" xfId="192" applyNumberFormat="1" applyFont="1" applyFill="1" applyBorder="1" applyAlignment="1" applyProtection="1">
      <alignment vertical="center"/>
    </xf>
    <xf numFmtId="0" fontId="0" fillId="32" borderId="11" xfId="0" applyFill="1" applyBorder="1" applyAlignment="1" applyProtection="1">
      <alignment horizontal="left" vertical="center"/>
    </xf>
    <xf numFmtId="165" fontId="7" fillId="35" borderId="11" xfId="0" applyNumberFormat="1" applyFont="1" applyFill="1" applyBorder="1" applyAlignment="1" applyProtection="1">
      <alignment horizontal="left" vertical="center"/>
    </xf>
    <xf numFmtId="0" fontId="0" fillId="32" borderId="0" xfId="0" applyFont="1" applyFill="1" applyAlignment="1" applyProtection="1">
      <alignment horizontal="left" vertical="center"/>
    </xf>
    <xf numFmtId="165" fontId="7" fillId="32" borderId="11" xfId="0" quotePrefix="1" applyNumberFormat="1" applyFont="1" applyFill="1" applyBorder="1" applyAlignment="1" applyProtection="1">
      <alignment horizontal="right" vertical="center"/>
    </xf>
    <xf numFmtId="165" fontId="6" fillId="32" borderId="11" xfId="192" applyNumberFormat="1" applyFont="1" applyFill="1" applyBorder="1" applyAlignment="1" applyProtection="1">
      <alignment vertical="center"/>
    </xf>
    <xf numFmtId="0" fontId="5" fillId="30" borderId="41" xfId="174" applyFont="1" applyFill="1" applyBorder="1" applyAlignment="1" applyProtection="1">
      <alignment vertical="center"/>
    </xf>
    <xf numFmtId="0" fontId="6" fillId="32" borderId="11" xfId="0" applyFont="1" applyFill="1" applyBorder="1" applyAlignment="1" applyProtection="1">
      <alignment horizontal="left" vertical="center" wrapText="1"/>
    </xf>
    <xf numFmtId="0" fontId="18" fillId="32" borderId="11" xfId="13" applyNumberFormat="1" applyFill="1" applyBorder="1" applyAlignment="1" applyProtection="1">
      <alignment horizontal="left" vertical="center"/>
    </xf>
    <xf numFmtId="0" fontId="6" fillId="32" borderId="11" xfId="192" applyNumberFormat="1" applyFont="1" applyFill="1" applyBorder="1" applyAlignment="1" applyProtection="1">
      <alignment horizontal="center" vertical="center"/>
    </xf>
    <xf numFmtId="0" fontId="18" fillId="32" borderId="11" xfId="13" applyNumberFormat="1" applyFill="1" applyBorder="1" applyAlignment="1" applyProtection="1">
      <alignment horizontal="center" vertical="center"/>
    </xf>
    <xf numFmtId="0" fontId="3" fillId="32" borderId="11" xfId="192" applyNumberFormat="1" applyFont="1" applyFill="1" applyBorder="1" applyAlignment="1" applyProtection="1">
      <alignment horizontal="center" vertical="center"/>
    </xf>
    <xf numFmtId="165" fontId="3" fillId="31" borderId="11" xfId="192" applyNumberFormat="1" applyFont="1" applyFill="1" applyBorder="1" applyAlignment="1" applyProtection="1">
      <alignment vertical="center"/>
      <protection locked="0"/>
    </xf>
    <xf numFmtId="165" fontId="3" fillId="32" borderId="11" xfId="192" applyNumberFormat="1" applyFont="1" applyFill="1" applyBorder="1" applyAlignment="1" applyProtection="1">
      <alignment vertical="center"/>
    </xf>
    <xf numFmtId="0" fontId="7" fillId="32" borderId="0" xfId="171" applyFont="1" applyFill="1" applyAlignment="1" applyProtection="1"/>
    <xf numFmtId="0" fontId="0" fillId="32" borderId="0" xfId="0" applyFill="1"/>
    <xf numFmtId="0" fontId="7" fillId="32" borderId="11" xfId="0" applyFont="1" applyFill="1" applyBorder="1" applyAlignment="1" applyProtection="1">
      <alignment vertical="center" wrapText="1"/>
    </xf>
    <xf numFmtId="0" fontId="6" fillId="35" borderId="11" xfId="0" applyFont="1" applyFill="1" applyBorder="1" applyAlignment="1" applyProtection="1">
      <alignment horizontal="center" vertical="center" wrapText="1"/>
    </xf>
    <xf numFmtId="165" fontId="7" fillId="32" borderId="11" xfId="192" applyNumberFormat="1" applyFont="1" applyFill="1" applyBorder="1" applyAlignment="1" applyProtection="1">
      <alignment horizontal="right" vertical="center"/>
    </xf>
    <xf numFmtId="0" fontId="0" fillId="32" borderId="11" xfId="0" applyFont="1" applyFill="1" applyBorder="1" applyAlignment="1" applyProtection="1">
      <alignment horizontal="center" vertical="center" wrapText="1"/>
    </xf>
    <xf numFmtId="0" fontId="3" fillId="32" borderId="29" xfId="192" applyNumberFormat="1" applyFont="1" applyFill="1" applyBorder="1" applyAlignment="1" applyProtection="1">
      <alignment horizontal="center" vertical="center"/>
    </xf>
    <xf numFmtId="0" fontId="6" fillId="32" borderId="29" xfId="192" applyNumberFormat="1" applyFont="1" applyFill="1" applyBorder="1" applyAlignment="1" applyProtection="1">
      <alignment horizontal="center" vertical="center"/>
    </xf>
    <xf numFmtId="0" fontId="52" fillId="29" borderId="28" xfId="13" applyFont="1" applyFill="1" applyBorder="1" applyAlignment="1" applyProtection="1">
      <alignment horizontal="center" vertical="center"/>
    </xf>
    <xf numFmtId="165" fontId="3" fillId="32" borderId="11" xfId="192" applyNumberFormat="1" applyFont="1" applyFill="1" applyBorder="1" applyAlignment="1" applyProtection="1">
      <alignment vertical="center"/>
      <protection locked="0"/>
    </xf>
    <xf numFmtId="165" fontId="6" fillId="32" borderId="11" xfId="192" applyNumberFormat="1" applyFont="1" applyFill="1" applyBorder="1" applyAlignment="1" applyProtection="1">
      <alignment horizontal="right" vertical="center"/>
      <protection locked="0"/>
    </xf>
    <xf numFmtId="0" fontId="64" fillId="32" borderId="0" xfId="0" applyFont="1" applyFill="1" applyAlignment="1" applyProtection="1">
      <alignment vertical="center"/>
    </xf>
    <xf numFmtId="0" fontId="64" fillId="32" borderId="0" xfId="0" applyFont="1" applyFill="1" applyAlignment="1" applyProtection="1">
      <alignment horizontal="center" vertical="center"/>
    </xf>
    <xf numFmtId="0" fontId="73" fillId="32" borderId="0" xfId="0" applyFont="1" applyFill="1" applyAlignment="1" applyProtection="1">
      <alignment vertical="center"/>
    </xf>
    <xf numFmtId="0" fontId="0" fillId="32" borderId="0" xfId="0" applyFont="1" applyFill="1" applyAlignment="1" applyProtection="1">
      <alignment vertical="center"/>
    </xf>
    <xf numFmtId="4" fontId="3" fillId="31" borderId="11" xfId="192" applyNumberFormat="1" applyFont="1" applyFill="1" applyBorder="1" applyAlignment="1" applyProtection="1">
      <alignment vertical="center"/>
      <protection locked="0"/>
    </xf>
    <xf numFmtId="4" fontId="7" fillId="32" borderId="11" xfId="0" applyNumberFormat="1" applyFont="1" applyFill="1" applyBorder="1" applyProtection="1"/>
    <xf numFmtId="165" fontId="6" fillId="0" borderId="11" xfId="192" applyNumberFormat="1" applyFont="1" applyFill="1" applyBorder="1" applyAlignment="1" applyProtection="1">
      <alignment horizontal="right" vertical="center"/>
    </xf>
    <xf numFmtId="0" fontId="7" fillId="32" borderId="11" xfId="0" applyFont="1" applyFill="1" applyBorder="1" applyAlignment="1" applyProtection="1">
      <alignment horizontal="left" vertical="center" wrapText="1"/>
    </xf>
    <xf numFmtId="0" fontId="7" fillId="32" borderId="92" xfId="184" applyFont="1" applyFill="1" applyBorder="1" applyAlignment="1" applyProtection="1">
      <alignment horizontal="center" vertical="center" wrapText="1"/>
    </xf>
    <xf numFmtId="0" fontId="4" fillId="32" borderId="14" xfId="171" applyFont="1" applyFill="1" applyBorder="1" applyAlignment="1" applyProtection="1">
      <alignment horizontal="center" vertical="center"/>
    </xf>
    <xf numFmtId="0" fontId="7" fillId="32" borderId="80" xfId="171" applyFont="1" applyFill="1" applyBorder="1" applyAlignment="1" applyProtection="1">
      <alignment horizontal="center" vertical="center" wrapText="1"/>
    </xf>
    <xf numFmtId="0" fontId="0" fillId="32" borderId="0" xfId="0" applyFill="1" applyAlignment="1" applyProtection="1">
      <alignment horizontal="center" vertical="center"/>
    </xf>
    <xf numFmtId="0" fontId="0" fillId="32" borderId="0" xfId="0" applyFill="1" applyAlignment="1" applyProtection="1">
      <alignment horizontal="right" vertical="center"/>
    </xf>
    <xf numFmtId="0" fontId="6" fillId="32" borderId="0" xfId="192" applyNumberFormat="1" applyFont="1" applyFill="1" applyBorder="1" applyAlignment="1" applyProtection="1">
      <alignment horizontal="center" vertical="center"/>
    </xf>
    <xf numFmtId="0" fontId="6" fillId="32" borderId="0" xfId="0" applyFont="1" applyFill="1" applyAlignment="1" applyProtection="1">
      <alignment horizontal="left" vertical="center"/>
    </xf>
    <xf numFmtId="0" fontId="6" fillId="32" borderId="0" xfId="0" applyFont="1" applyFill="1" applyAlignment="1" applyProtection="1">
      <alignment vertical="center"/>
    </xf>
    <xf numFmtId="0" fontId="6" fillId="32" borderId="0" xfId="0" applyFont="1" applyFill="1" applyAlignment="1" applyProtection="1">
      <alignment horizontal="center" vertical="center"/>
    </xf>
    <xf numFmtId="0" fontId="6" fillId="32" borderId="0" xfId="0" applyFont="1" applyFill="1" applyBorder="1" applyAlignment="1" applyProtection="1">
      <alignment vertical="center"/>
    </xf>
    <xf numFmtId="0" fontId="6" fillId="0" borderId="0" xfId="0" applyFont="1" applyAlignment="1" applyProtection="1">
      <alignment vertical="center"/>
    </xf>
    <xf numFmtId="0" fontId="7" fillId="32" borderId="0" xfId="0" applyFont="1" applyFill="1" applyBorder="1" applyAlignment="1" applyProtection="1">
      <alignment horizontal="center" vertical="center" wrapText="1"/>
    </xf>
    <xf numFmtId="0" fontId="20" fillId="32" borderId="0" xfId="186" applyFont="1" applyFill="1" applyAlignment="1" applyProtection="1">
      <alignment vertical="center"/>
    </xf>
    <xf numFmtId="0" fontId="76" fillId="32" borderId="0" xfId="186" applyFont="1" applyFill="1" applyAlignment="1" applyProtection="1">
      <alignment vertical="center"/>
    </xf>
    <xf numFmtId="0" fontId="75" fillId="32" borderId="0" xfId="30" applyFont="1" applyFill="1" applyAlignment="1" applyProtection="1">
      <alignment vertical="center"/>
    </xf>
    <xf numFmtId="0" fontId="21" fillId="32" borderId="0" xfId="186" applyFont="1" applyFill="1" applyAlignment="1" applyProtection="1">
      <alignment vertical="center"/>
    </xf>
    <xf numFmtId="0" fontId="58" fillId="32" borderId="0" xfId="186" applyFont="1" applyFill="1" applyAlignment="1" applyProtection="1">
      <alignment vertical="center"/>
    </xf>
    <xf numFmtId="0" fontId="74" fillId="32" borderId="0" xfId="186" applyFont="1" applyFill="1" applyAlignment="1" applyProtection="1">
      <alignment vertical="center"/>
    </xf>
    <xf numFmtId="0" fontId="22" fillId="32" borderId="0" xfId="30" applyFont="1" applyFill="1" applyAlignment="1" applyProtection="1">
      <alignment horizontal="center" vertical="center"/>
    </xf>
    <xf numFmtId="0" fontId="78" fillId="32" borderId="0" xfId="30" applyFont="1" applyFill="1" applyAlignment="1" applyProtection="1">
      <alignment horizontal="center" vertical="center"/>
    </xf>
    <xf numFmtId="0" fontId="64" fillId="32" borderId="0" xfId="30" applyFont="1" applyFill="1" applyAlignment="1" applyProtection="1">
      <alignment vertical="center"/>
    </xf>
    <xf numFmtId="0" fontId="7" fillId="32" borderId="60" xfId="30" applyFont="1" applyFill="1" applyBorder="1" applyAlignment="1" applyProtection="1">
      <alignment horizontal="center" vertical="center"/>
    </xf>
    <xf numFmtId="0" fontId="7" fillId="32" borderId="82" xfId="30" applyFont="1" applyFill="1" applyBorder="1" applyAlignment="1" applyProtection="1">
      <alignment horizontal="center" vertical="center"/>
    </xf>
    <xf numFmtId="0" fontId="3" fillId="32" borderId="0" xfId="30" applyFont="1" applyFill="1" applyAlignment="1" applyProtection="1">
      <alignment vertical="center"/>
    </xf>
    <xf numFmtId="0" fontId="6" fillId="32" borderId="0" xfId="30" quotePrefix="1" applyFont="1" applyFill="1" applyAlignment="1" applyProtection="1">
      <alignment vertical="center"/>
    </xf>
    <xf numFmtId="4" fontId="24" fillId="32" borderId="0" xfId="30" applyNumberFormat="1" applyFont="1" applyFill="1" applyBorder="1" applyAlignment="1" applyProtection="1">
      <alignment vertical="center"/>
    </xf>
    <xf numFmtId="0" fontId="6" fillId="32" borderId="0" xfId="30" applyFont="1" applyFill="1" applyAlignment="1" applyProtection="1">
      <alignment vertical="center"/>
    </xf>
    <xf numFmtId="0" fontId="25" fillId="32" borderId="0" xfId="30" applyFont="1" applyFill="1" applyAlignment="1" applyProtection="1">
      <alignment vertical="center"/>
    </xf>
    <xf numFmtId="0" fontId="3" fillId="32" borderId="33" xfId="30" applyFont="1" applyFill="1" applyBorder="1" applyAlignment="1" applyProtection="1">
      <alignment horizontal="center" vertical="center"/>
    </xf>
    <xf numFmtId="0" fontId="3" fillId="32" borderId="33" xfId="30" applyFill="1" applyBorder="1" applyAlignment="1" applyProtection="1">
      <alignment horizontal="center" vertical="center"/>
    </xf>
    <xf numFmtId="0" fontId="3" fillId="32" borderId="11" xfId="30" applyFill="1" applyBorder="1" applyAlignment="1" applyProtection="1">
      <alignment horizontal="center" vertical="center"/>
    </xf>
    <xf numFmtId="0" fontId="3" fillId="32" borderId="28" xfId="30" quotePrefix="1" applyFill="1" applyBorder="1" applyAlignment="1" applyProtection="1">
      <alignment horizontal="center" vertical="center"/>
    </xf>
    <xf numFmtId="1" fontId="3" fillId="0" borderId="29" xfId="30" applyNumberFormat="1" applyBorder="1" applyAlignment="1" applyProtection="1">
      <alignment horizontal="center" vertical="center"/>
    </xf>
    <xf numFmtId="4" fontId="3" fillId="32" borderId="32" xfId="30" applyNumberFormat="1" applyFont="1" applyFill="1" applyBorder="1" applyAlignment="1" applyProtection="1">
      <alignment vertical="center"/>
    </xf>
    <xf numFmtId="4" fontId="3" fillId="32" borderId="35" xfId="30" applyNumberFormat="1" applyFont="1" applyFill="1" applyBorder="1" applyAlignment="1" applyProtection="1">
      <alignment vertical="center"/>
    </xf>
    <xf numFmtId="4" fontId="3" fillId="32" borderId="0" xfId="30" applyNumberFormat="1" applyFill="1" applyAlignment="1" applyProtection="1">
      <alignment vertical="center"/>
    </xf>
    <xf numFmtId="4" fontId="59" fillId="32" borderId="11" xfId="30" applyNumberFormat="1" applyFont="1" applyFill="1" applyBorder="1" applyAlignment="1" applyProtection="1">
      <alignment vertical="center"/>
    </xf>
    <xf numFmtId="1" fontId="3" fillId="0" borderId="37" xfId="30" applyNumberFormat="1" applyBorder="1" applyAlignment="1" applyProtection="1">
      <alignment horizontal="center" vertical="center"/>
    </xf>
    <xf numFmtId="4" fontId="3" fillId="32" borderId="11" xfId="192" applyNumberFormat="1" applyFont="1" applyFill="1" applyBorder="1" applyAlignment="1" applyProtection="1">
      <alignment vertical="center"/>
    </xf>
    <xf numFmtId="4" fontId="3" fillId="32" borderId="0" xfId="30" applyNumberFormat="1" applyFont="1" applyFill="1" applyBorder="1" applyAlignment="1" applyProtection="1">
      <alignment vertical="center"/>
    </xf>
    <xf numFmtId="4" fontId="3" fillId="32" borderId="36" xfId="30" applyNumberFormat="1" applyFont="1" applyFill="1" applyBorder="1" applyAlignment="1" applyProtection="1">
      <alignment vertical="center"/>
    </xf>
    <xf numFmtId="4" fontId="3" fillId="32" borderId="83" xfId="30" applyNumberFormat="1" applyFont="1" applyFill="1" applyBorder="1" applyAlignment="1" applyProtection="1">
      <alignment vertical="center"/>
    </xf>
    <xf numFmtId="4" fontId="3" fillId="32" borderId="0" xfId="192" applyNumberFormat="1" applyFont="1" applyFill="1" applyBorder="1" applyAlignment="1" applyProtection="1">
      <alignment vertical="center"/>
    </xf>
    <xf numFmtId="4" fontId="3" fillId="32" borderId="37" xfId="192" applyNumberFormat="1" applyFont="1" applyFill="1" applyBorder="1" applyAlignment="1" applyProtection="1">
      <alignment vertical="center"/>
    </xf>
    <xf numFmtId="4" fontId="60" fillId="32" borderId="37" xfId="30" applyNumberFormat="1" applyFont="1" applyFill="1" applyBorder="1" applyAlignment="1" applyProtection="1">
      <alignment vertical="center"/>
    </xf>
    <xf numFmtId="4" fontId="27" fillId="32" borderId="0" xfId="30" applyNumberFormat="1" applyFont="1" applyFill="1" applyAlignment="1" applyProtection="1">
      <alignment vertical="center"/>
    </xf>
    <xf numFmtId="4" fontId="61" fillId="32" borderId="11" xfId="30" applyNumberFormat="1" applyFont="1" applyFill="1" applyBorder="1" applyAlignment="1" applyProtection="1">
      <alignment vertical="center"/>
    </xf>
    <xf numFmtId="0" fontId="27" fillId="32" borderId="0" xfId="30" applyFont="1" applyFill="1" applyAlignment="1" applyProtection="1">
      <alignment vertical="center"/>
    </xf>
    <xf numFmtId="0" fontId="27" fillId="0" borderId="0" xfId="30" applyFont="1" applyAlignment="1" applyProtection="1">
      <alignment vertical="center"/>
    </xf>
    <xf numFmtId="4" fontId="62" fillId="32" borderId="0" xfId="30" applyNumberFormat="1" applyFont="1" applyFill="1" applyAlignment="1" applyProtection="1">
      <alignment horizontal="left" vertical="center"/>
    </xf>
    <xf numFmtId="4" fontId="62" fillId="32" borderId="0" xfId="30" applyNumberFormat="1" applyFont="1" applyFill="1" applyAlignment="1" applyProtection="1">
      <alignment horizontal="right" vertical="center"/>
    </xf>
    <xf numFmtId="0" fontId="6" fillId="0" borderId="0" xfId="30" applyFont="1" applyAlignment="1" applyProtection="1">
      <alignment vertical="center"/>
    </xf>
    <xf numFmtId="1" fontId="3" fillId="0" borderId="26" xfId="30" applyNumberFormat="1" applyBorder="1" applyAlignment="1" applyProtection="1">
      <alignment horizontal="center" vertical="center"/>
    </xf>
    <xf numFmtId="4" fontId="3" fillId="32" borderId="0" xfId="30" applyNumberFormat="1" applyFill="1" applyBorder="1" applyAlignment="1" applyProtection="1">
      <alignment vertical="center"/>
    </xf>
    <xf numFmtId="4" fontId="3" fillId="32" borderId="35" xfId="30" applyNumberFormat="1" applyFill="1" applyBorder="1" applyAlignment="1" applyProtection="1">
      <alignment vertical="center"/>
    </xf>
    <xf numFmtId="4" fontId="63" fillId="32" borderId="11" xfId="30" applyNumberFormat="1" applyFont="1" applyFill="1" applyBorder="1" applyAlignment="1" applyProtection="1">
      <alignment vertical="center"/>
    </xf>
    <xf numFmtId="0" fontId="3" fillId="0" borderId="26" xfId="30" applyBorder="1" applyAlignment="1" applyProtection="1">
      <alignment horizontal="center" vertical="center"/>
    </xf>
    <xf numFmtId="4" fontId="3" fillId="32" borderId="36" xfId="30" applyNumberFormat="1" applyFill="1" applyBorder="1" applyAlignment="1" applyProtection="1">
      <alignment vertical="center"/>
    </xf>
    <xf numFmtId="4" fontId="61" fillId="0" borderId="11" xfId="30" applyNumberFormat="1" applyFont="1" applyBorder="1" applyAlignment="1" applyProtection="1">
      <alignment vertical="center"/>
    </xf>
    <xf numFmtId="1" fontId="3" fillId="32" borderId="11" xfId="30" applyNumberFormat="1" applyFill="1" applyBorder="1" applyAlignment="1" applyProtection="1">
      <alignment horizontal="center" vertical="center"/>
    </xf>
    <xf numFmtId="4" fontId="3" fillId="32" borderId="32" xfId="30" applyNumberFormat="1" applyFill="1" applyBorder="1" applyAlignment="1" applyProtection="1">
      <alignment vertical="center"/>
    </xf>
    <xf numFmtId="4" fontId="3" fillId="32" borderId="11" xfId="30" applyNumberFormat="1" applyFill="1" applyBorder="1" applyAlignment="1" applyProtection="1">
      <alignment vertical="center"/>
    </xf>
    <xf numFmtId="4" fontId="59" fillId="32" borderId="0" xfId="30" applyNumberFormat="1" applyFont="1" applyFill="1" applyBorder="1" applyAlignment="1" applyProtection="1">
      <alignment vertical="center"/>
    </xf>
    <xf numFmtId="4" fontId="59" fillId="32" borderId="36" xfId="30" applyNumberFormat="1" applyFont="1" applyFill="1" applyBorder="1" applyAlignment="1" applyProtection="1">
      <alignment vertical="center"/>
    </xf>
    <xf numFmtId="0" fontId="7" fillId="32" borderId="0" xfId="0" applyFont="1" applyFill="1" applyAlignment="1" applyProtection="1">
      <alignment vertical="center"/>
    </xf>
    <xf numFmtId="0" fontId="70" fillId="32" borderId="11" xfId="0" applyFont="1" applyFill="1" applyBorder="1" applyAlignment="1" applyProtection="1">
      <alignment vertical="center"/>
    </xf>
    <xf numFmtId="0" fontId="6" fillId="32" borderId="11" xfId="0" applyFont="1" applyFill="1" applyBorder="1" applyAlignment="1" applyProtection="1">
      <alignment vertical="center"/>
    </xf>
    <xf numFmtId="4" fontId="7" fillId="32" borderId="11" xfId="0" applyNumberFormat="1" applyFont="1" applyFill="1" applyBorder="1" applyAlignment="1" applyProtection="1">
      <alignment vertical="center"/>
    </xf>
    <xf numFmtId="4" fontId="7" fillId="32" borderId="11" xfId="0" applyNumberFormat="1" applyFont="1" applyFill="1" applyBorder="1" applyAlignment="1" applyProtection="1">
      <alignment horizontal="center" vertical="center"/>
    </xf>
    <xf numFmtId="4" fontId="7" fillId="0" borderId="11" xfId="0" applyNumberFormat="1" applyFont="1" applyFill="1" applyBorder="1" applyAlignment="1" applyProtection="1">
      <alignment horizontal="center" vertical="center"/>
    </xf>
    <xf numFmtId="4" fontId="6" fillId="32" borderId="11" xfId="0" applyNumberFormat="1" applyFont="1" applyFill="1" applyBorder="1" applyAlignment="1" applyProtection="1">
      <alignment vertical="center"/>
    </xf>
    <xf numFmtId="0" fontId="66" fillId="32" borderId="0" xfId="186" applyFont="1" applyFill="1" applyAlignment="1" applyProtection="1">
      <alignment vertical="center"/>
    </xf>
    <xf numFmtId="0" fontId="65" fillId="32" borderId="0" xfId="30" applyFont="1" applyFill="1" applyAlignment="1" applyProtection="1">
      <alignment horizontal="center" vertical="center"/>
    </xf>
    <xf numFmtId="1" fontId="3" fillId="0" borderId="11" xfId="30" applyNumberFormat="1" applyBorder="1" applyAlignment="1" applyProtection="1">
      <alignment horizontal="center" vertical="center"/>
    </xf>
    <xf numFmtId="4" fontId="7" fillId="32" borderId="11" xfId="0" applyNumberFormat="1" applyFont="1" applyFill="1" applyBorder="1" applyAlignment="1" applyProtection="1">
      <alignment horizontal="right"/>
    </xf>
    <xf numFmtId="0" fontId="80" fillId="32" borderId="14" xfId="0" applyFont="1" applyFill="1" applyBorder="1" applyAlignment="1" applyProtection="1">
      <alignment vertical="center"/>
    </xf>
    <xf numFmtId="0" fontId="80" fillId="32" borderId="0" xfId="0" applyFont="1" applyFill="1" applyBorder="1" applyAlignment="1" applyProtection="1">
      <alignment vertical="center"/>
    </xf>
    <xf numFmtId="0" fontId="4" fillId="32" borderId="0" xfId="0" applyFont="1" applyFill="1" applyBorder="1" applyAlignment="1" applyProtection="1">
      <alignment vertical="center"/>
    </xf>
    <xf numFmtId="0" fontId="81" fillId="32" borderId="0" xfId="30" quotePrefix="1" applyFont="1" applyFill="1" applyAlignment="1" applyProtection="1">
      <alignment vertical="center"/>
    </xf>
    <xf numFmtId="0" fontId="75" fillId="32" borderId="0" xfId="0" applyFont="1" applyFill="1" applyAlignment="1" applyProtection="1">
      <alignment vertical="center"/>
    </xf>
    <xf numFmtId="0" fontId="3" fillId="32" borderId="0" xfId="0" applyFont="1" applyFill="1" applyAlignment="1" applyProtection="1">
      <alignment vertical="center"/>
    </xf>
    <xf numFmtId="0" fontId="25" fillId="32" borderId="0" xfId="30" quotePrefix="1" applyFont="1" applyFill="1" applyAlignment="1" applyProtection="1">
      <alignment vertical="center"/>
    </xf>
    <xf numFmtId="0" fontId="35" fillId="32" borderId="0" xfId="35" quotePrefix="1" applyFont="1" applyFill="1" applyAlignment="1" applyProtection="1">
      <alignment vertical="center"/>
    </xf>
    <xf numFmtId="0" fontId="35" fillId="32" borderId="0" xfId="30" quotePrefix="1" applyFont="1" applyFill="1" applyAlignment="1" applyProtection="1">
      <alignment vertical="center"/>
    </xf>
    <xf numFmtId="0" fontId="0" fillId="32" borderId="0" xfId="0" applyFill="1" applyBorder="1" applyAlignment="1" applyProtection="1">
      <alignment vertical="center"/>
    </xf>
    <xf numFmtId="0" fontId="7" fillId="32" borderId="32" xfId="0" applyFont="1" applyFill="1" applyBorder="1" applyAlignment="1" applyProtection="1">
      <alignment horizontal="left" vertical="center"/>
    </xf>
    <xf numFmtId="0" fontId="0" fillId="32" borderId="32" xfId="0" applyFill="1" applyBorder="1" applyAlignment="1" applyProtection="1">
      <alignment vertical="center"/>
    </xf>
    <xf numFmtId="0" fontId="7" fillId="32" borderId="32" xfId="0" applyFont="1" applyFill="1" applyBorder="1" applyAlignment="1" applyProtection="1">
      <alignment horizontal="center" vertical="center" wrapText="1"/>
    </xf>
    <xf numFmtId="0" fontId="64" fillId="32" borderId="0" xfId="0" applyFont="1" applyFill="1" applyBorder="1" applyAlignment="1" applyProtection="1">
      <alignment vertical="center"/>
    </xf>
    <xf numFmtId="4" fontId="0" fillId="32" borderId="0" xfId="0" applyNumberFormat="1" applyFill="1" applyAlignment="1" applyProtection="1">
      <alignment vertical="center"/>
    </xf>
    <xf numFmtId="4" fontId="7" fillId="32" borderId="0" xfId="0" applyNumberFormat="1" applyFont="1" applyFill="1" applyAlignment="1" applyProtection="1">
      <alignment vertical="center"/>
    </xf>
    <xf numFmtId="4" fontId="6" fillId="32" borderId="0" xfId="0" applyNumberFormat="1" applyFont="1" applyFill="1" applyBorder="1" applyAlignment="1" applyProtection="1">
      <alignment vertical="center"/>
    </xf>
    <xf numFmtId="4" fontId="6" fillId="32" borderId="0" xfId="0" applyNumberFormat="1" applyFont="1" applyFill="1" applyAlignment="1" applyProtection="1">
      <alignment vertical="center"/>
    </xf>
    <xf numFmtId="0" fontId="19" fillId="32" borderId="0" xfId="0" applyFont="1" applyFill="1" applyBorder="1" applyAlignment="1" applyProtection="1">
      <alignment horizontal="left" vertical="center"/>
    </xf>
    <xf numFmtId="0" fontId="19" fillId="32" borderId="0" xfId="0" applyFont="1" applyFill="1" applyBorder="1" applyAlignment="1" applyProtection="1">
      <alignment vertical="center"/>
    </xf>
    <xf numFmtId="165" fontId="19" fillId="32" borderId="0" xfId="0" applyNumberFormat="1" applyFont="1" applyFill="1" applyBorder="1" applyAlignment="1" applyProtection="1">
      <alignment vertical="center"/>
    </xf>
    <xf numFmtId="0" fontId="25" fillId="32" borderId="0" xfId="35" quotePrefix="1" applyFont="1" applyFill="1" applyAlignment="1" applyProtection="1">
      <alignment vertical="center"/>
    </xf>
    <xf numFmtId="0" fontId="0" fillId="35" borderId="11" xfId="0" applyFill="1" applyBorder="1" applyAlignment="1" applyProtection="1">
      <alignment vertical="center"/>
    </xf>
    <xf numFmtId="0" fontId="6" fillId="32" borderId="37" xfId="0" applyFont="1" applyFill="1" applyBorder="1" applyAlignment="1" applyProtection="1">
      <alignment horizontal="center" vertical="center"/>
    </xf>
    <xf numFmtId="0" fontId="6" fillId="32" borderId="29" xfId="0" applyFont="1" applyFill="1" applyBorder="1" applyAlignment="1" applyProtection="1">
      <alignment horizontal="center" vertical="center"/>
    </xf>
    <xf numFmtId="0" fontId="6" fillId="32" borderId="26" xfId="0" applyFont="1" applyFill="1" applyBorder="1" applyAlignment="1" applyProtection="1">
      <alignment horizontal="center" vertical="center"/>
    </xf>
    <xf numFmtId="0" fontId="6" fillId="38" borderId="11" xfId="0" applyFont="1" applyFill="1" applyBorder="1" applyAlignment="1" applyProtection="1">
      <alignment vertical="center"/>
    </xf>
    <xf numFmtId="4" fontId="72" fillId="32" borderId="0" xfId="0" applyNumberFormat="1" applyFont="1" applyFill="1" applyAlignment="1" applyProtection="1">
      <alignment vertical="center"/>
    </xf>
    <xf numFmtId="0" fontId="71" fillId="32" borderId="32" xfId="0" applyFont="1" applyFill="1" applyBorder="1" applyAlignment="1" applyProtection="1">
      <alignment horizontal="left" vertical="center"/>
    </xf>
    <xf numFmtId="0" fontId="70" fillId="32" borderId="32" xfId="0" applyFont="1" applyFill="1" applyBorder="1" applyAlignment="1" applyProtection="1">
      <alignment vertical="center"/>
    </xf>
    <xf numFmtId="0" fontId="71" fillId="32" borderId="32" xfId="0" applyFont="1" applyFill="1" applyBorder="1" applyAlignment="1" applyProtection="1">
      <alignment horizontal="center" vertical="center" wrapText="1"/>
    </xf>
    <xf numFmtId="0" fontId="71" fillId="32" borderId="0" xfId="0" applyFont="1" applyFill="1" applyBorder="1" applyAlignment="1" applyProtection="1">
      <alignment horizontal="center" vertical="center" wrapText="1"/>
    </xf>
    <xf numFmtId="0" fontId="70" fillId="32" borderId="0" xfId="0" applyFont="1" applyFill="1" applyBorder="1" applyAlignment="1" applyProtection="1">
      <alignment vertical="center"/>
    </xf>
    <xf numFmtId="0" fontId="7" fillId="32" borderId="84" xfId="0" applyFont="1" applyFill="1" applyBorder="1" applyAlignment="1" applyProtection="1">
      <alignment horizontal="left" vertical="center"/>
    </xf>
    <xf numFmtId="0" fontId="5" fillId="34" borderId="0" xfId="0" applyFont="1" applyFill="1" applyAlignment="1" applyProtection="1">
      <alignment vertical="center"/>
    </xf>
    <xf numFmtId="0" fontId="7" fillId="34" borderId="0" xfId="0" applyFont="1" applyFill="1" applyAlignment="1" applyProtection="1">
      <alignment vertical="center"/>
    </xf>
    <xf numFmtId="0" fontId="0" fillId="34" borderId="0" xfId="0" applyFill="1" applyAlignment="1" applyProtection="1">
      <alignment vertical="center"/>
    </xf>
    <xf numFmtId="0" fontId="0" fillId="34" borderId="0" xfId="0" applyFont="1" applyFill="1" applyAlignment="1" applyProtection="1">
      <alignment vertical="center"/>
    </xf>
    <xf numFmtId="4" fontId="60" fillId="32" borderId="93" xfId="30" applyNumberFormat="1" applyFont="1" applyFill="1" applyBorder="1" applyAlignment="1" applyProtection="1">
      <alignment vertical="center"/>
    </xf>
    <xf numFmtId="4" fontId="60" fillId="32" borderId="37" xfId="30" applyNumberFormat="1" applyFont="1" applyFill="1" applyBorder="1" applyAlignment="1" applyProtection="1">
      <alignment horizontal="center" vertical="center"/>
    </xf>
    <xf numFmtId="4" fontId="60" fillId="0" borderId="11" xfId="30" applyNumberFormat="1" applyFont="1" applyBorder="1" applyAlignment="1" applyProtection="1">
      <alignment vertical="center"/>
    </xf>
    <xf numFmtId="0" fontId="15" fillId="32" borderId="0" xfId="30" applyFont="1" applyFill="1" applyAlignment="1" applyProtection="1">
      <alignment horizontal="center" vertical="center"/>
    </xf>
    <xf numFmtId="0" fontId="7" fillId="32" borderId="34" xfId="30" applyFont="1" applyFill="1" applyBorder="1" applyAlignment="1" applyProtection="1">
      <alignment horizontal="center" vertical="center"/>
    </xf>
    <xf numFmtId="0" fontId="7" fillId="32" borderId="25" xfId="30" applyFont="1" applyFill="1" applyBorder="1" applyAlignment="1" applyProtection="1">
      <alignment horizontal="center" vertical="center"/>
    </xf>
    <xf numFmtId="4" fontId="3" fillId="32" borderId="31" xfId="192" applyNumberFormat="1" applyFont="1" applyFill="1" applyBorder="1" applyAlignment="1" applyProtection="1">
      <alignment vertical="center"/>
    </xf>
    <xf numFmtId="0" fontId="57" fillId="32" borderId="0" xfId="46" applyFill="1" applyBorder="1" applyAlignment="1" applyProtection="1">
      <alignment vertical="center"/>
    </xf>
    <xf numFmtId="4" fontId="6" fillId="32" borderId="0" xfId="30" applyNumberFormat="1" applyFont="1" applyFill="1" applyAlignment="1" applyProtection="1">
      <alignment vertical="center"/>
    </xf>
    <xf numFmtId="4" fontId="6" fillId="35" borderId="11" xfId="192" applyNumberFormat="1" applyFont="1" applyFill="1" applyBorder="1" applyAlignment="1" applyProtection="1">
      <alignment vertical="center"/>
    </xf>
    <xf numFmtId="4" fontId="3" fillId="37" borderId="11" xfId="192" applyNumberFormat="1" applyFont="1" applyFill="1" applyBorder="1" applyAlignment="1" applyProtection="1">
      <alignment vertical="center"/>
    </xf>
    <xf numFmtId="0" fontId="6" fillId="35" borderId="11" xfId="0" applyFont="1" applyFill="1" applyBorder="1" applyAlignment="1" applyProtection="1">
      <alignment vertical="center"/>
    </xf>
    <xf numFmtId="4" fontId="6" fillId="35" borderId="11" xfId="0" applyNumberFormat="1" applyFont="1" applyFill="1" applyBorder="1" applyAlignment="1" applyProtection="1">
      <alignment vertical="center"/>
    </xf>
    <xf numFmtId="165" fontId="3" fillId="32" borderId="94" xfId="192" applyNumberFormat="1" applyFont="1" applyFill="1" applyBorder="1" applyAlignment="1" applyProtection="1">
      <alignment vertical="center"/>
    </xf>
    <xf numFmtId="165" fontId="3" fillId="32" borderId="73" xfId="192" applyNumberFormat="1" applyFont="1" applyFill="1" applyBorder="1" applyAlignment="1" applyProtection="1">
      <alignment vertical="center"/>
    </xf>
    <xf numFmtId="0" fontId="21" fillId="0" borderId="0" xfId="174" applyFont="1" applyFill="1" applyAlignment="1" applyProtection="1">
      <alignment vertical="center"/>
    </xf>
    <xf numFmtId="0" fontId="51" fillId="0" borderId="14" xfId="174" applyFont="1" applyFill="1" applyBorder="1" applyAlignment="1" applyProtection="1">
      <alignment horizontal="center" vertical="center"/>
    </xf>
    <xf numFmtId="0" fontId="21" fillId="0" borderId="0" xfId="174" applyFont="1" applyFill="1" applyBorder="1" applyAlignment="1" applyProtection="1">
      <alignment horizontal="center" vertical="center"/>
    </xf>
    <xf numFmtId="0" fontId="21" fillId="0" borderId="40" xfId="174" applyFont="1" applyFill="1" applyBorder="1" applyAlignment="1" applyProtection="1">
      <alignment horizontal="center" vertical="center"/>
    </xf>
    <xf numFmtId="0" fontId="21" fillId="0" borderId="0" xfId="174" applyFont="1" applyFill="1" applyAlignment="1" applyProtection="1">
      <alignment horizontal="center" vertical="center"/>
    </xf>
    <xf numFmtId="165" fontId="7" fillId="32" borderId="60" xfId="192" applyNumberFormat="1" applyFont="1" applyFill="1" applyBorder="1" applyAlignment="1" applyProtection="1">
      <alignment horizontal="center" vertical="center"/>
    </xf>
    <xf numFmtId="165" fontId="7" fillId="32" borderId="82" xfId="192" applyNumberFormat="1" applyFont="1" applyFill="1" applyBorder="1" applyAlignment="1" applyProtection="1">
      <alignment horizontal="center" vertical="center"/>
    </xf>
    <xf numFmtId="165" fontId="7" fillId="32" borderId="47" xfId="192" applyNumberFormat="1" applyFont="1" applyFill="1" applyBorder="1" applyAlignment="1" applyProtection="1">
      <alignment horizontal="center" vertical="center"/>
    </xf>
    <xf numFmtId="165" fontId="7" fillId="32" borderId="42" xfId="192" applyNumberFormat="1" applyFont="1" applyFill="1" applyBorder="1" applyAlignment="1" applyProtection="1">
      <alignment vertical="center"/>
    </xf>
    <xf numFmtId="0" fontId="28" fillId="32" borderId="0" xfId="174" applyFont="1" applyFill="1" applyAlignment="1" applyProtection="1">
      <alignment vertical="center"/>
    </xf>
    <xf numFmtId="0" fontId="69" fillId="32" borderId="0" xfId="174" applyFont="1" applyFill="1" applyAlignment="1" applyProtection="1">
      <alignment vertical="center"/>
    </xf>
    <xf numFmtId="0" fontId="29" fillId="32" borderId="0" xfId="174" applyFont="1" applyFill="1" applyAlignment="1" applyProtection="1">
      <alignment vertical="center"/>
    </xf>
    <xf numFmtId="0" fontId="67" fillId="32" borderId="0" xfId="174" applyFont="1" applyFill="1" applyAlignment="1" applyProtection="1">
      <alignment vertical="center"/>
    </xf>
    <xf numFmtId="0" fontId="5" fillId="32" borderId="0" xfId="0" applyFont="1" applyFill="1" applyAlignment="1" applyProtection="1">
      <alignment vertical="center"/>
    </xf>
    <xf numFmtId="0" fontId="3" fillId="0" borderId="0" xfId="174" applyFill="1" applyBorder="1" applyAlignment="1" applyProtection="1">
      <alignment vertical="center"/>
    </xf>
    <xf numFmtId="0" fontId="3" fillId="0" borderId="0" xfId="174" applyFill="1" applyAlignment="1" applyProtection="1">
      <alignment vertical="center"/>
    </xf>
    <xf numFmtId="0" fontId="3" fillId="0" borderId="0" xfId="174" applyFill="1" applyAlignment="1" applyProtection="1">
      <alignment horizontal="right" vertical="center"/>
    </xf>
    <xf numFmtId="0" fontId="4" fillId="0" borderId="34" xfId="174" applyFont="1" applyFill="1" applyBorder="1" applyAlignment="1" applyProtection="1">
      <alignment vertical="center"/>
    </xf>
    <xf numFmtId="0" fontId="4" fillId="0" borderId="47" xfId="174" applyFont="1" applyFill="1" applyBorder="1" applyAlignment="1" applyProtection="1">
      <alignment vertical="center"/>
    </xf>
    <xf numFmtId="0" fontId="4" fillId="0" borderId="39" xfId="174" applyFont="1" applyFill="1" applyBorder="1" applyAlignment="1" applyProtection="1">
      <alignment horizontal="right" vertical="center"/>
    </xf>
    <xf numFmtId="0" fontId="4" fillId="0" borderId="0" xfId="174" applyFont="1" applyFill="1" applyBorder="1" applyAlignment="1" applyProtection="1">
      <alignment vertical="center"/>
    </xf>
    <xf numFmtId="0" fontId="4" fillId="0" borderId="0" xfId="174" applyFont="1" applyFill="1" applyAlignment="1" applyProtection="1">
      <alignment vertical="center"/>
    </xf>
    <xf numFmtId="0" fontId="5" fillId="0" borderId="41" xfId="174" applyFont="1" applyFill="1" applyBorder="1" applyAlignment="1" applyProtection="1">
      <alignment vertical="center"/>
    </xf>
    <xf numFmtId="0" fontId="5" fillId="0" borderId="42" xfId="174" applyFont="1" applyFill="1" applyBorder="1" applyAlignment="1" applyProtection="1">
      <alignment vertical="center"/>
    </xf>
    <xf numFmtId="0" fontId="5" fillId="0" borderId="43" xfId="174" applyFont="1" applyFill="1" applyBorder="1" applyAlignment="1" applyProtection="1">
      <alignment horizontal="right" vertical="center"/>
    </xf>
    <xf numFmtId="165" fontId="7" fillId="29" borderId="94" xfId="174" applyNumberFormat="1" applyFont="1" applyFill="1" applyBorder="1" applyAlignment="1" applyProtection="1">
      <alignment vertical="center"/>
    </xf>
    <xf numFmtId="165" fontId="7" fillId="29" borderId="74" xfId="174" applyNumberFormat="1" applyFont="1" applyFill="1" applyBorder="1" applyAlignment="1" applyProtection="1">
      <alignment vertical="center"/>
    </xf>
    <xf numFmtId="165" fontId="7" fillId="32" borderId="54" xfId="174" applyNumberFormat="1" applyFont="1" applyFill="1" applyBorder="1" applyAlignment="1" applyProtection="1">
      <alignment vertical="center"/>
    </xf>
    <xf numFmtId="0" fontId="3" fillId="29" borderId="0" xfId="174" applyFont="1" applyFill="1" applyAlignment="1" applyProtection="1">
      <alignment vertical="center"/>
    </xf>
    <xf numFmtId="165" fontId="7" fillId="32" borderId="68" xfId="174" applyNumberFormat="1" applyFont="1" applyFill="1" applyBorder="1" applyAlignment="1" applyProtection="1">
      <alignment vertical="center"/>
    </xf>
    <xf numFmtId="0" fontId="3" fillId="0" borderId="41" xfId="174" applyFont="1" applyFill="1" applyBorder="1" applyAlignment="1" applyProtection="1">
      <alignment vertical="center"/>
    </xf>
    <xf numFmtId="168" fontId="3" fillId="0" borderId="43" xfId="174" applyNumberFormat="1" applyFont="1" applyFill="1" applyBorder="1" applyAlignment="1" applyProtection="1">
      <alignment horizontal="right" vertical="center"/>
    </xf>
    <xf numFmtId="166" fontId="3" fillId="0" borderId="0" xfId="174" applyNumberFormat="1" applyFont="1" applyFill="1" applyAlignment="1" applyProtection="1">
      <alignment vertical="center"/>
    </xf>
    <xf numFmtId="4" fontId="3" fillId="32" borderId="94" xfId="174" applyNumberFormat="1" applyFont="1" applyFill="1" applyBorder="1" applyAlignment="1" applyProtection="1">
      <alignment vertical="center"/>
    </xf>
    <xf numFmtId="4" fontId="3" fillId="32" borderId="73" xfId="174" applyNumberFormat="1" applyFont="1" applyFill="1" applyBorder="1" applyAlignment="1" applyProtection="1">
      <alignment vertical="center"/>
    </xf>
    <xf numFmtId="4" fontId="7" fillId="32" borderId="42" xfId="174" applyNumberFormat="1" applyFont="1" applyFill="1" applyBorder="1" applyAlignment="1" applyProtection="1">
      <alignment vertical="center"/>
    </xf>
    <xf numFmtId="4" fontId="3" fillId="32" borderId="69" xfId="174" applyNumberFormat="1" applyFont="1" applyFill="1" applyBorder="1" applyAlignment="1" applyProtection="1">
      <alignment vertical="center"/>
    </xf>
    <xf numFmtId="0" fontId="3" fillId="0" borderId="43" xfId="174" applyFont="1" applyFill="1" applyBorder="1" applyAlignment="1" applyProtection="1">
      <alignment horizontal="right" vertical="center"/>
    </xf>
    <xf numFmtId="168" fontId="3" fillId="0" borderId="42" xfId="174" applyNumberFormat="1" applyFont="1" applyFill="1" applyBorder="1" applyAlignment="1" applyProtection="1">
      <alignment horizontal="right" vertical="center"/>
    </xf>
    <xf numFmtId="3" fontId="6" fillId="32" borderId="43" xfId="192" applyNumberFormat="1" applyFont="1" applyFill="1" applyBorder="1" applyAlignment="1" applyProtection="1">
      <alignment horizontal="left" vertical="center"/>
    </xf>
    <xf numFmtId="4" fontId="6" fillId="32" borderId="94" xfId="192" applyNumberFormat="1" applyFont="1" applyFill="1" applyBorder="1" applyAlignment="1" applyProtection="1">
      <alignment horizontal="right" vertical="center"/>
    </xf>
    <xf numFmtId="4" fontId="6" fillId="32" borderId="73" xfId="192" applyNumberFormat="1" applyFont="1" applyFill="1" applyBorder="1" applyAlignment="1" applyProtection="1">
      <alignment horizontal="right" vertical="center"/>
    </xf>
    <xf numFmtId="4" fontId="19" fillId="32" borderId="42" xfId="192" applyNumberFormat="1" applyFont="1" applyFill="1" applyBorder="1" applyAlignment="1" applyProtection="1">
      <alignment horizontal="right" vertical="center"/>
    </xf>
    <xf numFmtId="4" fontId="6" fillId="32" borderId="69" xfId="192" applyNumberFormat="1" applyFont="1" applyFill="1" applyBorder="1" applyAlignment="1" applyProtection="1">
      <alignment horizontal="right" vertical="center"/>
    </xf>
    <xf numFmtId="0" fontId="53" fillId="0" borderId="41" xfId="174" applyFont="1" applyFill="1" applyBorder="1" applyAlignment="1" applyProtection="1">
      <alignment vertical="center"/>
    </xf>
    <xf numFmtId="0" fontId="53" fillId="0" borderId="42" xfId="174" applyFont="1" applyFill="1" applyBorder="1" applyAlignment="1" applyProtection="1">
      <alignment vertical="center"/>
    </xf>
    <xf numFmtId="0" fontId="3" fillId="0" borderId="42" xfId="174" applyFont="1" applyFill="1" applyBorder="1" applyAlignment="1" applyProtection="1">
      <alignment horizontal="left" vertical="center"/>
    </xf>
    <xf numFmtId="4" fontId="3" fillId="0" borderId="0" xfId="174" applyNumberFormat="1" applyFont="1" applyFill="1" applyAlignment="1" applyProtection="1">
      <alignment vertical="center"/>
    </xf>
    <xf numFmtId="0" fontId="53" fillId="29" borderId="0" xfId="174" applyFont="1" applyFill="1" applyAlignment="1" applyProtection="1">
      <alignment vertical="center"/>
    </xf>
    <xf numFmtId="0" fontId="53" fillId="0" borderId="0" xfId="174" applyFont="1" applyFill="1" applyAlignment="1" applyProtection="1">
      <alignment vertical="center"/>
    </xf>
    <xf numFmtId="0" fontId="3" fillId="0" borderId="43" xfId="174" applyFont="1" applyFill="1" applyBorder="1" applyAlignment="1" applyProtection="1">
      <alignment horizontal="left" vertical="center"/>
    </xf>
    <xf numFmtId="4" fontId="53" fillId="32" borderId="94" xfId="174" applyNumberFormat="1" applyFont="1" applyFill="1" applyBorder="1" applyAlignment="1" applyProtection="1">
      <alignment horizontal="right" vertical="center"/>
    </xf>
    <xf numFmtId="4" fontId="53" fillId="32" borderId="73" xfId="174" applyNumberFormat="1" applyFont="1" applyFill="1" applyBorder="1" applyAlignment="1" applyProtection="1">
      <alignment horizontal="right" vertical="center"/>
    </xf>
    <xf numFmtId="4" fontId="82" fillId="32" borderId="42" xfId="174" applyNumberFormat="1" applyFont="1" applyFill="1" applyBorder="1" applyAlignment="1" applyProtection="1">
      <alignment horizontal="right" vertical="center"/>
    </xf>
    <xf numFmtId="4" fontId="53" fillId="32" borderId="69" xfId="174" applyNumberFormat="1" applyFont="1" applyFill="1" applyBorder="1" applyAlignment="1" applyProtection="1">
      <alignment horizontal="right" vertical="center"/>
    </xf>
    <xf numFmtId="0" fontId="5" fillId="32" borderId="43" xfId="174" applyFont="1" applyFill="1" applyBorder="1" applyAlignment="1" applyProtection="1">
      <alignment horizontal="right" vertical="center"/>
    </xf>
    <xf numFmtId="0" fontId="3" fillId="0" borderId="0" xfId="174" applyFont="1" applyFill="1" applyAlignment="1" applyProtection="1">
      <alignment horizontal="center" vertical="center"/>
    </xf>
    <xf numFmtId="165" fontId="7" fillId="32" borderId="94" xfId="192" applyNumberFormat="1" applyFont="1" applyFill="1" applyBorder="1" applyAlignment="1" applyProtection="1">
      <alignment vertical="center"/>
    </xf>
    <xf numFmtId="165" fontId="7" fillId="32" borderId="73" xfId="192" applyNumberFormat="1" applyFont="1" applyFill="1" applyBorder="1" applyAlignment="1" applyProtection="1">
      <alignment vertical="center"/>
    </xf>
    <xf numFmtId="0" fontId="3" fillId="32" borderId="43" xfId="174" applyFont="1" applyFill="1" applyBorder="1" applyAlignment="1" applyProtection="1">
      <alignment horizontal="right" vertical="center"/>
    </xf>
    <xf numFmtId="0" fontId="3" fillId="30" borderId="41" xfId="174" applyFont="1" applyFill="1" applyBorder="1" applyAlignment="1" applyProtection="1">
      <alignment vertical="center"/>
    </xf>
    <xf numFmtId="0" fontId="5" fillId="30" borderId="42" xfId="174" applyFont="1" applyFill="1" applyBorder="1" applyAlignment="1" applyProtection="1">
      <alignment vertical="center"/>
    </xf>
    <xf numFmtId="0" fontId="5" fillId="35" borderId="43" xfId="174" applyFont="1" applyFill="1" applyBorder="1" applyAlignment="1" applyProtection="1">
      <alignment horizontal="right" vertical="center"/>
    </xf>
    <xf numFmtId="165" fontId="3" fillId="37" borderId="94" xfId="192" applyNumberFormat="1" applyFont="1" applyFill="1" applyBorder="1" applyAlignment="1" applyProtection="1">
      <alignment vertical="center"/>
    </xf>
    <xf numFmtId="165" fontId="3" fillId="37" borderId="73" xfId="192" applyNumberFormat="1" applyFont="1" applyFill="1" applyBorder="1" applyAlignment="1" applyProtection="1">
      <alignment vertical="center"/>
    </xf>
    <xf numFmtId="165" fontId="7" fillId="35" borderId="42" xfId="192" applyNumberFormat="1" applyFont="1" applyFill="1" applyBorder="1" applyAlignment="1" applyProtection="1">
      <alignment vertical="center"/>
    </xf>
    <xf numFmtId="165" fontId="3" fillId="35" borderId="69" xfId="192" applyNumberFormat="1" applyFont="1" applyFill="1" applyBorder="1" applyAlignment="1" applyProtection="1">
      <alignment vertical="center"/>
    </xf>
    <xf numFmtId="0" fontId="3" fillId="0" borderId="42" xfId="174" applyFont="1" applyFill="1" applyBorder="1" applyAlignment="1" applyProtection="1">
      <alignment vertical="center"/>
    </xf>
    <xf numFmtId="0" fontId="3" fillId="0" borderId="42" xfId="174" applyFont="1" applyFill="1" applyBorder="1" applyAlignment="1" applyProtection="1">
      <alignment horizontal="center" vertical="center"/>
    </xf>
    <xf numFmtId="3" fontId="3" fillId="0" borderId="0" xfId="174" applyNumberFormat="1" applyFont="1" applyFill="1" applyAlignment="1" applyProtection="1">
      <alignment vertical="center"/>
    </xf>
    <xf numFmtId="4" fontId="3" fillId="32" borderId="94" xfId="174" applyNumberFormat="1" applyFont="1" applyFill="1" applyBorder="1" applyAlignment="1" applyProtection="1">
      <alignment horizontal="right" vertical="center"/>
    </xf>
    <xf numFmtId="4" fontId="3" fillId="32" borderId="73" xfId="174" applyNumberFormat="1" applyFont="1" applyFill="1" applyBorder="1" applyAlignment="1" applyProtection="1">
      <alignment horizontal="right" vertical="center"/>
    </xf>
    <xf numFmtId="4" fontId="7" fillId="32" borderId="42" xfId="174" applyNumberFormat="1" applyFont="1" applyFill="1" applyBorder="1" applyAlignment="1" applyProtection="1">
      <alignment horizontal="right" vertical="center"/>
    </xf>
    <xf numFmtId="4" fontId="3" fillId="32" borderId="69" xfId="174" applyNumberFormat="1" applyFont="1" applyFill="1" applyBorder="1" applyAlignment="1" applyProtection="1">
      <alignment horizontal="right" vertical="center"/>
    </xf>
    <xf numFmtId="0" fontId="3" fillId="0" borderId="44" xfId="174" applyFont="1" applyFill="1" applyBorder="1" applyAlignment="1" applyProtection="1">
      <alignment vertical="center"/>
    </xf>
    <xf numFmtId="0" fontId="3" fillId="32" borderId="44" xfId="174" applyFont="1" applyFill="1" applyBorder="1" applyAlignment="1" applyProtection="1">
      <alignment vertical="center"/>
    </xf>
    <xf numFmtId="0" fontId="5" fillId="32" borderId="45" xfId="174" applyFont="1" applyFill="1" applyBorder="1" applyAlignment="1" applyProtection="1">
      <alignment vertical="center"/>
    </xf>
    <xf numFmtId="3" fontId="6" fillId="32" borderId="46" xfId="192" applyNumberFormat="1" applyFont="1" applyFill="1" applyBorder="1" applyAlignment="1" applyProtection="1">
      <alignment horizontal="left" vertical="center"/>
    </xf>
    <xf numFmtId="0" fontId="3" fillId="32" borderId="0" xfId="174" applyFont="1" applyFill="1" applyAlignment="1" applyProtection="1">
      <alignment vertical="center"/>
    </xf>
    <xf numFmtId="4" fontId="6" fillId="32" borderId="95" xfId="192" applyNumberFormat="1" applyFont="1" applyFill="1" applyBorder="1" applyAlignment="1" applyProtection="1">
      <alignment horizontal="right" vertical="center"/>
    </xf>
    <xf numFmtId="4" fontId="6" fillId="32" borderId="96" xfId="192" applyNumberFormat="1" applyFont="1" applyFill="1" applyBorder="1" applyAlignment="1" applyProtection="1">
      <alignment horizontal="right" vertical="center"/>
    </xf>
    <xf numFmtId="4" fontId="19" fillId="32" borderId="45" xfId="192" applyNumberFormat="1" applyFont="1" applyFill="1" applyBorder="1" applyAlignment="1" applyProtection="1">
      <alignment horizontal="right" vertical="center"/>
    </xf>
    <xf numFmtId="4" fontId="6" fillId="32" borderId="70" xfId="192" applyNumberFormat="1" applyFont="1" applyFill="1" applyBorder="1" applyAlignment="1" applyProtection="1">
      <alignment horizontal="right" vertical="center"/>
    </xf>
    <xf numFmtId="165" fontId="7" fillId="37" borderId="94" xfId="192" applyNumberFormat="1" applyFont="1" applyFill="1" applyBorder="1" applyAlignment="1" applyProtection="1">
      <alignment vertical="center"/>
    </xf>
    <xf numFmtId="165" fontId="7" fillId="37" borderId="73" xfId="192" applyNumberFormat="1" applyFont="1" applyFill="1" applyBorder="1" applyAlignment="1" applyProtection="1">
      <alignment vertical="center"/>
    </xf>
    <xf numFmtId="165" fontId="7" fillId="35" borderId="69" xfId="192" applyNumberFormat="1" applyFont="1" applyFill="1" applyBorder="1" applyAlignment="1" applyProtection="1">
      <alignment vertical="center"/>
    </xf>
    <xf numFmtId="0" fontId="51" fillId="0" borderId="34" xfId="174" applyFont="1" applyFill="1" applyBorder="1" applyAlignment="1" applyProtection="1">
      <alignment vertical="center"/>
    </xf>
    <xf numFmtId="0" fontId="7" fillId="0" borderId="47" xfId="174" applyFont="1" applyFill="1" applyBorder="1" applyAlignment="1" applyProtection="1">
      <alignment vertical="center"/>
    </xf>
    <xf numFmtId="0" fontId="21" fillId="0" borderId="47" xfId="174" applyFont="1" applyFill="1" applyBorder="1" applyAlignment="1" applyProtection="1">
      <alignment vertical="center"/>
    </xf>
    <xf numFmtId="0" fontId="21" fillId="0" borderId="39" xfId="174" applyFont="1" applyFill="1" applyBorder="1" applyAlignment="1" applyProtection="1">
      <alignment horizontal="right" vertical="center"/>
    </xf>
    <xf numFmtId="165" fontId="7" fillId="32" borderId="60" xfId="174" applyNumberFormat="1" applyFont="1" applyFill="1" applyBorder="1" applyAlignment="1" applyProtection="1">
      <alignment horizontal="right" vertical="center"/>
    </xf>
    <xf numFmtId="165" fontId="7" fillId="32" borderId="82" xfId="174" applyNumberFormat="1" applyFont="1" applyFill="1" applyBorder="1" applyAlignment="1" applyProtection="1">
      <alignment horizontal="right" vertical="center"/>
    </xf>
    <xf numFmtId="165" fontId="7" fillId="32" borderId="47" xfId="174" applyNumberFormat="1" applyFont="1" applyFill="1" applyBorder="1" applyAlignment="1" applyProtection="1">
      <alignment horizontal="right" vertical="center"/>
    </xf>
    <xf numFmtId="0" fontId="21" fillId="29" borderId="0" xfId="174" applyFont="1" applyFill="1" applyAlignment="1" applyProtection="1">
      <alignment vertical="center"/>
    </xf>
    <xf numFmtId="165" fontId="7" fillId="32" borderId="25" xfId="174" applyNumberFormat="1" applyFont="1" applyFill="1" applyBorder="1" applyAlignment="1" applyProtection="1">
      <alignment horizontal="right" vertical="center"/>
    </xf>
    <xf numFmtId="0" fontId="29" fillId="0" borderId="0" xfId="174" applyFont="1" applyFill="1" applyAlignment="1" applyProtection="1">
      <alignment vertical="center"/>
    </xf>
    <xf numFmtId="0" fontId="29" fillId="0" borderId="0" xfId="174" applyFont="1" applyFill="1" applyAlignment="1" applyProtection="1">
      <alignment horizontal="right" vertical="center"/>
    </xf>
    <xf numFmtId="0" fontId="21" fillId="0" borderId="0" xfId="174" applyFont="1" applyFill="1" applyAlignment="1" applyProtection="1">
      <alignment horizontal="left" vertical="center"/>
    </xf>
    <xf numFmtId="0" fontId="6" fillId="0" borderId="0" xfId="174" applyFont="1" applyFill="1" applyAlignment="1" applyProtection="1">
      <alignment vertical="center"/>
    </xf>
    <xf numFmtId="165" fontId="6" fillId="0" borderId="0" xfId="174" applyNumberFormat="1" applyFont="1" applyFill="1" applyAlignment="1" applyProtection="1">
      <alignment vertical="center"/>
    </xf>
    <xf numFmtId="0" fontId="28" fillId="32" borderId="0" xfId="176" applyFont="1" applyFill="1" applyAlignment="1" applyProtection="1">
      <alignment vertical="center"/>
    </xf>
    <xf numFmtId="0" fontId="21" fillId="32" borderId="0" xfId="187" applyFont="1" applyFill="1" applyAlignment="1" applyProtection="1">
      <alignment vertical="center"/>
    </xf>
    <xf numFmtId="0" fontId="29" fillId="32" borderId="0" xfId="176" applyFont="1" applyFill="1" applyAlignment="1" applyProtection="1">
      <alignment horizontal="right" vertical="center"/>
    </xf>
    <xf numFmtId="0" fontId="29" fillId="32" borderId="0" xfId="176" applyFont="1" applyFill="1" applyAlignment="1" applyProtection="1">
      <alignment vertical="center"/>
    </xf>
    <xf numFmtId="0" fontId="20" fillId="32" borderId="0" xfId="184" applyFont="1" applyFill="1" applyAlignment="1" applyProtection="1">
      <alignment vertical="center"/>
    </xf>
    <xf numFmtId="0" fontId="3" fillId="32" borderId="0" xfId="184" applyFont="1" applyFill="1" applyAlignment="1" applyProtection="1">
      <alignment horizontal="right" vertical="center"/>
    </xf>
    <xf numFmtId="0" fontId="3" fillId="32" borderId="0" xfId="184" applyFill="1" applyAlignment="1" applyProtection="1">
      <alignment vertical="center"/>
    </xf>
    <xf numFmtId="0" fontId="64" fillId="32" borderId="0" xfId="184" applyFont="1" applyFill="1" applyAlignment="1" applyProtection="1">
      <alignment vertical="center"/>
    </xf>
    <xf numFmtId="0" fontId="4" fillId="32" borderId="48" xfId="184" applyFont="1" applyFill="1" applyBorder="1" applyAlignment="1" applyProtection="1">
      <alignment vertical="center"/>
    </xf>
    <xf numFmtId="0" fontId="4" fillId="32" borderId="49" xfId="184" applyFont="1" applyFill="1" applyBorder="1" applyAlignment="1" applyProtection="1">
      <alignment vertical="center"/>
    </xf>
    <xf numFmtId="0" fontId="4" fillId="32" borderId="50" xfId="184" applyFont="1" applyFill="1" applyBorder="1" applyAlignment="1" applyProtection="1">
      <alignment horizontal="right" vertical="center"/>
    </xf>
    <xf numFmtId="0" fontId="4" fillId="32" borderId="0" xfId="184" applyFont="1" applyFill="1" applyAlignment="1" applyProtection="1">
      <alignment vertical="center"/>
    </xf>
    <xf numFmtId="0" fontId="68" fillId="32" borderId="0" xfId="184" applyFont="1" applyFill="1" applyAlignment="1" applyProtection="1">
      <alignment vertical="center"/>
    </xf>
    <xf numFmtId="0" fontId="21" fillId="32" borderId="51" xfId="184" applyFont="1" applyFill="1" applyBorder="1" applyAlignment="1" applyProtection="1">
      <alignment vertical="center"/>
    </xf>
    <xf numFmtId="0" fontId="21" fillId="32" borderId="15" xfId="184" applyFont="1" applyFill="1" applyBorder="1" applyAlignment="1" applyProtection="1">
      <alignment vertical="center"/>
    </xf>
    <xf numFmtId="0" fontId="21" fillId="32" borderId="52" xfId="184" applyFont="1" applyFill="1" applyBorder="1" applyAlignment="1" applyProtection="1">
      <alignment horizontal="right" vertical="center"/>
    </xf>
    <xf numFmtId="0" fontId="5" fillId="32" borderId="53" xfId="184" applyFont="1" applyFill="1" applyBorder="1" applyAlignment="1" applyProtection="1">
      <alignment vertical="center"/>
    </xf>
    <xf numFmtId="0" fontId="7" fillId="32" borderId="54" xfId="184" applyFont="1" applyFill="1" applyBorder="1" applyAlignment="1" applyProtection="1">
      <alignment vertical="center"/>
    </xf>
    <xf numFmtId="0" fontId="3" fillId="32" borderId="55" xfId="184" applyFont="1" applyFill="1" applyBorder="1" applyAlignment="1" applyProtection="1">
      <alignment vertical="center"/>
    </xf>
    <xf numFmtId="0" fontId="3" fillId="32" borderId="56" xfId="184" applyFont="1" applyFill="1" applyBorder="1" applyAlignment="1" applyProtection="1">
      <alignment horizontal="right" vertical="center"/>
    </xf>
    <xf numFmtId="0" fontId="7" fillId="32" borderId="53" xfId="184" applyFont="1" applyFill="1" applyBorder="1" applyAlignment="1" applyProtection="1">
      <alignment vertical="center"/>
    </xf>
    <xf numFmtId="0" fontId="7" fillId="32" borderId="42" xfId="174" applyFont="1" applyFill="1" applyBorder="1" applyAlignment="1" applyProtection="1">
      <alignment vertical="center"/>
    </xf>
    <xf numFmtId="0" fontId="5" fillId="32" borderId="42" xfId="174" applyFont="1" applyFill="1" applyBorder="1" applyAlignment="1" applyProtection="1">
      <alignment vertical="center"/>
    </xf>
    <xf numFmtId="0" fontId="19" fillId="32" borderId="69" xfId="184" applyFont="1" applyFill="1" applyBorder="1" applyAlignment="1" applyProtection="1">
      <alignment horizontal="right" vertical="center"/>
    </xf>
    <xf numFmtId="0" fontId="3" fillId="32" borderId="0" xfId="184" applyFont="1" applyFill="1" applyBorder="1" applyAlignment="1" applyProtection="1">
      <alignment vertical="center"/>
    </xf>
    <xf numFmtId="0" fontId="3" fillId="32" borderId="42" xfId="184" applyFont="1" applyFill="1" applyBorder="1" applyAlignment="1" applyProtection="1">
      <alignment vertical="center"/>
    </xf>
    <xf numFmtId="3" fontId="19" fillId="32" borderId="69" xfId="192" applyNumberFormat="1" applyFont="1" applyFill="1" applyBorder="1" applyAlignment="1" applyProtection="1">
      <alignment horizontal="left" vertical="center"/>
    </xf>
    <xf numFmtId="0" fontId="3" fillId="32" borderId="0" xfId="184" applyFont="1" applyFill="1" applyAlignment="1" applyProtection="1">
      <alignment horizontal="center" vertical="center"/>
    </xf>
    <xf numFmtId="0" fontId="3" fillId="32" borderId="41" xfId="184" applyFont="1" applyFill="1" applyBorder="1" applyAlignment="1" applyProtection="1">
      <alignment vertical="center"/>
    </xf>
    <xf numFmtId="0" fontId="7" fillId="32" borderId="42" xfId="184" applyFont="1" applyFill="1" applyBorder="1" applyAlignment="1" applyProtection="1">
      <alignment vertical="center"/>
    </xf>
    <xf numFmtId="0" fontId="3" fillId="0" borderId="42" xfId="171" applyFont="1" applyFill="1" applyBorder="1" applyAlignment="1" applyProtection="1">
      <alignment horizontal="left" vertical="center"/>
    </xf>
    <xf numFmtId="3" fontId="6" fillId="32" borderId="43" xfId="192" applyNumberFormat="1" applyFont="1" applyFill="1" applyBorder="1" applyAlignment="1" applyProtection="1">
      <alignment horizontal="right" vertical="center"/>
    </xf>
    <xf numFmtId="0" fontId="3" fillId="32" borderId="43" xfId="184" applyFont="1" applyFill="1" applyBorder="1" applyAlignment="1" applyProtection="1">
      <alignment horizontal="right" vertical="center"/>
    </xf>
    <xf numFmtId="0" fontId="7" fillId="32" borderId="69" xfId="184" applyFont="1" applyFill="1" applyBorder="1" applyAlignment="1" applyProtection="1">
      <alignment horizontal="right" vertical="center"/>
    </xf>
    <xf numFmtId="4" fontId="3" fillId="32" borderId="0" xfId="184" applyNumberFormat="1" applyFont="1" applyFill="1" applyAlignment="1" applyProtection="1">
      <alignment vertical="center"/>
    </xf>
    <xf numFmtId="0" fontId="21" fillId="32" borderId="57" xfId="184" applyFont="1" applyFill="1" applyBorder="1" applyAlignment="1" applyProtection="1">
      <alignment vertical="center"/>
    </xf>
    <xf numFmtId="0" fontId="21" fillId="32" borderId="58" xfId="184" applyFont="1" applyFill="1" applyBorder="1" applyAlignment="1" applyProtection="1">
      <alignment vertical="center"/>
    </xf>
    <xf numFmtId="0" fontId="21" fillId="32" borderId="59" xfId="184" applyFont="1" applyFill="1" applyBorder="1" applyAlignment="1" applyProtection="1">
      <alignment horizontal="right" vertical="center"/>
    </xf>
    <xf numFmtId="0" fontId="21" fillId="32" borderId="71" xfId="184" applyFont="1" applyFill="1" applyBorder="1" applyAlignment="1" applyProtection="1">
      <alignment horizontal="right" vertical="center"/>
    </xf>
    <xf numFmtId="0" fontId="51" fillId="32" borderId="34" xfId="174" applyFont="1" applyFill="1" applyBorder="1" applyAlignment="1" applyProtection="1">
      <alignment vertical="center"/>
    </xf>
    <xf numFmtId="0" fontId="7" fillId="32" borderId="47" xfId="174" applyFont="1" applyFill="1" applyBorder="1" applyAlignment="1" applyProtection="1">
      <alignment vertical="center"/>
    </xf>
    <xf numFmtId="0" fontId="21" fillId="32" borderId="47" xfId="174" applyFont="1" applyFill="1" applyBorder="1" applyAlignment="1" applyProtection="1">
      <alignment vertical="center"/>
    </xf>
    <xf numFmtId="0" fontId="21" fillId="32" borderId="39" xfId="174" applyFont="1" applyFill="1" applyBorder="1" applyAlignment="1" applyProtection="1">
      <alignment horizontal="right" vertical="center"/>
    </xf>
    <xf numFmtId="165" fontId="7" fillId="29" borderId="25" xfId="174" applyNumberFormat="1" applyFont="1" applyFill="1" applyBorder="1" applyAlignment="1" applyProtection="1">
      <alignment vertical="center"/>
    </xf>
    <xf numFmtId="0" fontId="21" fillId="32" borderId="0" xfId="174" applyFont="1" applyFill="1" applyAlignment="1" applyProtection="1">
      <alignment vertical="center"/>
    </xf>
    <xf numFmtId="0" fontId="29" fillId="32" borderId="0" xfId="184" applyFont="1" applyFill="1" applyAlignment="1" applyProtection="1">
      <alignment vertical="center"/>
    </xf>
    <xf numFmtId="0" fontId="21" fillId="32" borderId="0" xfId="184" applyFont="1" applyFill="1" applyAlignment="1" applyProtection="1">
      <alignment horizontal="left" vertical="center"/>
    </xf>
    <xf numFmtId="0" fontId="29" fillId="32" borderId="0" xfId="184" applyFont="1" applyFill="1" applyAlignment="1" applyProtection="1">
      <alignment horizontal="right" vertical="center"/>
    </xf>
    <xf numFmtId="0" fontId="3" fillId="32" borderId="0" xfId="184" applyFill="1" applyAlignment="1" applyProtection="1">
      <alignment horizontal="right" vertical="center"/>
    </xf>
    <xf numFmtId="0" fontId="6" fillId="32" borderId="0" xfId="0" applyFont="1" applyFill="1" applyAlignment="1" applyProtection="1">
      <alignment vertical="center" wrapText="1"/>
    </xf>
    <xf numFmtId="0" fontId="7" fillId="32" borderId="76" xfId="184" applyFont="1" applyFill="1" applyBorder="1" applyAlignment="1" applyProtection="1">
      <alignment horizontal="right" vertical="center"/>
    </xf>
    <xf numFmtId="0" fontId="7" fillId="32" borderId="55" xfId="184" applyFont="1" applyFill="1" applyBorder="1" applyAlignment="1" applyProtection="1">
      <alignment horizontal="right" vertical="center"/>
    </xf>
    <xf numFmtId="0" fontId="19" fillId="32" borderId="42" xfId="184" applyFont="1" applyFill="1" applyBorder="1" applyAlignment="1" applyProtection="1">
      <alignment horizontal="right" vertical="center"/>
    </xf>
    <xf numFmtId="3" fontId="19" fillId="32" borderId="42" xfId="192" applyNumberFormat="1" applyFont="1" applyFill="1" applyBorder="1" applyAlignment="1" applyProtection="1">
      <alignment horizontal="left" vertical="center"/>
    </xf>
    <xf numFmtId="0" fontId="7" fillId="32" borderId="42" xfId="184" applyFont="1" applyFill="1" applyBorder="1" applyAlignment="1" applyProtection="1">
      <alignment horizontal="right" vertical="center"/>
    </xf>
    <xf numFmtId="0" fontId="21" fillId="32" borderId="58" xfId="184" applyFont="1" applyFill="1" applyBorder="1" applyAlignment="1" applyProtection="1">
      <alignment horizontal="right" vertical="center"/>
    </xf>
    <xf numFmtId="165" fontId="7" fillId="29" borderId="47" xfId="174" applyNumberFormat="1" applyFont="1" applyFill="1" applyBorder="1" applyAlignment="1" applyProtection="1">
      <alignment vertical="center"/>
    </xf>
    <xf numFmtId="0" fontId="7" fillId="32" borderId="97" xfId="184" applyFont="1" applyFill="1" applyBorder="1" applyAlignment="1" applyProtection="1">
      <alignment horizontal="right" vertical="center"/>
    </xf>
    <xf numFmtId="0" fontId="19" fillId="32" borderId="94" xfId="184" applyFont="1" applyFill="1" applyBorder="1" applyAlignment="1" applyProtection="1">
      <alignment horizontal="right" vertical="center"/>
    </xf>
    <xf numFmtId="167" fontId="7" fillId="32" borderId="94" xfId="192" applyNumberFormat="1" applyFont="1" applyFill="1" applyBorder="1" applyAlignment="1" applyProtection="1">
      <alignment vertical="center"/>
    </xf>
    <xf numFmtId="3" fontId="19" fillId="32" borderId="94" xfId="192" applyNumberFormat="1" applyFont="1" applyFill="1" applyBorder="1" applyAlignment="1" applyProtection="1">
      <alignment horizontal="left" vertical="center"/>
    </xf>
    <xf numFmtId="0" fontId="7" fillId="32" borderId="94" xfId="184" applyFont="1" applyFill="1" applyBorder="1" applyAlignment="1" applyProtection="1">
      <alignment horizontal="right" vertical="center"/>
    </xf>
    <xf numFmtId="0" fontId="21" fillId="32" borderId="98" xfId="184" applyFont="1" applyFill="1" applyBorder="1" applyAlignment="1" applyProtection="1">
      <alignment horizontal="right" vertical="center"/>
    </xf>
    <xf numFmtId="165" fontId="7" fillId="29" borderId="60" xfId="174" applyNumberFormat="1" applyFont="1" applyFill="1" applyBorder="1" applyAlignment="1" applyProtection="1">
      <alignment vertical="center"/>
    </xf>
    <xf numFmtId="0" fontId="7" fillId="32" borderId="99" xfId="184" applyFont="1" applyFill="1" applyBorder="1" applyAlignment="1" applyProtection="1">
      <alignment horizontal="right" vertical="center"/>
    </xf>
    <xf numFmtId="0" fontId="19" fillId="32" borderId="73" xfId="184" applyFont="1" applyFill="1" applyBorder="1" applyAlignment="1" applyProtection="1">
      <alignment horizontal="right" vertical="center"/>
    </xf>
    <xf numFmtId="167" fontId="7" fillId="32" borderId="73" xfId="192" applyNumberFormat="1" applyFont="1" applyFill="1" applyBorder="1" applyAlignment="1" applyProtection="1">
      <alignment vertical="center"/>
    </xf>
    <xf numFmtId="3" fontId="19" fillId="32" borderId="73" xfId="192" applyNumberFormat="1" applyFont="1" applyFill="1" applyBorder="1" applyAlignment="1" applyProtection="1">
      <alignment horizontal="left" vertical="center"/>
    </xf>
    <xf numFmtId="0" fontId="7" fillId="32" borderId="73" xfId="184" applyFont="1" applyFill="1" applyBorder="1" applyAlignment="1" applyProtection="1">
      <alignment horizontal="right" vertical="center"/>
    </xf>
    <xf numFmtId="0" fontId="21" fillId="32" borderId="100" xfId="184" applyFont="1" applyFill="1" applyBorder="1" applyAlignment="1" applyProtection="1">
      <alignment horizontal="right" vertical="center"/>
    </xf>
    <xf numFmtId="165" fontId="7" fillId="29" borderId="82" xfId="174" applyNumberFormat="1" applyFont="1" applyFill="1" applyBorder="1" applyAlignment="1" applyProtection="1">
      <alignment vertical="center"/>
    </xf>
    <xf numFmtId="0" fontId="7" fillId="0" borderId="15" xfId="174" applyFont="1" applyFill="1" applyBorder="1" applyAlignment="1" applyProtection="1">
      <alignment horizontal="center" vertical="center" wrapText="1"/>
    </xf>
    <xf numFmtId="167" fontId="7" fillId="32" borderId="42" xfId="192" applyNumberFormat="1" applyFont="1" applyFill="1" applyBorder="1" applyAlignment="1" applyProtection="1">
      <alignment vertical="center"/>
    </xf>
    <xf numFmtId="0" fontId="83" fillId="32" borderId="0" xfId="174" applyFont="1" applyFill="1" applyAlignment="1" applyProtection="1">
      <alignment vertical="center"/>
    </xf>
    <xf numFmtId="0" fontId="84" fillId="32" borderId="0" xfId="174" applyFont="1" applyFill="1" applyAlignment="1" applyProtection="1">
      <alignment vertical="center"/>
    </xf>
    <xf numFmtId="0" fontId="75" fillId="0" borderId="0" xfId="174" applyFont="1" applyFill="1" applyAlignment="1" applyProtection="1">
      <alignment vertical="center"/>
    </xf>
    <xf numFmtId="0" fontId="80" fillId="0" borderId="0" xfId="174" applyFont="1" applyFill="1" applyBorder="1" applyAlignment="1" applyProtection="1">
      <alignment vertical="center"/>
    </xf>
    <xf numFmtId="0" fontId="80" fillId="0" borderId="0" xfId="174" applyFont="1" applyFill="1" applyAlignment="1" applyProtection="1">
      <alignment vertical="center"/>
    </xf>
    <xf numFmtId="0" fontId="74" fillId="0" borderId="0" xfId="174" applyFont="1" applyFill="1" applyAlignment="1" applyProtection="1">
      <alignment horizontal="center" vertical="center"/>
    </xf>
    <xf numFmtId="0" fontId="84" fillId="32" borderId="0" xfId="176" applyFont="1" applyFill="1" applyAlignment="1" applyProtection="1">
      <alignment vertical="center"/>
    </xf>
    <xf numFmtId="0" fontId="83" fillId="32" borderId="0" xfId="176" applyFont="1" applyFill="1" applyAlignment="1" applyProtection="1">
      <alignment vertical="center"/>
    </xf>
    <xf numFmtId="0" fontId="75" fillId="32" borderId="0" xfId="184" applyFont="1" applyFill="1" applyAlignment="1" applyProtection="1">
      <alignment vertical="center"/>
    </xf>
    <xf numFmtId="0" fontId="80" fillId="32" borderId="0" xfId="184" applyFont="1" applyFill="1" applyAlignment="1" applyProtection="1">
      <alignment vertical="center"/>
    </xf>
    <xf numFmtId="0" fontId="74" fillId="32" borderId="0" xfId="184" applyFont="1" applyFill="1" applyAlignment="1" applyProtection="1">
      <alignment vertical="center"/>
    </xf>
    <xf numFmtId="0" fontId="81" fillId="32" borderId="0" xfId="0" applyFont="1" applyFill="1" applyAlignment="1" applyProtection="1">
      <alignment vertical="center" wrapText="1"/>
    </xf>
    <xf numFmtId="0" fontId="20" fillId="32" borderId="14" xfId="186" applyFont="1" applyFill="1" applyBorder="1" applyAlignment="1" applyProtection="1">
      <alignment vertical="center"/>
    </xf>
    <xf numFmtId="0" fontId="3" fillId="32" borderId="0" xfId="171" applyFill="1" applyAlignment="1" applyProtection="1">
      <alignment vertical="center"/>
    </xf>
    <xf numFmtId="0" fontId="64" fillId="32" borderId="0" xfId="171" applyFont="1" applyFill="1" applyAlignment="1" applyProtection="1">
      <alignment vertical="center"/>
    </xf>
    <xf numFmtId="0" fontId="7" fillId="32" borderId="0" xfId="171" applyFont="1" applyFill="1" applyAlignment="1" applyProtection="1">
      <alignment vertical="center"/>
    </xf>
    <xf numFmtId="0" fontId="6" fillId="32" borderId="0" xfId="171" applyFont="1" applyFill="1" applyAlignment="1" applyProtection="1">
      <alignment vertical="center"/>
    </xf>
    <xf numFmtId="165" fontId="6" fillId="32" borderId="0" xfId="171" applyNumberFormat="1" applyFont="1" applyFill="1" applyAlignment="1" applyProtection="1">
      <alignment vertical="center"/>
    </xf>
    <xf numFmtId="0" fontId="5" fillId="32" borderId="53" xfId="171" applyFont="1" applyFill="1" applyBorder="1" applyAlignment="1" applyProtection="1">
      <alignment vertical="center"/>
    </xf>
    <xf numFmtId="0" fontId="5" fillId="32" borderId="54" xfId="171" applyFont="1" applyFill="1" applyBorder="1" applyAlignment="1" applyProtection="1">
      <alignment vertical="center"/>
    </xf>
    <xf numFmtId="0" fontId="4" fillId="32" borderId="101" xfId="171" applyFont="1" applyFill="1" applyBorder="1" applyAlignment="1" applyProtection="1">
      <alignment horizontal="center" vertical="center"/>
    </xf>
    <xf numFmtId="0" fontId="4" fillId="32" borderId="34" xfId="171" applyFont="1" applyFill="1" applyBorder="1" applyAlignment="1" applyProtection="1">
      <alignment horizontal="center" vertical="center"/>
    </xf>
    <xf numFmtId="165" fontId="7" fillId="32" borderId="53" xfId="171" applyNumberFormat="1" applyFont="1" applyFill="1" applyBorder="1" applyAlignment="1" applyProtection="1">
      <alignment vertical="center"/>
    </xf>
    <xf numFmtId="165" fontId="7" fillId="32" borderId="34" xfId="192" applyNumberFormat="1" applyFont="1" applyFill="1" applyBorder="1" applyAlignment="1" applyProtection="1">
      <alignment horizontal="right" vertical="center"/>
    </xf>
    <xf numFmtId="165" fontId="7" fillId="32" borderId="81" xfId="171" applyNumberFormat="1" applyFont="1" applyFill="1" applyBorder="1" applyAlignment="1" applyProtection="1">
      <alignment vertical="center"/>
    </xf>
    <xf numFmtId="0" fontId="3" fillId="32" borderId="81" xfId="171" applyFont="1" applyFill="1" applyBorder="1" applyAlignment="1" applyProtection="1">
      <alignment vertical="center"/>
    </xf>
    <xf numFmtId="3" fontId="6" fillId="32" borderId="103" xfId="192" applyNumberFormat="1" applyFont="1" applyFill="1" applyBorder="1" applyAlignment="1" applyProtection="1">
      <alignment horizontal="right" vertical="center"/>
    </xf>
    <xf numFmtId="0" fontId="3" fillId="32" borderId="103" xfId="171" applyFont="1" applyFill="1" applyBorder="1" applyAlignment="1" applyProtection="1">
      <alignment horizontal="right" vertical="center"/>
    </xf>
    <xf numFmtId="165" fontId="3" fillId="29" borderId="103" xfId="192" applyNumberFormat="1" applyFont="1" applyFill="1" applyBorder="1" applyAlignment="1" applyProtection="1">
      <alignment vertical="center"/>
    </xf>
    <xf numFmtId="3" fontId="6" fillId="32" borderId="27" xfId="192" applyNumberFormat="1" applyFont="1" applyFill="1" applyBorder="1" applyAlignment="1" applyProtection="1">
      <alignment horizontal="right" vertical="center"/>
    </xf>
    <xf numFmtId="165" fontId="7" fillId="32" borderId="101" xfId="192" applyNumberFormat="1" applyFont="1" applyFill="1" applyBorder="1" applyAlignment="1" applyProtection="1">
      <alignment horizontal="right" vertical="center"/>
    </xf>
    <xf numFmtId="165" fontId="7" fillId="32" borderId="103" xfId="171" applyNumberFormat="1" applyFont="1" applyFill="1" applyBorder="1" applyAlignment="1" applyProtection="1">
      <alignment vertical="center"/>
    </xf>
    <xf numFmtId="0" fontId="3" fillId="32" borderId="103" xfId="171" applyFont="1" applyFill="1" applyBorder="1" applyAlignment="1" applyProtection="1">
      <alignment vertical="center"/>
    </xf>
    <xf numFmtId="3" fontId="6" fillId="32" borderId="83" xfId="192" applyNumberFormat="1" applyFont="1" applyFill="1" applyBorder="1" applyAlignment="1" applyProtection="1">
      <alignment horizontal="right" vertical="center"/>
    </xf>
    <xf numFmtId="165" fontId="3" fillId="32" borderId="102" xfId="192" applyNumberFormat="1" applyFont="1" applyFill="1" applyBorder="1" applyAlignment="1" applyProtection="1">
      <alignment vertical="center"/>
    </xf>
    <xf numFmtId="165" fontId="7" fillId="32" borderId="102" xfId="192" applyNumberFormat="1" applyFont="1" applyFill="1" applyBorder="1" applyAlignment="1" applyProtection="1">
      <alignment vertical="center"/>
    </xf>
    <xf numFmtId="165" fontId="3" fillId="32" borderId="103" xfId="192" applyNumberFormat="1" applyFont="1" applyFill="1" applyBorder="1" applyAlignment="1" applyProtection="1">
      <alignment vertical="center"/>
    </xf>
    <xf numFmtId="0" fontId="76" fillId="32" borderId="0" xfId="186" applyFont="1" applyFill="1" applyBorder="1" applyAlignment="1" applyProtection="1">
      <alignment vertical="center"/>
    </xf>
    <xf numFmtId="0" fontId="75" fillId="32" borderId="0" xfId="171" applyFont="1" applyFill="1" applyAlignment="1" applyProtection="1">
      <alignment vertical="center"/>
    </xf>
    <xf numFmtId="0" fontId="85" fillId="32" borderId="0" xfId="171" applyFont="1" applyFill="1" applyAlignment="1" applyProtection="1">
      <alignment vertical="center"/>
    </xf>
    <xf numFmtId="0" fontId="3" fillId="32" borderId="94" xfId="171" applyFont="1" applyFill="1" applyBorder="1" applyAlignment="1" applyProtection="1">
      <alignment horizontal="right" vertical="center"/>
    </xf>
    <xf numFmtId="165" fontId="3" fillId="29" borderId="94" xfId="192" applyNumberFormat="1" applyFont="1" applyFill="1" applyBorder="1" applyAlignment="1" applyProtection="1">
      <alignment vertical="center"/>
    </xf>
    <xf numFmtId="4" fontId="3" fillId="35" borderId="11" xfId="121" applyNumberFormat="1" applyFont="1" applyFill="1" applyBorder="1" applyAlignment="1" applyProtection="1">
      <alignment vertical="center"/>
    </xf>
    <xf numFmtId="10" fontId="3" fillId="32" borderId="11" xfId="121" applyNumberFormat="1" applyFont="1" applyFill="1" applyBorder="1" applyAlignment="1" applyProtection="1">
      <alignment vertical="center"/>
    </xf>
    <xf numFmtId="169" fontId="3" fillId="32" borderId="11" xfId="192" applyNumberFormat="1" applyFont="1" applyFill="1" applyBorder="1" applyAlignment="1" applyProtection="1">
      <alignment vertical="center"/>
    </xf>
    <xf numFmtId="4" fontId="3" fillId="32" borderId="83" xfId="30" applyNumberFormat="1" applyFill="1" applyBorder="1" applyAlignment="1" applyProtection="1">
      <alignment vertical="center"/>
    </xf>
    <xf numFmtId="0" fontId="0" fillId="32" borderId="0" xfId="0" applyFont="1" applyFill="1" applyAlignment="1" applyProtection="1">
      <alignment horizontal="center" vertical="center"/>
    </xf>
    <xf numFmtId="4" fontId="3" fillId="35" borderId="11" xfId="192" applyNumberFormat="1" applyFont="1" applyFill="1" applyBorder="1" applyAlignment="1" applyProtection="1">
      <alignment vertical="center"/>
    </xf>
    <xf numFmtId="4" fontId="6" fillId="32" borderId="11" xfId="192" applyNumberFormat="1" applyFont="1" applyFill="1" applyBorder="1" applyAlignment="1" applyProtection="1">
      <alignment horizontal="right" vertical="center"/>
    </xf>
    <xf numFmtId="172" fontId="3" fillId="32" borderId="11" xfId="192" applyNumberFormat="1" applyFont="1" applyFill="1" applyBorder="1" applyAlignment="1" applyProtection="1">
      <alignment vertical="center"/>
    </xf>
    <xf numFmtId="4" fontId="6" fillId="35" borderId="11" xfId="192" applyNumberFormat="1" applyFont="1" applyFill="1" applyBorder="1" applyAlignment="1" applyProtection="1">
      <alignment horizontal="right" vertical="center"/>
    </xf>
    <xf numFmtId="0" fontId="0" fillId="34" borderId="0" xfId="0" applyFill="1" applyAlignment="1" applyProtection="1">
      <alignment horizontal="right" vertical="center"/>
    </xf>
    <xf numFmtId="4" fontId="7" fillId="0" borderId="11" xfId="0" applyNumberFormat="1" applyFont="1" applyFill="1" applyBorder="1" applyAlignment="1" applyProtection="1">
      <alignment horizontal="right" vertical="center"/>
    </xf>
    <xf numFmtId="0" fontId="0" fillId="32" borderId="0" xfId="0" applyFill="1" applyAlignment="1" applyProtection="1">
      <alignment horizontal="right"/>
    </xf>
    <xf numFmtId="0" fontId="6" fillId="40" borderId="0" xfId="0" applyFont="1" applyFill="1" applyAlignment="1" applyProtection="1">
      <alignment vertical="center"/>
    </xf>
    <xf numFmtId="4" fontId="6" fillId="40" borderId="0" xfId="0" applyNumberFormat="1" applyFont="1" applyFill="1" applyAlignment="1" applyProtection="1">
      <alignment vertical="center"/>
    </xf>
    <xf numFmtId="0" fontId="73" fillId="40" borderId="0" xfId="0" applyFont="1" applyFill="1" applyAlignment="1" applyProtection="1">
      <alignment vertical="center"/>
    </xf>
    <xf numFmtId="0" fontId="86" fillId="32" borderId="0" xfId="186" applyFont="1" applyFill="1" applyAlignment="1" applyProtection="1">
      <alignment vertical="center"/>
    </xf>
    <xf numFmtId="10" fontId="3" fillId="37" borderId="11" xfId="121" applyNumberFormat="1" applyFont="1" applyFill="1" applyBorder="1" applyAlignment="1" applyProtection="1">
      <alignment vertical="center"/>
    </xf>
    <xf numFmtId="4" fontId="60" fillId="32" borderId="29" xfId="30" applyNumberFormat="1" applyFont="1" applyFill="1" applyBorder="1" applyAlignment="1" applyProtection="1">
      <alignment vertical="center"/>
    </xf>
    <xf numFmtId="4" fontId="60" fillId="32" borderId="11" xfId="30" applyNumberFormat="1" applyFont="1" applyFill="1" applyBorder="1" applyAlignment="1" applyProtection="1">
      <alignment horizontal="center" vertical="center"/>
    </xf>
    <xf numFmtId="0" fontId="18" fillId="32" borderId="0" xfId="13" applyFill="1" applyAlignment="1" applyProtection="1">
      <alignment horizontal="center" vertical="center"/>
    </xf>
    <xf numFmtId="0" fontId="81" fillId="32" borderId="0" xfId="0" applyFont="1" applyFill="1" applyAlignment="1" applyProtection="1">
      <alignment vertical="center"/>
    </xf>
    <xf numFmtId="0" fontId="0" fillId="32" borderId="0" xfId="0" applyFill="1" applyAlignment="1" applyProtection="1">
      <alignment vertical="center" wrapText="1"/>
    </xf>
    <xf numFmtId="0" fontId="5" fillId="32" borderId="0" xfId="0" applyFont="1" applyFill="1" applyAlignment="1" applyProtection="1">
      <alignment vertical="center" wrapText="1"/>
    </xf>
    <xf numFmtId="0" fontId="81" fillId="32" borderId="0" xfId="0" applyFont="1" applyFill="1" applyAlignment="1" applyProtection="1">
      <alignment horizontal="center" vertical="center"/>
    </xf>
    <xf numFmtId="0" fontId="0" fillId="32" borderId="27" xfId="0" applyFill="1" applyBorder="1" applyAlignment="1" applyProtection="1">
      <alignment horizontal="center" vertical="center"/>
    </xf>
    <xf numFmtId="0" fontId="0" fillId="32" borderId="28" xfId="0" applyFill="1" applyBorder="1" applyAlignment="1" applyProtection="1">
      <alignment vertical="center"/>
    </xf>
    <xf numFmtId="0" fontId="3" fillId="32" borderId="29" xfId="0" applyFont="1" applyFill="1" applyBorder="1" applyAlignment="1" applyProtection="1">
      <alignment vertical="center" wrapText="1"/>
    </xf>
    <xf numFmtId="44" fontId="3" fillId="32" borderId="29" xfId="192" applyFont="1" applyFill="1" applyBorder="1" applyAlignment="1" applyProtection="1">
      <alignment vertical="center"/>
    </xf>
    <xf numFmtId="0" fontId="0" fillId="32" borderId="0" xfId="0" applyFont="1" applyFill="1" applyBorder="1" applyAlignment="1" applyProtection="1">
      <alignment vertical="center" wrapText="1"/>
    </xf>
    <xf numFmtId="0" fontId="3" fillId="32" borderId="0" xfId="192" applyNumberFormat="1" applyFont="1" applyFill="1" applyBorder="1" applyAlignment="1" applyProtection="1">
      <alignment horizontal="center" vertical="center" wrapText="1"/>
    </xf>
    <xf numFmtId="165" fontId="3" fillId="32" borderId="0" xfId="192" applyNumberFormat="1" applyFont="1" applyFill="1" applyBorder="1" applyAlignment="1" applyProtection="1">
      <alignment vertical="center"/>
    </xf>
    <xf numFmtId="0" fontId="3" fillId="0" borderId="11" xfId="186" applyNumberFormat="1" applyFont="1" applyBorder="1" applyAlignment="1" applyProtection="1">
      <alignment horizontal="center" vertical="center"/>
    </xf>
    <xf numFmtId="3" fontId="3" fillId="31" borderId="11" xfId="192" applyNumberFormat="1" applyFont="1" applyFill="1" applyBorder="1" applyAlignment="1" applyProtection="1">
      <alignment vertical="center"/>
      <protection locked="0"/>
    </xf>
    <xf numFmtId="165" fontId="6" fillId="31" borderId="11" xfId="192" applyNumberFormat="1" applyFont="1" applyFill="1" applyBorder="1" applyAlignment="1" applyProtection="1">
      <alignment vertical="center"/>
      <protection locked="0"/>
    </xf>
    <xf numFmtId="3" fontId="3" fillId="32" borderId="11" xfId="192" applyNumberFormat="1" applyFont="1" applyFill="1" applyBorder="1" applyAlignment="1" applyProtection="1">
      <alignment vertical="center"/>
      <protection locked="0"/>
    </xf>
    <xf numFmtId="0" fontId="3" fillId="32" borderId="30" xfId="0" applyFont="1" applyFill="1" applyBorder="1" applyAlignment="1" applyProtection="1">
      <alignment vertical="center" wrapText="1"/>
    </xf>
    <xf numFmtId="0" fontId="3" fillId="32" borderId="30" xfId="186" applyNumberFormat="1" applyFont="1" applyFill="1" applyBorder="1" applyAlignment="1" applyProtection="1">
      <alignment horizontal="center" vertical="center"/>
    </xf>
    <xf numFmtId="165" fontId="3" fillId="32" borderId="30" xfId="192" applyNumberFormat="1" applyFont="1" applyFill="1" applyBorder="1" applyAlignment="1" applyProtection="1">
      <alignment vertical="center"/>
    </xf>
    <xf numFmtId="0" fontId="0" fillId="0" borderId="11" xfId="0" applyFont="1" applyBorder="1" applyAlignment="1" applyProtection="1">
      <alignment vertical="center" wrapText="1"/>
    </xf>
    <xf numFmtId="165" fontId="3" fillId="0" borderId="11" xfId="192" applyNumberFormat="1" applyFont="1" applyFill="1" applyBorder="1" applyAlignment="1" applyProtection="1">
      <alignment vertical="center"/>
    </xf>
    <xf numFmtId="165" fontId="0" fillId="29" borderId="11" xfId="192" applyNumberFormat="1" applyFont="1" applyFill="1" applyBorder="1" applyAlignment="1" applyProtection="1">
      <alignment vertical="center"/>
    </xf>
    <xf numFmtId="0" fontId="6" fillId="32" borderId="31" xfId="192" applyNumberFormat="1" applyFont="1" applyFill="1" applyBorder="1" applyAlignment="1" applyProtection="1">
      <alignment horizontal="center" vertical="center"/>
    </xf>
    <xf numFmtId="0" fontId="6" fillId="32" borderId="29" xfId="0" applyFont="1" applyFill="1" applyBorder="1" applyAlignment="1" applyProtection="1">
      <alignment horizontal="right" vertical="center" wrapText="1"/>
    </xf>
    <xf numFmtId="0" fontId="3" fillId="32" borderId="29" xfId="186" applyNumberFormat="1" applyFont="1" applyFill="1" applyBorder="1" applyAlignment="1" applyProtection="1">
      <alignment horizontal="center" vertical="center"/>
    </xf>
    <xf numFmtId="165" fontId="3" fillId="32" borderId="29" xfId="192" applyNumberFormat="1" applyFont="1" applyFill="1" applyBorder="1" applyAlignment="1" applyProtection="1">
      <alignment vertical="center"/>
    </xf>
    <xf numFmtId="0" fontId="6" fillId="32" borderId="32" xfId="192" applyNumberFormat="1" applyFont="1" applyFill="1" applyBorder="1" applyAlignment="1" applyProtection="1">
      <alignment horizontal="center" vertical="center"/>
    </xf>
    <xf numFmtId="0" fontId="0" fillId="0" borderId="11" xfId="0" applyFont="1" applyBorder="1" applyAlignment="1" applyProtection="1">
      <alignment horizontal="left" vertical="center" wrapText="1"/>
    </xf>
    <xf numFmtId="165" fontId="6" fillId="32" borderId="11" xfId="192" applyNumberFormat="1" applyFont="1" applyFill="1" applyBorder="1" applyAlignment="1" applyProtection="1">
      <alignment vertical="center"/>
      <protection locked="0"/>
    </xf>
    <xf numFmtId="0" fontId="3" fillId="0" borderId="11" xfId="0" applyFont="1" applyBorder="1" applyAlignment="1" applyProtection="1">
      <alignment vertical="center" wrapText="1"/>
    </xf>
    <xf numFmtId="0" fontId="6" fillId="32" borderId="0" xfId="192" applyNumberFormat="1" applyFont="1" applyFill="1" applyBorder="1" applyAlignment="1" applyProtection="1">
      <alignment vertical="center"/>
    </xf>
    <xf numFmtId="3" fontId="6" fillId="32" borderId="0" xfId="192" applyNumberFormat="1" applyFont="1" applyFill="1" applyBorder="1" applyAlignment="1" applyProtection="1">
      <alignment vertical="center"/>
    </xf>
    <xf numFmtId="0" fontId="3" fillId="32" borderId="0" xfId="186" applyNumberFormat="1" applyFont="1" applyFill="1" applyBorder="1" applyAlignment="1" applyProtection="1">
      <alignment horizontal="center" vertical="center"/>
    </xf>
    <xf numFmtId="0" fontId="3" fillId="32" borderId="11" xfId="0" applyFont="1" applyFill="1" applyBorder="1" applyAlignment="1" applyProtection="1">
      <alignment vertical="center" wrapText="1"/>
    </xf>
    <xf numFmtId="3" fontId="6" fillId="32" borderId="11" xfId="192" applyNumberFormat="1" applyFont="1" applyFill="1" applyBorder="1" applyAlignment="1" applyProtection="1">
      <alignment vertical="center"/>
    </xf>
    <xf numFmtId="0" fontId="6" fillId="32" borderId="11" xfId="0" applyFont="1" applyFill="1" applyBorder="1" applyAlignment="1" applyProtection="1">
      <alignment horizontal="center" vertical="center"/>
    </xf>
    <xf numFmtId="0" fontId="6" fillId="32" borderId="33" xfId="0" applyFont="1" applyFill="1" applyBorder="1" applyAlignment="1" applyProtection="1">
      <alignment horizontal="left" vertical="center" wrapText="1"/>
    </xf>
    <xf numFmtId="0" fontId="0" fillId="32" borderId="33" xfId="0" applyFill="1" applyBorder="1" applyAlignment="1" applyProtection="1">
      <alignment vertical="center"/>
    </xf>
    <xf numFmtId="165" fontId="6" fillId="32" borderId="11" xfId="192" applyNumberFormat="1" applyFont="1" applyFill="1" applyBorder="1" applyAlignment="1" applyProtection="1">
      <alignment horizontal="right" vertical="center"/>
    </xf>
    <xf numFmtId="3" fontId="6" fillId="32" borderId="33" xfId="192" applyNumberFormat="1" applyFont="1" applyFill="1" applyBorder="1" applyAlignment="1" applyProtection="1">
      <alignment vertical="center"/>
    </xf>
    <xf numFmtId="3" fontId="72" fillId="32" borderId="33" xfId="192" applyNumberFormat="1" applyFont="1" applyFill="1" applyBorder="1" applyAlignment="1" applyProtection="1">
      <alignment vertical="center"/>
    </xf>
    <xf numFmtId="0" fontId="70" fillId="32" borderId="0" xfId="0" applyFont="1" applyFill="1" applyAlignment="1" applyProtection="1">
      <alignment vertical="center"/>
    </xf>
    <xf numFmtId="0" fontId="70" fillId="32" borderId="28" xfId="0" applyFont="1" applyFill="1" applyBorder="1" applyAlignment="1" applyProtection="1">
      <alignment vertical="center"/>
    </xf>
    <xf numFmtId="44" fontId="3" fillId="32" borderId="0" xfId="192" applyFont="1" applyFill="1" applyBorder="1" applyAlignment="1" applyProtection="1">
      <alignment vertical="center"/>
    </xf>
    <xf numFmtId="44" fontId="7" fillId="32" borderId="11" xfId="192" applyFont="1" applyFill="1" applyBorder="1" applyAlignment="1" applyProtection="1">
      <alignment horizontal="center" vertical="center"/>
    </xf>
    <xf numFmtId="0" fontId="0" fillId="32" borderId="11" xfId="0" applyFill="1" applyBorder="1" applyAlignment="1" applyProtection="1">
      <alignment vertical="center" wrapText="1"/>
    </xf>
    <xf numFmtId="0" fontId="0" fillId="32" borderId="11" xfId="0"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0" fillId="32" borderId="0" xfId="0" applyFill="1" applyBorder="1" applyAlignment="1" applyProtection="1">
      <alignment horizontal="center" vertical="center"/>
    </xf>
    <xf numFmtId="0" fontId="0" fillId="32" borderId="33" xfId="0" applyFill="1" applyBorder="1" applyAlignment="1" applyProtection="1">
      <alignment vertical="center" wrapText="1"/>
    </xf>
    <xf numFmtId="0" fontId="0" fillId="32" borderId="33" xfId="0" applyFill="1" applyBorder="1" applyAlignment="1" applyProtection="1">
      <alignment horizontal="center" vertical="center"/>
    </xf>
    <xf numFmtId="0" fontId="0" fillId="32" borderId="33" xfId="0" applyFont="1" applyFill="1" applyBorder="1" applyAlignment="1" applyProtection="1">
      <alignment horizontal="center" vertical="center"/>
    </xf>
    <xf numFmtId="0" fontId="0" fillId="32" borderId="27" xfId="0" applyFill="1" applyBorder="1" applyAlignment="1" applyProtection="1">
      <alignment vertical="center" wrapText="1"/>
    </xf>
    <xf numFmtId="0" fontId="0" fillId="32" borderId="28" xfId="0" applyFont="1" applyFill="1" applyBorder="1" applyAlignment="1" applyProtection="1">
      <alignment horizontal="center" vertical="center"/>
    </xf>
    <xf numFmtId="0" fontId="19" fillId="32" borderId="11" xfId="0" applyFont="1" applyFill="1" applyBorder="1" applyAlignment="1" applyProtection="1">
      <alignment vertical="center" wrapText="1"/>
    </xf>
    <xf numFmtId="165" fontId="19" fillId="32" borderId="11" xfId="192" applyNumberFormat="1" applyFont="1" applyFill="1" applyBorder="1" applyAlignment="1" applyProtection="1">
      <alignment vertical="center"/>
    </xf>
    <xf numFmtId="4" fontId="19" fillId="0" borderId="11" xfId="186" applyNumberFormat="1" applyFont="1" applyBorder="1" applyAlignment="1" applyProtection="1">
      <alignment horizontal="left" vertical="center" wrapText="1"/>
    </xf>
    <xf numFmtId="4" fontId="19" fillId="32" borderId="11" xfId="186" applyNumberFormat="1" applyFont="1" applyFill="1" applyBorder="1" applyAlignment="1" applyProtection="1">
      <alignment horizontal="left" vertical="center" wrapText="1"/>
    </xf>
    <xf numFmtId="0" fontId="3" fillId="32" borderId="11" xfId="186" applyNumberFormat="1" applyFont="1" applyFill="1" applyBorder="1" applyAlignment="1" applyProtection="1">
      <alignment horizontal="center" vertical="center"/>
    </xf>
    <xf numFmtId="165" fontId="19" fillId="0" borderId="11" xfId="192" applyNumberFormat="1" applyFont="1" applyFill="1" applyBorder="1" applyAlignment="1" applyProtection="1">
      <alignment vertical="center"/>
    </xf>
    <xf numFmtId="165" fontId="19" fillId="29" borderId="11" xfId="192" applyNumberFormat="1" applyFont="1" applyFill="1" applyBorder="1" applyAlignment="1" applyProtection="1">
      <alignment vertical="center"/>
    </xf>
    <xf numFmtId="165" fontId="7" fillId="29" borderId="11" xfId="192" applyNumberFormat="1" applyFont="1" applyFill="1" applyBorder="1" applyAlignment="1" applyProtection="1">
      <alignment vertical="center"/>
    </xf>
    <xf numFmtId="44" fontId="0" fillId="32" borderId="0" xfId="0" applyNumberFormat="1" applyFill="1" applyBorder="1" applyAlignment="1" applyProtection="1">
      <alignment vertical="center"/>
    </xf>
    <xf numFmtId="165" fontId="6" fillId="32" borderId="0" xfId="0" applyNumberFormat="1" applyFont="1" applyFill="1" applyAlignment="1" applyProtection="1">
      <alignment vertical="center"/>
    </xf>
    <xf numFmtId="0" fontId="0" fillId="32" borderId="33" xfId="0" applyFont="1" applyFill="1" applyBorder="1" applyAlignment="1" applyProtection="1">
      <alignment horizontal="center" vertical="center" wrapText="1"/>
    </xf>
    <xf numFmtId="0" fontId="0" fillId="32" borderId="0" xfId="0" applyFont="1" applyFill="1" applyAlignment="1" applyProtection="1">
      <alignment vertical="center" wrapText="1"/>
    </xf>
    <xf numFmtId="165" fontId="7" fillId="32" borderId="0" xfId="0" applyNumberFormat="1" applyFont="1" applyFill="1" applyAlignment="1" applyProtection="1">
      <alignment vertical="center"/>
    </xf>
    <xf numFmtId="165" fontId="7" fillId="32" borderId="0" xfId="0" applyNumberFormat="1" applyFont="1" applyFill="1" applyAlignment="1" applyProtection="1">
      <alignment horizontal="right" vertical="center"/>
    </xf>
    <xf numFmtId="165" fontId="6" fillId="32" borderId="11" xfId="0" quotePrefix="1" applyNumberFormat="1" applyFont="1" applyFill="1" applyBorder="1" applyAlignment="1" applyProtection="1">
      <alignment horizontal="right" vertical="center"/>
    </xf>
    <xf numFmtId="0" fontId="6" fillId="32" borderId="0" xfId="30" applyFont="1" applyFill="1" applyAlignment="1" applyProtection="1">
      <alignment vertical="center" wrapText="1"/>
    </xf>
    <xf numFmtId="0" fontId="18" fillId="32" borderId="11" xfId="13" applyFill="1" applyBorder="1" applyAlignment="1" applyProtection="1">
      <alignment horizontal="center" vertical="center"/>
    </xf>
    <xf numFmtId="165" fontId="6" fillId="40" borderId="11" xfId="192" applyNumberFormat="1" applyFont="1" applyFill="1" applyBorder="1" applyAlignment="1" applyProtection="1">
      <alignment horizontal="right" vertical="center"/>
      <protection locked="0"/>
    </xf>
    <xf numFmtId="165" fontId="3" fillId="32" borderId="11" xfId="192" applyNumberFormat="1" applyFont="1" applyFill="1" applyBorder="1" applyAlignment="1" applyProtection="1">
      <alignment horizontal="center" vertical="center"/>
    </xf>
    <xf numFmtId="0" fontId="6" fillId="0" borderId="11" xfId="0" applyFont="1" applyBorder="1" applyAlignment="1" applyProtection="1">
      <alignment horizontal="left" vertical="center" wrapText="1" indent="2"/>
    </xf>
    <xf numFmtId="1" fontId="3" fillId="40" borderId="26" xfId="30" applyNumberFormat="1" applyFill="1" applyBorder="1" applyAlignment="1" applyProtection="1">
      <alignment horizontal="center" vertical="center"/>
    </xf>
    <xf numFmtId="0" fontId="3" fillId="40" borderId="26" xfId="30" applyFill="1" applyBorder="1" applyAlignment="1" applyProtection="1">
      <alignment horizontal="center" vertical="center"/>
    </xf>
    <xf numFmtId="4" fontId="60" fillId="40" borderId="37" xfId="30" applyNumberFormat="1" applyFont="1" applyFill="1" applyBorder="1" applyAlignment="1" applyProtection="1">
      <alignment horizontal="center" vertical="center"/>
    </xf>
    <xf numFmtId="0" fontId="3" fillId="40" borderId="0" xfId="30" applyFill="1" applyAlignment="1" applyProtection="1">
      <alignment vertical="center"/>
    </xf>
    <xf numFmtId="0" fontId="7" fillId="32" borderId="27" xfId="0" applyFont="1" applyFill="1" applyBorder="1" applyAlignment="1" applyProtection="1">
      <alignment horizontal="center" vertical="center"/>
    </xf>
    <xf numFmtId="0" fontId="7" fillId="32" borderId="28" xfId="0" applyFont="1" applyFill="1" applyBorder="1" applyAlignment="1" applyProtection="1">
      <alignment vertical="center"/>
    </xf>
    <xf numFmtId="0" fontId="7" fillId="32" borderId="0" xfId="30" applyFont="1" applyFill="1" applyAlignment="1" applyProtection="1">
      <alignment vertical="center"/>
    </xf>
    <xf numFmtId="10" fontId="3" fillId="31" borderId="11" xfId="121" applyNumberFormat="1" applyFill="1" applyBorder="1" applyAlignment="1" applyProtection="1">
      <alignment horizontal="right" vertical="center"/>
      <protection locked="0"/>
    </xf>
    <xf numFmtId="0" fontId="0" fillId="32" borderId="0" xfId="0" applyFill="1" applyAlignment="1">
      <alignment vertical="center"/>
    </xf>
    <xf numFmtId="0" fontId="64" fillId="32" borderId="0" xfId="0" applyFont="1" applyFill="1" applyAlignment="1">
      <alignment vertical="center"/>
    </xf>
    <xf numFmtId="0" fontId="0" fillId="32" borderId="0" xfId="0" applyFill="1" applyAlignment="1">
      <alignment horizontal="center" vertical="center"/>
    </xf>
    <xf numFmtId="0" fontId="6" fillId="32" borderId="0" xfId="0" applyFont="1" applyFill="1" applyAlignment="1">
      <alignment vertical="center"/>
    </xf>
    <xf numFmtId="165" fontId="3" fillId="31" borderId="67" xfId="192" applyNumberFormat="1" applyFill="1" applyBorder="1" applyAlignment="1" applyProtection="1">
      <alignment vertical="center"/>
      <protection locked="0"/>
    </xf>
    <xf numFmtId="165" fontId="3" fillId="31" borderId="43" xfId="192" applyNumberFormat="1" applyFill="1" applyBorder="1" applyAlignment="1" applyProtection="1">
      <alignment vertical="center"/>
      <protection locked="0"/>
    </xf>
    <xf numFmtId="165" fontId="3" fillId="31" borderId="69" xfId="192" applyNumberFormat="1" applyFill="1" applyBorder="1" applyAlignment="1" applyProtection="1">
      <alignment vertical="center"/>
      <protection locked="0"/>
    </xf>
    <xf numFmtId="165" fontId="3" fillId="31" borderId="52" xfId="192" applyNumberFormat="1" applyFill="1" applyBorder="1" applyAlignment="1" applyProtection="1">
      <alignment vertical="center"/>
      <protection locked="0"/>
    </xf>
    <xf numFmtId="0" fontId="75" fillId="32" borderId="0" xfId="0" applyFont="1" applyFill="1" applyAlignment="1">
      <alignment vertical="center"/>
    </xf>
    <xf numFmtId="165" fontId="3" fillId="31" borderId="46" xfId="192" applyNumberFormat="1" applyFill="1" applyBorder="1" applyAlignment="1" applyProtection="1">
      <alignment vertical="center"/>
      <protection locked="0"/>
    </xf>
    <xf numFmtId="165" fontId="3" fillId="31" borderId="59" xfId="192" applyNumberFormat="1" applyFill="1" applyBorder="1" applyAlignment="1" applyProtection="1">
      <alignment vertical="center"/>
      <protection locked="0"/>
    </xf>
    <xf numFmtId="10" fontId="7" fillId="32" borderId="25" xfId="121" applyNumberFormat="1" applyFont="1" applyFill="1" applyBorder="1" applyAlignment="1">
      <alignment vertical="center"/>
    </xf>
    <xf numFmtId="10" fontId="7" fillId="32" borderId="39" xfId="121" applyNumberFormat="1" applyFont="1" applyFill="1" applyBorder="1" applyAlignment="1">
      <alignment vertical="center"/>
    </xf>
    <xf numFmtId="0" fontId="85" fillId="32" borderId="0" xfId="0" applyFont="1" applyFill="1" applyBorder="1" applyAlignment="1">
      <alignment vertical="center"/>
    </xf>
    <xf numFmtId="165" fontId="7" fillId="32" borderId="25" xfId="194" applyNumberFormat="1" applyFont="1" applyFill="1" applyBorder="1" applyAlignment="1">
      <alignment vertical="center"/>
    </xf>
    <xf numFmtId="165" fontId="7" fillId="32" borderId="39" xfId="194" applyNumberFormat="1" applyFont="1" applyFill="1" applyBorder="1" applyAlignment="1">
      <alignment vertical="center"/>
    </xf>
    <xf numFmtId="0" fontId="3" fillId="32" borderId="48" xfId="0" applyFont="1" applyFill="1" applyBorder="1" applyAlignment="1">
      <alignment vertical="center"/>
    </xf>
    <xf numFmtId="0" fontId="3" fillId="32" borderId="49" xfId="0" applyFont="1" applyFill="1" applyBorder="1" applyAlignment="1">
      <alignment vertical="center"/>
    </xf>
    <xf numFmtId="0" fontId="3" fillId="32" borderId="51" xfId="0" applyFont="1" applyFill="1" applyBorder="1" applyAlignment="1">
      <alignment vertical="center"/>
    </xf>
    <xf numFmtId="0" fontId="3" fillId="32" borderId="15" xfId="0" applyFont="1" applyFill="1" applyBorder="1" applyAlignment="1">
      <alignment vertical="center"/>
    </xf>
    <xf numFmtId="1" fontId="7" fillId="32" borderId="92" xfId="0" applyNumberFormat="1" applyFont="1" applyFill="1" applyBorder="1" applyAlignment="1">
      <alignment horizontal="center" vertical="center"/>
    </xf>
    <xf numFmtId="0" fontId="3" fillId="32" borderId="105" xfId="0" applyFont="1" applyFill="1" applyBorder="1" applyAlignment="1">
      <alignment horizontal="left" vertical="center"/>
    </xf>
    <xf numFmtId="7" fontId="3" fillId="32" borderId="106" xfId="192" applyNumberFormat="1" applyFill="1" applyBorder="1" applyAlignment="1">
      <alignment vertical="center"/>
    </xf>
    <xf numFmtId="7" fontId="3" fillId="32" borderId="107" xfId="192" applyNumberFormat="1" applyFill="1" applyBorder="1" applyAlignment="1">
      <alignment vertical="center"/>
    </xf>
    <xf numFmtId="0" fontId="3" fillId="32" borderId="14" xfId="0" applyFont="1" applyFill="1" applyBorder="1" applyAlignment="1">
      <alignment vertical="center"/>
    </xf>
    <xf numFmtId="0" fontId="3" fillId="32" borderId="110" xfId="0" applyFont="1" applyFill="1" applyBorder="1" applyAlignment="1">
      <alignment horizontal="left" vertical="center"/>
    </xf>
    <xf numFmtId="7" fontId="3" fillId="32" borderId="111" xfId="192" applyNumberFormat="1" applyFill="1" applyBorder="1" applyAlignment="1">
      <alignment vertical="center"/>
    </xf>
    <xf numFmtId="7" fontId="3" fillId="32" borderId="108" xfId="192" applyNumberFormat="1" applyFill="1" applyBorder="1" applyAlignment="1">
      <alignment vertical="center"/>
    </xf>
    <xf numFmtId="0" fontId="3" fillId="32" borderId="109" xfId="0" applyFont="1" applyFill="1" applyBorder="1" applyAlignment="1">
      <alignment vertical="center"/>
    </xf>
    <xf numFmtId="0" fontId="3" fillId="32" borderId="32" xfId="0" applyFont="1" applyFill="1" applyBorder="1" applyAlignment="1">
      <alignment horizontal="left" vertical="center"/>
    </xf>
    <xf numFmtId="7" fontId="3" fillId="32" borderId="112" xfId="192" applyNumberFormat="1" applyFill="1" applyBorder="1" applyAlignment="1">
      <alignment vertical="center"/>
    </xf>
    <xf numFmtId="7" fontId="3" fillId="32" borderId="62" xfId="192" applyNumberFormat="1" applyFill="1" applyBorder="1" applyAlignment="1">
      <alignment vertical="center"/>
    </xf>
    <xf numFmtId="0" fontId="3" fillId="32" borderId="0" xfId="0" applyFont="1" applyFill="1" applyBorder="1" applyAlignment="1">
      <alignment vertical="center"/>
    </xf>
    <xf numFmtId="7" fontId="3" fillId="32" borderId="77" xfId="192" applyNumberFormat="1" applyFill="1" applyBorder="1" applyAlignment="1">
      <alignment vertical="center"/>
    </xf>
    <xf numFmtId="7" fontId="3" fillId="32" borderId="40" xfId="192" applyNumberFormat="1" applyFill="1" applyBorder="1" applyAlignment="1">
      <alignment vertical="center"/>
    </xf>
    <xf numFmtId="0" fontId="3" fillId="32" borderId="32" xfId="0" applyFont="1" applyFill="1" applyBorder="1" applyAlignment="1">
      <alignment vertical="center"/>
    </xf>
    <xf numFmtId="0" fontId="3" fillId="32" borderId="61" xfId="0" applyFont="1" applyFill="1" applyBorder="1" applyAlignment="1">
      <alignment vertical="center"/>
    </xf>
    <xf numFmtId="0" fontId="3" fillId="32" borderId="30" xfId="0" applyFont="1" applyFill="1" applyBorder="1" applyAlignment="1">
      <alignment vertical="center"/>
    </xf>
    <xf numFmtId="7" fontId="3" fillId="32" borderId="113" xfId="192" applyNumberFormat="1" applyFill="1" applyBorder="1" applyAlignment="1">
      <alignment vertical="center"/>
    </xf>
    <xf numFmtId="7" fontId="3" fillId="32" borderId="64" xfId="192" applyNumberFormat="1" applyFill="1" applyBorder="1" applyAlignment="1">
      <alignment vertical="center"/>
    </xf>
    <xf numFmtId="0" fontId="35" fillId="32" borderId="61" xfId="0" applyFont="1" applyFill="1" applyBorder="1" applyAlignment="1">
      <alignment vertical="center"/>
    </xf>
    <xf numFmtId="0" fontId="35" fillId="32" borderId="30" xfId="0" applyFont="1" applyFill="1" applyBorder="1" applyAlignment="1">
      <alignment vertical="center"/>
    </xf>
    <xf numFmtId="7" fontId="35" fillId="32" borderId="113" xfId="192" applyNumberFormat="1" applyFont="1" applyFill="1" applyBorder="1" applyAlignment="1">
      <alignment vertical="center"/>
    </xf>
    <xf numFmtId="7" fontId="35" fillId="32" borderId="64" xfId="192" applyNumberFormat="1" applyFont="1" applyFill="1" applyBorder="1" applyAlignment="1">
      <alignment vertical="center"/>
    </xf>
    <xf numFmtId="7" fontId="7" fillId="32" borderId="77" xfId="192" applyNumberFormat="1" applyFont="1" applyFill="1" applyBorder="1" applyAlignment="1">
      <alignment vertical="center"/>
    </xf>
    <xf numFmtId="7" fontId="7" fillId="32" borderId="40" xfId="192" applyNumberFormat="1" applyFont="1" applyFill="1" applyBorder="1" applyAlignment="1">
      <alignment vertical="center"/>
    </xf>
    <xf numFmtId="0" fontId="3" fillId="32" borderId="104" xfId="0" applyFont="1" applyFill="1" applyBorder="1" applyAlignment="1">
      <alignment vertical="center"/>
    </xf>
    <xf numFmtId="0" fontId="3" fillId="32" borderId="52" xfId="0" applyFont="1" applyFill="1" applyBorder="1" applyAlignment="1">
      <alignment vertical="center"/>
    </xf>
    <xf numFmtId="0" fontId="64" fillId="33" borderId="0" xfId="171" applyFont="1" applyFill="1" applyProtection="1"/>
    <xf numFmtId="0" fontId="89" fillId="33" borderId="14" xfId="171" applyFont="1" applyFill="1" applyBorder="1" applyAlignment="1" applyProtection="1"/>
    <xf numFmtId="0" fontId="89" fillId="33" borderId="0" xfId="171" applyFont="1" applyFill="1" applyBorder="1" applyAlignment="1" applyProtection="1"/>
    <xf numFmtId="15" fontId="64" fillId="33" borderId="0" xfId="171" applyNumberFormat="1" applyFont="1" applyFill="1" applyProtection="1"/>
    <xf numFmtId="0" fontId="0" fillId="0" borderId="0" xfId="0" applyFill="1"/>
    <xf numFmtId="0" fontId="18" fillId="0" borderId="0" xfId="13" applyFill="1" applyAlignment="1" applyProtection="1"/>
    <xf numFmtId="0" fontId="19" fillId="32" borderId="0" xfId="171" applyFont="1" applyFill="1" applyAlignment="1" applyProtection="1"/>
    <xf numFmtId="0" fontId="90" fillId="0" borderId="0" xfId="13" applyFont="1" applyFill="1" applyAlignment="1" applyProtection="1"/>
    <xf numFmtId="0" fontId="91" fillId="0" borderId="0" xfId="171" applyFont="1" applyFill="1" applyProtection="1"/>
    <xf numFmtId="0" fontId="90" fillId="32" borderId="0" xfId="13" applyFont="1" applyFill="1" applyAlignment="1" applyProtection="1"/>
    <xf numFmtId="0" fontId="91" fillId="0" borderId="0" xfId="0" applyFont="1" applyFill="1"/>
    <xf numFmtId="0" fontId="91" fillId="32" borderId="0" xfId="171" applyFont="1" applyFill="1" applyProtection="1"/>
    <xf numFmtId="0" fontId="6" fillId="32" borderId="11" xfId="0" applyFont="1" applyFill="1" applyBorder="1" applyAlignment="1" applyProtection="1">
      <alignment horizontal="left" vertical="center" wrapText="1" indent="4"/>
    </xf>
    <xf numFmtId="0" fontId="0" fillId="32" borderId="25" xfId="0" applyFill="1" applyBorder="1" applyAlignment="1" applyProtection="1">
      <alignment vertical="center"/>
    </xf>
    <xf numFmtId="0" fontId="0" fillId="0" borderId="0" xfId="0" applyAlignment="1" applyProtection="1">
      <alignment vertical="center"/>
    </xf>
    <xf numFmtId="0" fontId="3" fillId="33" borderId="0" xfId="171" applyFont="1" applyFill="1" applyProtection="1"/>
    <xf numFmtId="165" fontId="7" fillId="32" borderId="25" xfId="192" applyNumberFormat="1" applyFont="1" applyFill="1" applyBorder="1" applyAlignment="1" applyProtection="1">
      <alignment horizontal="center" vertical="center"/>
    </xf>
    <xf numFmtId="0" fontId="7" fillId="0" borderId="75" xfId="174" applyFont="1" applyFill="1" applyBorder="1" applyAlignment="1" applyProtection="1">
      <alignment horizontal="center" vertical="center" wrapText="1"/>
    </xf>
    <xf numFmtId="165" fontId="35" fillId="32" borderId="75" xfId="192" applyNumberFormat="1" applyFont="1" applyFill="1" applyBorder="1" applyAlignment="1" applyProtection="1">
      <alignment horizontal="center" vertical="center"/>
    </xf>
    <xf numFmtId="10" fontId="7" fillId="29" borderId="114" xfId="121" applyNumberFormat="1" applyFont="1" applyFill="1" applyBorder="1" applyAlignment="1" applyProtection="1">
      <alignment vertical="center"/>
    </xf>
    <xf numFmtId="10" fontId="3" fillId="32" borderId="115" xfId="121" applyNumberFormat="1" applyFont="1" applyFill="1" applyBorder="1" applyAlignment="1" applyProtection="1">
      <alignment horizontal="right" vertical="center"/>
    </xf>
    <xf numFmtId="10" fontId="6" fillId="32" borderId="115" xfId="121" applyNumberFormat="1" applyFont="1" applyFill="1" applyBorder="1" applyAlignment="1" applyProtection="1">
      <alignment horizontal="right" vertical="center"/>
    </xf>
    <xf numFmtId="10" fontId="53" fillId="32" borderId="115" xfId="121" applyNumberFormat="1" applyFont="1" applyFill="1" applyBorder="1" applyAlignment="1" applyProtection="1">
      <alignment horizontal="right" vertical="center"/>
    </xf>
    <xf numFmtId="10" fontId="3" fillId="32" borderId="115" xfId="121" applyNumberFormat="1" applyFont="1" applyFill="1" applyBorder="1" applyAlignment="1" applyProtection="1">
      <alignment vertical="center"/>
    </xf>
    <xf numFmtId="10" fontId="3" fillId="37" borderId="115" xfId="121" applyNumberFormat="1" applyFont="1" applyFill="1" applyBorder="1" applyAlignment="1" applyProtection="1">
      <alignment vertical="center"/>
    </xf>
    <xf numFmtId="10" fontId="6" fillId="32" borderId="116" xfId="121" applyNumberFormat="1" applyFont="1" applyFill="1" applyBorder="1" applyAlignment="1" applyProtection="1">
      <alignment horizontal="right" vertical="center"/>
    </xf>
    <xf numFmtId="10" fontId="7" fillId="37" borderId="115" xfId="121" applyNumberFormat="1" applyFont="1" applyFill="1" applyBorder="1" applyAlignment="1" applyProtection="1">
      <alignment vertical="center"/>
    </xf>
    <xf numFmtId="10" fontId="7" fillId="32" borderId="115" xfId="121" applyNumberFormat="1" applyFont="1" applyFill="1" applyBorder="1" applyAlignment="1" applyProtection="1">
      <alignment vertical="center"/>
    </xf>
    <xf numFmtId="10" fontId="6" fillId="32" borderId="116" xfId="126" applyNumberFormat="1" applyFont="1" applyFill="1" applyBorder="1" applyAlignment="1" applyProtection="1">
      <alignment horizontal="right" vertical="center"/>
    </xf>
    <xf numFmtId="10" fontId="7" fillId="32" borderId="75" xfId="126" applyNumberFormat="1" applyFont="1" applyFill="1" applyBorder="1" applyAlignment="1" applyProtection="1">
      <alignment horizontal="right" vertical="center"/>
    </xf>
    <xf numFmtId="0" fontId="7" fillId="0" borderId="0" xfId="174" applyFont="1" applyFill="1" applyBorder="1" applyAlignment="1" applyProtection="1">
      <alignment horizontal="center" vertical="center" wrapText="1"/>
    </xf>
    <xf numFmtId="10" fontId="3" fillId="32" borderId="0" xfId="121" applyNumberFormat="1" applyFont="1" applyFill="1" applyBorder="1" applyAlignment="1" applyProtection="1">
      <alignment horizontal="right" vertical="center"/>
    </xf>
    <xf numFmtId="10" fontId="6" fillId="32" borderId="0" xfId="121" applyNumberFormat="1" applyFont="1" applyFill="1" applyBorder="1" applyAlignment="1" applyProtection="1">
      <alignment horizontal="right" vertical="center"/>
    </xf>
    <xf numFmtId="10" fontId="7" fillId="32" borderId="0" xfId="121" applyNumberFormat="1" applyFont="1" applyFill="1" applyBorder="1" applyAlignment="1" applyProtection="1">
      <alignment vertical="center"/>
    </xf>
    <xf numFmtId="0" fontId="21" fillId="0" borderId="0" xfId="174" applyFont="1" applyFill="1" applyBorder="1" applyAlignment="1" applyProtection="1">
      <alignment horizontal="left" vertical="center"/>
    </xf>
    <xf numFmtId="165" fontId="6" fillId="0" borderId="0" xfId="174" applyNumberFormat="1" applyFont="1" applyFill="1" applyBorder="1" applyAlignment="1" applyProtection="1">
      <alignment vertical="center"/>
    </xf>
    <xf numFmtId="0" fontId="29" fillId="0" borderId="0" xfId="174" applyFont="1" applyFill="1" applyBorder="1" applyAlignment="1" applyProtection="1">
      <alignment vertical="center"/>
    </xf>
    <xf numFmtId="0" fontId="0" fillId="0" borderId="0" xfId="0" applyFill="1" applyBorder="1" applyAlignment="1" applyProtection="1">
      <alignment vertical="center"/>
    </xf>
    <xf numFmtId="165" fontId="35" fillId="0" borderId="0" xfId="192" applyNumberFormat="1" applyFont="1" applyFill="1" applyBorder="1" applyAlignment="1" applyProtection="1">
      <alignment horizontal="center" vertical="center"/>
    </xf>
    <xf numFmtId="10" fontId="7" fillId="0" borderId="0" xfId="121" applyNumberFormat="1" applyFont="1" applyFill="1" applyBorder="1" applyAlignment="1" applyProtection="1">
      <alignment vertical="center"/>
    </xf>
    <xf numFmtId="10" fontId="3" fillId="0" borderId="0" xfId="121" applyNumberFormat="1" applyFont="1" applyFill="1" applyBorder="1" applyAlignment="1" applyProtection="1">
      <alignment vertical="center"/>
    </xf>
    <xf numFmtId="10" fontId="3" fillId="0" borderId="0" xfId="121" applyNumberFormat="1" applyFont="1" applyFill="1" applyBorder="1" applyAlignment="1" applyProtection="1">
      <alignment horizontal="right" vertical="center"/>
    </xf>
    <xf numFmtId="10" fontId="6" fillId="0" borderId="0" xfId="121" applyNumberFormat="1" applyFont="1" applyFill="1" applyBorder="1" applyAlignment="1" applyProtection="1">
      <alignment horizontal="right" vertical="center"/>
    </xf>
    <xf numFmtId="10" fontId="53" fillId="0" borderId="0" xfId="121" applyNumberFormat="1" applyFont="1" applyFill="1" applyBorder="1" applyAlignment="1" applyProtection="1">
      <alignment horizontal="right" vertical="center"/>
    </xf>
    <xf numFmtId="10" fontId="6" fillId="0" borderId="0" xfId="126" applyNumberFormat="1" applyFont="1" applyFill="1" applyBorder="1" applyAlignment="1" applyProtection="1">
      <alignment horizontal="right" vertical="center"/>
    </xf>
    <xf numFmtId="10" fontId="7" fillId="0" borderId="0" xfId="126" applyNumberFormat="1" applyFont="1" applyFill="1" applyBorder="1" applyAlignment="1" applyProtection="1">
      <alignment horizontal="right" vertical="center"/>
    </xf>
    <xf numFmtId="0" fontId="29" fillId="32" borderId="0" xfId="176" applyFont="1" applyFill="1" applyBorder="1" applyAlignment="1" applyProtection="1">
      <alignment horizontal="right" vertical="center"/>
    </xf>
    <xf numFmtId="0" fontId="75" fillId="32" borderId="0" xfId="0" applyFont="1" applyFill="1" applyBorder="1" applyAlignment="1" applyProtection="1">
      <alignment vertical="center"/>
    </xf>
    <xf numFmtId="0" fontId="81" fillId="32" borderId="0" xfId="0" applyFont="1" applyFill="1" applyBorder="1" applyAlignment="1" applyProtection="1">
      <alignment vertical="center" wrapText="1"/>
    </xf>
    <xf numFmtId="0" fontId="3" fillId="32" borderId="0" xfId="184" applyFont="1" applyFill="1" applyBorder="1" applyAlignment="1" applyProtection="1">
      <alignment horizontal="right" vertical="center"/>
    </xf>
    <xf numFmtId="0" fontId="7" fillId="32" borderId="0" xfId="184" applyFont="1" applyFill="1" applyBorder="1" applyAlignment="1" applyProtection="1">
      <alignment horizontal="center" vertical="center" wrapText="1"/>
    </xf>
    <xf numFmtId="0" fontId="7" fillId="32" borderId="0" xfId="184" applyFont="1" applyFill="1" applyBorder="1" applyAlignment="1" applyProtection="1">
      <alignment vertical="center" wrapText="1"/>
    </xf>
    <xf numFmtId="0" fontId="7" fillId="32" borderId="0" xfId="184" applyFont="1" applyFill="1" applyBorder="1" applyAlignment="1" applyProtection="1">
      <alignment horizontal="right" vertical="center"/>
    </xf>
    <xf numFmtId="0" fontId="19" fillId="32" borderId="0" xfId="184" applyFont="1" applyFill="1" applyBorder="1" applyAlignment="1" applyProtection="1">
      <alignment horizontal="right" vertical="center"/>
    </xf>
    <xf numFmtId="10" fontId="7" fillId="32" borderId="0" xfId="192" applyNumberFormat="1" applyFont="1" applyFill="1" applyBorder="1" applyAlignment="1" applyProtection="1">
      <alignment vertical="center"/>
    </xf>
    <xf numFmtId="10" fontId="19" fillId="32" borderId="0" xfId="121" applyNumberFormat="1" applyFont="1" applyFill="1" applyBorder="1" applyAlignment="1" applyProtection="1">
      <alignment horizontal="left" vertical="center"/>
    </xf>
    <xf numFmtId="10" fontId="7" fillId="32" borderId="0" xfId="121" applyNumberFormat="1" applyFont="1" applyFill="1" applyBorder="1" applyAlignment="1" applyProtection="1">
      <alignment horizontal="right" vertical="center"/>
    </xf>
    <xf numFmtId="167" fontId="7" fillId="32" borderId="0" xfId="192" applyNumberFormat="1" applyFont="1" applyFill="1" applyBorder="1" applyAlignment="1" applyProtection="1">
      <alignment vertical="center"/>
    </xf>
    <xf numFmtId="0" fontId="21" fillId="32" borderId="0" xfId="184" applyFont="1" applyFill="1" applyBorder="1" applyAlignment="1" applyProtection="1">
      <alignment horizontal="right" vertical="center"/>
    </xf>
    <xf numFmtId="165" fontId="7" fillId="32" borderId="0" xfId="174" applyNumberFormat="1" applyFont="1" applyFill="1" applyBorder="1" applyAlignment="1" applyProtection="1">
      <alignment horizontal="right" vertical="center"/>
    </xf>
    <xf numFmtId="0" fontId="29" fillId="32" borderId="0" xfId="184" applyFont="1" applyFill="1" applyBorder="1" applyAlignment="1" applyProtection="1">
      <alignment vertical="center"/>
    </xf>
    <xf numFmtId="0" fontId="29" fillId="32" borderId="0" xfId="184" applyFont="1" applyFill="1" applyBorder="1" applyAlignment="1" applyProtection="1">
      <alignment horizontal="right" vertical="center"/>
    </xf>
    <xf numFmtId="0" fontId="3" fillId="32" borderId="0" xfId="184" applyFill="1" applyBorder="1" applyAlignment="1" applyProtection="1">
      <alignment horizontal="right" vertical="center"/>
    </xf>
    <xf numFmtId="0" fontId="7" fillId="32" borderId="117" xfId="184" applyFont="1" applyFill="1" applyBorder="1" applyAlignment="1" applyProtection="1">
      <alignment horizontal="center" vertical="center" wrapText="1"/>
    </xf>
    <xf numFmtId="0" fontId="7" fillId="32" borderId="75" xfId="184" applyFont="1" applyFill="1" applyBorder="1" applyAlignment="1" applyProtection="1">
      <alignment vertical="center" wrapText="1"/>
    </xf>
    <xf numFmtId="0" fontId="7" fillId="32" borderId="118" xfId="184" applyFont="1" applyFill="1" applyBorder="1" applyAlignment="1" applyProtection="1">
      <alignment horizontal="right" vertical="center"/>
    </xf>
    <xf numFmtId="0" fontId="19" fillId="32" borderId="115" xfId="184" applyFont="1" applyFill="1" applyBorder="1" applyAlignment="1" applyProtection="1">
      <alignment horizontal="right" vertical="center"/>
    </xf>
    <xf numFmtId="10" fontId="19" fillId="32" borderId="115" xfId="121" applyNumberFormat="1" applyFont="1" applyFill="1" applyBorder="1" applyAlignment="1" applyProtection="1">
      <alignment horizontal="left" vertical="center"/>
    </xf>
    <xf numFmtId="10" fontId="7" fillId="32" borderId="115" xfId="121" applyNumberFormat="1" applyFont="1" applyFill="1" applyBorder="1" applyAlignment="1" applyProtection="1">
      <alignment horizontal="right" vertical="center"/>
    </xf>
    <xf numFmtId="167" fontId="7" fillId="32" borderId="115" xfId="192" applyNumberFormat="1" applyFont="1" applyFill="1" applyBorder="1" applyAlignment="1" applyProtection="1">
      <alignment vertical="center"/>
    </xf>
    <xf numFmtId="0" fontId="21" fillId="32" borderId="119" xfId="184" applyFont="1" applyFill="1" applyBorder="1" applyAlignment="1" applyProtection="1">
      <alignment horizontal="right" vertical="center"/>
    </xf>
    <xf numFmtId="165" fontId="7" fillId="32" borderId="75" xfId="174" applyNumberFormat="1" applyFont="1" applyFill="1" applyBorder="1" applyAlignment="1" applyProtection="1">
      <alignment horizontal="right" vertical="center"/>
    </xf>
    <xf numFmtId="0" fontId="7" fillId="32" borderId="25" xfId="184" applyFont="1" applyFill="1" applyBorder="1" applyAlignment="1" applyProtection="1">
      <alignment horizontal="center" vertical="center" wrapText="1"/>
    </xf>
    <xf numFmtId="165" fontId="7" fillId="32" borderId="39" xfId="192" applyNumberFormat="1" applyFont="1" applyFill="1" applyBorder="1" applyAlignment="1" applyProtection="1">
      <alignment horizontal="right" vertical="center"/>
    </xf>
    <xf numFmtId="0" fontId="3" fillId="32" borderId="0" xfId="171" applyFill="1" applyBorder="1" applyAlignment="1" applyProtection="1">
      <alignment vertical="center"/>
    </xf>
    <xf numFmtId="0" fontId="6" fillId="32" borderId="0" xfId="0" applyFont="1" applyFill="1" applyBorder="1" applyAlignment="1" applyProtection="1">
      <alignment vertical="center" wrapText="1"/>
    </xf>
    <xf numFmtId="0" fontId="7" fillId="32" borderId="0" xfId="171" applyFont="1" applyFill="1" applyBorder="1" applyAlignment="1" applyProtection="1">
      <alignment horizontal="center" vertical="center" wrapText="1"/>
    </xf>
    <xf numFmtId="0" fontId="4" fillId="32" borderId="0" xfId="171" applyFont="1" applyFill="1" applyBorder="1" applyAlignment="1" applyProtection="1">
      <alignment horizontal="center" vertical="center"/>
    </xf>
    <xf numFmtId="165" fontId="7" fillId="32" borderId="0" xfId="192" applyNumberFormat="1" applyFont="1" applyFill="1" applyBorder="1" applyAlignment="1" applyProtection="1">
      <alignment horizontal="right" vertical="center"/>
    </xf>
    <xf numFmtId="165" fontId="6" fillId="32" borderId="0" xfId="171" applyNumberFormat="1" applyFont="1" applyFill="1" applyBorder="1" applyAlignment="1" applyProtection="1">
      <alignment vertical="center"/>
    </xf>
    <xf numFmtId="10" fontId="3" fillId="32" borderId="0" xfId="192" applyNumberFormat="1" applyFont="1" applyFill="1" applyBorder="1" applyAlignment="1" applyProtection="1">
      <alignment vertical="center"/>
    </xf>
    <xf numFmtId="0" fontId="7" fillId="32" borderId="117" xfId="171" applyFont="1" applyFill="1" applyBorder="1" applyAlignment="1" applyProtection="1">
      <alignment horizontal="center" vertical="center" wrapText="1"/>
    </xf>
    <xf numFmtId="0" fontId="4" fillId="32" borderId="75" xfId="171" applyFont="1" applyFill="1" applyBorder="1" applyAlignment="1" applyProtection="1">
      <alignment horizontal="center" vertical="center"/>
    </xf>
    <xf numFmtId="10" fontId="7" fillId="29" borderId="43" xfId="121" applyNumberFormat="1" applyFont="1" applyFill="1" applyBorder="1" applyAlignment="1" applyProtection="1">
      <alignment vertical="center"/>
    </xf>
    <xf numFmtId="10" fontId="3" fillId="32" borderId="56" xfId="121" applyNumberFormat="1" applyFont="1" applyFill="1" applyBorder="1" applyAlignment="1" applyProtection="1">
      <alignment horizontal="right" vertical="center"/>
    </xf>
    <xf numFmtId="10" fontId="6" fillId="32" borderId="118" xfId="121" applyNumberFormat="1" applyFont="1" applyFill="1" applyBorder="1" applyAlignment="1" applyProtection="1">
      <alignment horizontal="right" vertical="center"/>
    </xf>
    <xf numFmtId="10" fontId="3" fillId="32" borderId="118" xfId="121" applyNumberFormat="1" applyFont="1" applyFill="1" applyBorder="1" applyAlignment="1" applyProtection="1">
      <alignment horizontal="right" vertical="center"/>
    </xf>
    <xf numFmtId="10" fontId="3" fillId="29" borderId="118" xfId="121" applyNumberFormat="1" applyFont="1" applyFill="1" applyBorder="1" applyAlignment="1" applyProtection="1">
      <alignment horizontal="right" vertical="center"/>
    </xf>
    <xf numFmtId="10" fontId="6" fillId="32" borderId="40" xfId="121" applyNumberFormat="1" applyFont="1" applyFill="1" applyBorder="1" applyAlignment="1" applyProtection="1">
      <alignment horizontal="right" vertical="center"/>
    </xf>
    <xf numFmtId="0" fontId="6" fillId="32" borderId="0" xfId="0" applyFont="1" applyFill="1" applyBorder="1" applyAlignment="1" applyProtection="1">
      <alignment horizontal="left" vertical="center" wrapText="1"/>
    </xf>
    <xf numFmtId="0" fontId="7" fillId="32" borderId="50" xfId="171" applyFont="1" applyFill="1" applyBorder="1" applyAlignment="1" applyProtection="1">
      <alignment horizontal="center" vertical="center" wrapText="1"/>
    </xf>
    <xf numFmtId="0" fontId="4" fillId="32" borderId="39" xfId="171" applyFont="1" applyFill="1" applyBorder="1" applyAlignment="1" applyProtection="1">
      <alignment horizontal="center" vertical="center"/>
    </xf>
    <xf numFmtId="10" fontId="3" fillId="29" borderId="56" xfId="121" applyNumberFormat="1" applyFont="1" applyFill="1" applyBorder="1" applyAlignment="1" applyProtection="1">
      <alignment horizontal="right" vertical="center"/>
    </xf>
    <xf numFmtId="0" fontId="7" fillId="32" borderId="60" xfId="171" applyFont="1" applyFill="1" applyBorder="1" applyAlignment="1" applyProtection="1">
      <alignment horizontal="center" vertical="center"/>
    </xf>
    <xf numFmtId="0" fontId="3" fillId="32" borderId="0" xfId="171" applyFont="1" applyFill="1" applyAlignment="1" applyProtection="1">
      <alignment horizontal="center" vertical="center"/>
    </xf>
    <xf numFmtId="0" fontId="70" fillId="32" borderId="11" xfId="0" applyFont="1" applyFill="1" applyBorder="1" applyAlignment="1" applyProtection="1">
      <alignment horizontal="center" vertical="center"/>
    </xf>
    <xf numFmtId="0" fontId="7" fillId="32" borderId="14" xfId="0" applyFont="1" applyFill="1" applyBorder="1" applyAlignment="1">
      <alignment vertical="center"/>
    </xf>
    <xf numFmtId="0" fontId="4" fillId="32" borderId="0" xfId="0" applyFont="1" applyFill="1" applyBorder="1" applyAlignment="1">
      <alignment vertical="center"/>
    </xf>
    <xf numFmtId="170" fontId="6" fillId="31" borderId="11" xfId="121" applyNumberFormat="1" applyFont="1" applyFill="1" applyBorder="1" applyAlignment="1" applyProtection="1">
      <alignment horizontal="right" vertical="center"/>
      <protection locked="0"/>
    </xf>
    <xf numFmtId="0" fontId="7" fillId="35" borderId="82" xfId="30" applyFont="1" applyFill="1" applyBorder="1" applyAlignment="1" applyProtection="1">
      <alignment horizontal="center" vertical="center"/>
    </xf>
    <xf numFmtId="0" fontId="3" fillId="35" borderId="11" xfId="30" applyFill="1" applyBorder="1" applyAlignment="1" applyProtection="1">
      <alignment horizontal="center" vertical="center"/>
    </xf>
    <xf numFmtId="4" fontId="3" fillId="35" borderId="32" xfId="30" applyNumberFormat="1" applyFont="1" applyFill="1" applyBorder="1" applyAlignment="1" applyProtection="1">
      <alignment vertical="center"/>
    </xf>
    <xf numFmtId="4" fontId="3" fillId="35" borderId="35" xfId="30" applyNumberFormat="1" applyFont="1" applyFill="1" applyBorder="1" applyAlignment="1" applyProtection="1">
      <alignment vertical="center"/>
    </xf>
    <xf numFmtId="4" fontId="3" fillId="35" borderId="0" xfId="30" applyNumberFormat="1" applyFont="1" applyFill="1" applyBorder="1" applyAlignment="1" applyProtection="1">
      <alignment vertical="center"/>
    </xf>
    <xf numFmtId="4" fontId="3" fillId="35" borderId="36" xfId="30" applyNumberFormat="1" applyFont="1" applyFill="1" applyBorder="1" applyAlignment="1" applyProtection="1">
      <alignment vertical="center"/>
    </xf>
    <xf numFmtId="4" fontId="3" fillId="37" borderId="25" xfId="192" applyNumberFormat="1" applyFont="1" applyFill="1" applyBorder="1" applyAlignment="1" applyProtection="1">
      <alignment vertical="center"/>
    </xf>
    <xf numFmtId="4" fontId="3" fillId="35" borderId="0" xfId="192" applyNumberFormat="1" applyFont="1" applyFill="1" applyBorder="1" applyAlignment="1" applyProtection="1">
      <alignment vertical="center"/>
    </xf>
    <xf numFmtId="4" fontId="60" fillId="35" borderId="37" xfId="30" applyNumberFormat="1" applyFont="1" applyFill="1" applyBorder="1" applyAlignment="1" applyProtection="1">
      <alignment vertical="center"/>
    </xf>
    <xf numFmtId="4" fontId="60" fillId="35" borderId="11" xfId="30" applyNumberFormat="1" applyFont="1" applyFill="1" applyBorder="1" applyAlignment="1" applyProtection="1">
      <alignment vertical="center"/>
    </xf>
    <xf numFmtId="4" fontId="62" fillId="35" borderId="0" xfId="30" applyNumberFormat="1" applyFont="1" applyFill="1" applyAlignment="1" applyProtection="1">
      <alignment horizontal="right" vertical="center"/>
    </xf>
    <xf numFmtId="4" fontId="3" fillId="35" borderId="0" xfId="30" applyNumberFormat="1" applyFill="1" applyBorder="1" applyAlignment="1" applyProtection="1">
      <alignment vertical="center"/>
    </xf>
    <xf numFmtId="4" fontId="3" fillId="35" borderId="35" xfId="30" applyNumberFormat="1" applyFill="1" applyBorder="1" applyAlignment="1" applyProtection="1">
      <alignment vertical="center"/>
    </xf>
    <xf numFmtId="4" fontId="3" fillId="35" borderId="36" xfId="30" applyNumberFormat="1" applyFill="1" applyBorder="1" applyAlignment="1" applyProtection="1">
      <alignment vertical="center"/>
    </xf>
    <xf numFmtId="4" fontId="60" fillId="30" borderId="11" xfId="30" applyNumberFormat="1" applyFont="1" applyFill="1" applyBorder="1" applyAlignment="1" applyProtection="1">
      <alignment vertical="center"/>
    </xf>
    <xf numFmtId="4" fontId="59" fillId="35" borderId="0" xfId="30" applyNumberFormat="1" applyFont="1" applyFill="1" applyBorder="1" applyAlignment="1" applyProtection="1">
      <alignment vertical="center"/>
    </xf>
    <xf numFmtId="4" fontId="59" fillId="35" borderId="36" xfId="30" applyNumberFormat="1" applyFont="1" applyFill="1" applyBorder="1" applyAlignment="1" applyProtection="1">
      <alignment vertical="center"/>
    </xf>
    <xf numFmtId="1" fontId="3" fillId="30" borderId="11" xfId="30" applyNumberFormat="1" applyFill="1" applyBorder="1" applyAlignment="1" applyProtection="1">
      <alignment horizontal="center" vertical="center"/>
    </xf>
    <xf numFmtId="4" fontId="3" fillId="35" borderId="0" xfId="30" applyNumberFormat="1" applyFill="1" applyAlignment="1" applyProtection="1">
      <alignment vertical="center"/>
    </xf>
    <xf numFmtId="4" fontId="59" fillId="35" borderId="11" xfId="30" applyNumberFormat="1" applyFont="1" applyFill="1" applyBorder="1" applyAlignment="1" applyProtection="1">
      <alignment vertical="center"/>
    </xf>
    <xf numFmtId="0" fontId="3" fillId="42" borderId="26" xfId="30" applyFill="1" applyBorder="1" applyAlignment="1" applyProtection="1">
      <alignment horizontal="center" vertical="center"/>
    </xf>
    <xf numFmtId="1" fontId="3" fillId="35" borderId="11" xfId="30" applyNumberFormat="1" applyFill="1" applyBorder="1" applyAlignment="1" applyProtection="1">
      <alignment horizontal="center" vertical="center"/>
    </xf>
    <xf numFmtId="0" fontId="3" fillId="35" borderId="0" xfId="30" applyFill="1" applyAlignment="1" applyProtection="1">
      <alignment vertical="center"/>
    </xf>
    <xf numFmtId="4" fontId="3" fillId="35" borderId="11" xfId="30" applyNumberFormat="1" applyFill="1" applyBorder="1" applyAlignment="1" applyProtection="1">
      <alignment vertical="center"/>
    </xf>
    <xf numFmtId="4" fontId="59" fillId="35" borderId="83" xfId="30" applyNumberFormat="1" applyFont="1" applyFill="1" applyBorder="1" applyAlignment="1" applyProtection="1">
      <alignment vertical="center"/>
    </xf>
    <xf numFmtId="4" fontId="59" fillId="35" borderId="31" xfId="30" applyNumberFormat="1" applyFont="1" applyFill="1" applyBorder="1" applyAlignment="1" applyProtection="1">
      <alignment vertical="center"/>
    </xf>
    <xf numFmtId="4" fontId="59" fillId="35" borderId="30" xfId="30" applyNumberFormat="1" applyFont="1" applyFill="1" applyBorder="1" applyAlignment="1" applyProtection="1">
      <alignment vertical="center"/>
    </xf>
    <xf numFmtId="4" fontId="3" fillId="35" borderId="28" xfId="192" applyNumberFormat="1" applyFont="1" applyFill="1" applyBorder="1" applyAlignment="1" applyProtection="1">
      <alignment vertical="center"/>
    </xf>
    <xf numFmtId="4" fontId="59" fillId="35" borderId="79" xfId="30" applyNumberFormat="1" applyFont="1" applyFill="1" applyBorder="1" applyAlignment="1" applyProtection="1">
      <alignment vertical="center"/>
    </xf>
    <xf numFmtId="0" fontId="7" fillId="35" borderId="11" xfId="0" applyFont="1" applyFill="1" applyBorder="1" applyAlignment="1" applyProtection="1">
      <alignment horizontal="center" vertical="center" wrapText="1"/>
    </xf>
    <xf numFmtId="0" fontId="0" fillId="35" borderId="0" xfId="0" applyFill="1" applyBorder="1" applyAlignment="1" applyProtection="1">
      <alignment vertical="center"/>
    </xf>
    <xf numFmtId="4" fontId="0" fillId="35" borderId="0" xfId="0" applyNumberFormat="1" applyFill="1" applyAlignment="1" applyProtection="1">
      <alignment vertical="center"/>
    </xf>
    <xf numFmtId="4" fontId="19" fillId="43" borderId="11" xfId="0" applyNumberFormat="1" applyFont="1" applyFill="1" applyBorder="1" applyAlignment="1" applyProtection="1">
      <alignment vertical="center"/>
    </xf>
    <xf numFmtId="4" fontId="6" fillId="35" borderId="0" xfId="0" applyNumberFormat="1" applyFont="1" applyFill="1" applyAlignment="1" applyProtection="1">
      <alignment vertical="center"/>
    </xf>
    <xf numFmtId="0" fontId="0" fillId="35" borderId="0" xfId="0" applyFill="1" applyAlignment="1" applyProtection="1">
      <alignment vertical="center"/>
    </xf>
    <xf numFmtId="4" fontId="7" fillId="43" borderId="11" xfId="0" applyNumberFormat="1" applyFont="1" applyFill="1" applyBorder="1" applyAlignment="1" applyProtection="1">
      <alignment horizontal="center" vertical="center"/>
    </xf>
    <xf numFmtId="0" fontId="70" fillId="35" borderId="0" xfId="0" applyFont="1" applyFill="1" applyBorder="1" applyAlignment="1" applyProtection="1">
      <alignment vertical="center"/>
    </xf>
    <xf numFmtId="0" fontId="64" fillId="35" borderId="0" xfId="0" applyFont="1" applyFill="1" applyAlignment="1" applyProtection="1">
      <alignment vertical="center"/>
    </xf>
    <xf numFmtId="0" fontId="6" fillId="43" borderId="11" xfId="0" applyFont="1" applyFill="1" applyBorder="1" applyAlignment="1" applyProtection="1">
      <alignment vertical="center"/>
    </xf>
    <xf numFmtId="0" fontId="7" fillId="35" borderId="0" xfId="0" applyFont="1" applyFill="1" applyAlignment="1" applyProtection="1">
      <alignment vertical="center"/>
    </xf>
    <xf numFmtId="0" fontId="70" fillId="35" borderId="11" xfId="0" applyFont="1" applyFill="1" applyBorder="1" applyAlignment="1" applyProtection="1">
      <alignment vertical="center"/>
    </xf>
    <xf numFmtId="4" fontId="7" fillId="35" borderId="11" xfId="0" applyNumberFormat="1" applyFont="1" applyFill="1" applyBorder="1" applyAlignment="1" applyProtection="1">
      <alignment vertical="center"/>
    </xf>
    <xf numFmtId="0" fontId="7" fillId="35" borderId="25" xfId="30" applyFont="1" applyFill="1" applyBorder="1" applyAlignment="1" applyProtection="1">
      <alignment horizontal="center" vertical="center"/>
    </xf>
    <xf numFmtId="4" fontId="3" fillId="41" borderId="11" xfId="192" applyNumberFormat="1" applyFont="1" applyFill="1" applyBorder="1" applyAlignment="1" applyProtection="1">
      <alignment vertical="center"/>
    </xf>
    <xf numFmtId="4" fontId="3" fillId="35" borderId="31" xfId="192" applyNumberFormat="1" applyFont="1" applyFill="1" applyBorder="1" applyAlignment="1" applyProtection="1">
      <alignment vertical="center"/>
    </xf>
    <xf numFmtId="1" fontId="3" fillId="30" borderId="26" xfId="30" applyNumberFormat="1" applyFill="1" applyBorder="1" applyAlignment="1" applyProtection="1">
      <alignment horizontal="center" vertical="center"/>
    </xf>
    <xf numFmtId="4" fontId="63" fillId="35" borderId="11" xfId="30" applyNumberFormat="1" applyFont="1" applyFill="1" applyBorder="1" applyAlignment="1" applyProtection="1">
      <alignment vertical="center"/>
    </xf>
    <xf numFmtId="0" fontId="0" fillId="35" borderId="0" xfId="0" applyFill="1" applyAlignment="1" applyProtection="1">
      <alignment horizontal="right" vertical="center"/>
    </xf>
    <xf numFmtId="4" fontId="7" fillId="35" borderId="11" xfId="0" applyNumberFormat="1" applyFont="1" applyFill="1" applyBorder="1" applyAlignment="1" applyProtection="1">
      <alignment horizontal="right" vertical="center"/>
    </xf>
    <xf numFmtId="10" fontId="3" fillId="35" borderId="11" xfId="121" applyNumberFormat="1" applyFont="1" applyFill="1" applyBorder="1" applyAlignment="1" applyProtection="1">
      <alignment vertical="center"/>
    </xf>
    <xf numFmtId="166" fontId="3" fillId="37" borderId="11" xfId="192" applyNumberFormat="1" applyFont="1" applyFill="1" applyBorder="1" applyAlignment="1" applyProtection="1">
      <alignment vertical="center"/>
    </xf>
    <xf numFmtId="171" fontId="3" fillId="35" borderId="11" xfId="121" applyNumberFormat="1" applyFont="1" applyFill="1" applyBorder="1" applyAlignment="1" applyProtection="1">
      <alignment vertical="center"/>
    </xf>
    <xf numFmtId="4" fontId="3" fillId="35" borderId="36" xfId="192" applyNumberFormat="1" applyFont="1" applyFill="1" applyBorder="1" applyAlignment="1" applyProtection="1">
      <alignment vertical="center"/>
    </xf>
    <xf numFmtId="4" fontId="3" fillId="37" borderId="75" xfId="192" applyNumberFormat="1" applyFont="1" applyFill="1" applyBorder="1" applyAlignment="1" applyProtection="1">
      <alignment vertical="center"/>
    </xf>
    <xf numFmtId="4" fontId="3" fillId="37" borderId="60" xfId="192" applyNumberFormat="1" applyFont="1" applyFill="1" applyBorder="1" applyAlignment="1" applyProtection="1">
      <alignment vertical="center"/>
    </xf>
    <xf numFmtId="4" fontId="60" fillId="35" borderId="93" xfId="30" applyNumberFormat="1" applyFont="1" applyFill="1" applyBorder="1" applyAlignment="1" applyProtection="1">
      <alignment vertical="center"/>
    </xf>
    <xf numFmtId="4" fontId="3" fillId="35" borderId="79" xfId="30" applyNumberFormat="1" applyFill="1" applyBorder="1" applyAlignment="1" applyProtection="1">
      <alignment vertical="center"/>
    </xf>
    <xf numFmtId="4" fontId="61" fillId="30" borderId="11" xfId="30" applyNumberFormat="1" applyFont="1" applyFill="1" applyBorder="1" applyAlignment="1" applyProtection="1">
      <alignment vertical="center"/>
    </xf>
    <xf numFmtId="4" fontId="3" fillId="35" borderId="83" xfId="192" applyNumberFormat="1" applyFont="1" applyFill="1" applyBorder="1" applyAlignment="1" applyProtection="1">
      <alignment vertical="center"/>
    </xf>
    <xf numFmtId="4" fontId="3" fillId="35" borderId="30" xfId="192" applyNumberFormat="1" applyFont="1" applyFill="1" applyBorder="1" applyAlignment="1" applyProtection="1">
      <alignment vertical="center"/>
    </xf>
    <xf numFmtId="1" fontId="3" fillId="30" borderId="37" xfId="30" applyNumberFormat="1" applyFill="1" applyBorder="1" applyAlignment="1" applyProtection="1">
      <alignment horizontal="center" vertical="center"/>
    </xf>
    <xf numFmtId="4" fontId="3" fillId="35" borderId="83" xfId="30" applyNumberFormat="1" applyFont="1" applyFill="1" applyBorder="1" applyAlignment="1" applyProtection="1">
      <alignment vertical="center"/>
    </xf>
    <xf numFmtId="4" fontId="6" fillId="35" borderId="0" xfId="0" applyNumberFormat="1" applyFont="1" applyFill="1" applyBorder="1" applyAlignment="1" applyProtection="1">
      <alignment vertical="center"/>
    </xf>
    <xf numFmtId="4" fontId="6" fillId="42" borderId="0" xfId="0" applyNumberFormat="1" applyFont="1" applyFill="1" applyAlignment="1" applyProtection="1">
      <alignment vertical="center"/>
    </xf>
    <xf numFmtId="4" fontId="3" fillId="35" borderId="83" xfId="30" applyNumberFormat="1" applyFill="1" applyBorder="1" applyAlignment="1" applyProtection="1">
      <alignment vertical="center"/>
    </xf>
    <xf numFmtId="4" fontId="3" fillId="35" borderId="31" xfId="30" applyNumberFormat="1" applyFill="1" applyBorder="1" applyAlignment="1" applyProtection="1">
      <alignment vertical="center"/>
    </xf>
    <xf numFmtId="4" fontId="3" fillId="35" borderId="30" xfId="30" applyNumberFormat="1" applyFill="1" applyBorder="1" applyAlignment="1" applyProtection="1">
      <alignment vertical="center"/>
    </xf>
    <xf numFmtId="0" fontId="3" fillId="30" borderId="26" xfId="30" applyFill="1" applyBorder="1" applyAlignment="1" applyProtection="1">
      <alignment horizontal="center" vertical="center"/>
    </xf>
    <xf numFmtId="3" fontId="3" fillId="32" borderId="11" xfId="121" applyNumberFormat="1" applyFont="1" applyFill="1" applyBorder="1" applyAlignment="1" applyProtection="1">
      <alignment vertical="center"/>
    </xf>
    <xf numFmtId="0" fontId="7" fillId="32" borderId="33" xfId="30" applyFont="1" applyFill="1" applyBorder="1" applyAlignment="1" applyProtection="1">
      <alignment horizontal="center" vertical="center"/>
    </xf>
    <xf numFmtId="0" fontId="7" fillId="35" borderId="33" xfId="30" applyFont="1" applyFill="1" applyBorder="1" applyAlignment="1" applyProtection="1">
      <alignment horizontal="center" vertical="center"/>
    </xf>
    <xf numFmtId="4" fontId="3" fillId="37" borderId="28" xfId="192" applyNumberFormat="1" applyFont="1" applyFill="1" applyBorder="1" applyAlignment="1" applyProtection="1">
      <alignment vertical="center"/>
    </xf>
    <xf numFmtId="4" fontId="7" fillId="32" borderId="38" xfId="192" applyNumberFormat="1" applyFont="1" applyFill="1" applyBorder="1" applyAlignment="1" applyProtection="1">
      <alignment horizontal="right" vertical="center"/>
    </xf>
    <xf numFmtId="4" fontId="7" fillId="35" borderId="38" xfId="192" applyNumberFormat="1" applyFont="1" applyFill="1" applyBorder="1" applyAlignment="1" applyProtection="1">
      <alignment horizontal="right" vertical="center"/>
    </xf>
    <xf numFmtId="4" fontId="7" fillId="35" borderId="75" xfId="192" applyNumberFormat="1" applyFont="1" applyFill="1" applyBorder="1" applyAlignment="1" applyProtection="1">
      <alignment horizontal="right" vertical="center"/>
    </xf>
    <xf numFmtId="4" fontId="3" fillId="37" borderId="120" xfId="192" applyNumberFormat="1" applyFont="1" applyFill="1" applyBorder="1" applyAlignment="1" applyProtection="1">
      <alignment vertical="center"/>
    </xf>
    <xf numFmtId="4" fontId="3" fillId="37" borderId="122" xfId="192" applyNumberFormat="1" applyFont="1" applyFill="1" applyBorder="1" applyAlignment="1" applyProtection="1">
      <alignment vertical="center"/>
    </xf>
    <xf numFmtId="4" fontId="3" fillId="37" borderId="125" xfId="192" applyNumberFormat="1" applyFont="1" applyFill="1" applyBorder="1" applyAlignment="1" applyProtection="1">
      <alignment vertical="center"/>
    </xf>
    <xf numFmtId="4" fontId="3" fillId="37" borderId="126" xfId="192" applyNumberFormat="1" applyFont="1" applyFill="1" applyBorder="1" applyAlignment="1" applyProtection="1">
      <alignment vertical="center"/>
    </xf>
    <xf numFmtId="4" fontId="6" fillId="32" borderId="28" xfId="192" applyNumberFormat="1" applyFont="1" applyFill="1" applyBorder="1" applyAlignment="1" applyProtection="1">
      <alignment vertical="center"/>
    </xf>
    <xf numFmtId="4" fontId="6" fillId="35" borderId="28" xfId="192" applyNumberFormat="1" applyFont="1" applyFill="1" applyBorder="1" applyAlignment="1" applyProtection="1">
      <alignment vertical="center"/>
    </xf>
    <xf numFmtId="4" fontId="19" fillId="32" borderId="38" xfId="192" applyNumberFormat="1" applyFont="1" applyFill="1" applyBorder="1" applyAlignment="1" applyProtection="1">
      <alignment horizontal="right" vertical="center"/>
    </xf>
    <xf numFmtId="4" fontId="19" fillId="35" borderId="38" xfId="192" applyNumberFormat="1" applyFont="1" applyFill="1" applyBorder="1" applyAlignment="1" applyProtection="1">
      <alignment horizontal="right" vertical="center"/>
    </xf>
    <xf numFmtId="4" fontId="19" fillId="35" borderId="75" xfId="192" applyNumberFormat="1" applyFont="1" applyFill="1" applyBorder="1" applyAlignment="1" applyProtection="1">
      <alignment horizontal="right" vertical="center"/>
    </xf>
    <xf numFmtId="4" fontId="6" fillId="35" borderId="120" xfId="192" applyNumberFormat="1" applyFont="1" applyFill="1" applyBorder="1" applyAlignment="1" applyProtection="1">
      <alignment vertical="center"/>
    </xf>
    <xf numFmtId="4" fontId="6" fillId="35" borderId="122" xfId="192" applyNumberFormat="1" applyFont="1" applyFill="1" applyBorder="1" applyAlignment="1" applyProtection="1">
      <alignment vertical="center"/>
    </xf>
    <xf numFmtId="4" fontId="6" fillId="32" borderId="125" xfId="192" applyNumberFormat="1" applyFont="1" applyFill="1" applyBorder="1" applyAlignment="1" applyProtection="1">
      <alignment vertical="center"/>
    </xf>
    <xf numFmtId="4" fontId="6" fillId="35" borderId="125" xfId="192" applyNumberFormat="1" applyFont="1" applyFill="1" applyBorder="1" applyAlignment="1" applyProtection="1">
      <alignment vertical="center"/>
    </xf>
    <xf numFmtId="4" fontId="6" fillId="35" borderId="126" xfId="192" applyNumberFormat="1" applyFont="1" applyFill="1" applyBorder="1" applyAlignment="1" applyProtection="1">
      <alignment vertical="center"/>
    </xf>
    <xf numFmtId="4" fontId="3" fillId="32" borderId="28" xfId="192" applyNumberFormat="1" applyFont="1" applyFill="1" applyBorder="1" applyAlignment="1" applyProtection="1">
      <alignment vertical="center"/>
    </xf>
    <xf numFmtId="4" fontId="3" fillId="37" borderId="131" xfId="192" applyNumberFormat="1" applyFont="1" applyFill="1" applyBorder="1" applyAlignment="1" applyProtection="1">
      <alignment vertical="center"/>
    </xf>
    <xf numFmtId="4" fontId="3" fillId="37" borderId="132" xfId="192" applyNumberFormat="1" applyFont="1" applyFill="1" applyBorder="1" applyAlignment="1" applyProtection="1">
      <alignment vertical="center"/>
    </xf>
    <xf numFmtId="4" fontId="3" fillId="32" borderId="125" xfId="192" applyNumberFormat="1" applyFont="1" applyFill="1" applyBorder="1" applyAlignment="1" applyProtection="1">
      <alignment vertical="center"/>
    </xf>
    <xf numFmtId="10" fontId="3" fillId="32" borderId="93" xfId="121" applyNumberFormat="1" applyFont="1" applyFill="1" applyBorder="1" applyAlignment="1" applyProtection="1">
      <alignment vertical="center"/>
    </xf>
    <xf numFmtId="10" fontId="1" fillId="32" borderId="93" xfId="121" applyNumberFormat="1" applyFont="1" applyFill="1" applyBorder="1" applyAlignment="1">
      <alignment vertical="center"/>
    </xf>
    <xf numFmtId="10" fontId="3" fillId="37" borderId="93" xfId="121" applyNumberFormat="1" applyFont="1" applyFill="1" applyBorder="1" applyAlignment="1" applyProtection="1">
      <alignment vertical="center"/>
    </xf>
    <xf numFmtId="10" fontId="3" fillId="37" borderId="129" xfId="121" applyNumberFormat="1" applyFont="1" applyFill="1" applyBorder="1" applyAlignment="1" applyProtection="1">
      <alignment vertical="center"/>
    </xf>
    <xf numFmtId="10" fontId="3" fillId="37" borderId="122" xfId="121" applyNumberFormat="1" applyFont="1" applyFill="1" applyBorder="1" applyAlignment="1" applyProtection="1">
      <alignment vertical="center"/>
    </xf>
    <xf numFmtId="166" fontId="3" fillId="37" borderId="122" xfId="192" applyNumberFormat="1" applyFont="1" applyFill="1" applyBorder="1" applyAlignment="1" applyProtection="1">
      <alignment vertical="center"/>
    </xf>
    <xf numFmtId="10" fontId="3" fillId="35" borderId="122" xfId="121" applyNumberFormat="1" applyFont="1" applyFill="1" applyBorder="1" applyAlignment="1" applyProtection="1">
      <alignment vertical="center"/>
    </xf>
    <xf numFmtId="4" fontId="3" fillId="35" borderId="122" xfId="121" applyNumberFormat="1" applyFont="1" applyFill="1" applyBorder="1" applyAlignment="1" applyProtection="1">
      <alignment vertical="center"/>
    </xf>
    <xf numFmtId="171" fontId="3" fillId="35" borderId="122" xfId="121" applyNumberFormat="1" applyFont="1" applyFill="1" applyBorder="1" applyAlignment="1" applyProtection="1">
      <alignment vertical="center"/>
    </xf>
    <xf numFmtId="4" fontId="3" fillId="35" borderId="125" xfId="192" applyNumberFormat="1" applyFont="1" applyFill="1" applyBorder="1" applyAlignment="1" applyProtection="1">
      <alignment vertical="center"/>
    </xf>
    <xf numFmtId="166" fontId="3" fillId="32" borderId="125" xfId="192" applyNumberFormat="1" applyFont="1" applyFill="1" applyBorder="1" applyAlignment="1" applyProtection="1">
      <alignment vertical="center"/>
    </xf>
    <xf numFmtId="166" fontId="3" fillId="35" borderId="125" xfId="192" applyNumberFormat="1" applyFont="1" applyFill="1" applyBorder="1" applyAlignment="1" applyProtection="1">
      <alignment vertical="center"/>
    </xf>
    <xf numFmtId="166" fontId="3" fillId="35" borderId="126" xfId="192" applyNumberFormat="1" applyFont="1" applyFill="1" applyBorder="1" applyAlignment="1" applyProtection="1">
      <alignment vertical="center"/>
    </xf>
    <xf numFmtId="0" fontId="7" fillId="32" borderId="127" xfId="0" applyFont="1" applyFill="1" applyBorder="1" applyAlignment="1" applyProtection="1">
      <alignment horizontal="center" vertical="center"/>
    </xf>
    <xf numFmtId="0" fontId="7" fillId="32" borderId="128" xfId="0" applyFont="1" applyFill="1" applyBorder="1" applyAlignment="1" applyProtection="1">
      <alignment horizontal="center" vertical="center"/>
    </xf>
    <xf numFmtId="0" fontId="7" fillId="32" borderId="93" xfId="192" applyNumberFormat="1" applyFont="1" applyFill="1" applyBorder="1" applyAlignment="1" applyProtection="1">
      <alignment horizontal="center" vertical="center"/>
    </xf>
    <xf numFmtId="0" fontId="7" fillId="35" borderId="93" xfId="192" applyNumberFormat="1" applyFont="1" applyFill="1" applyBorder="1" applyAlignment="1" applyProtection="1">
      <alignment horizontal="center" vertical="center"/>
    </xf>
    <xf numFmtId="0" fontId="7" fillId="35" borderId="129" xfId="192" applyNumberFormat="1" applyFont="1" applyFill="1" applyBorder="1" applyAlignment="1" applyProtection="1">
      <alignment horizontal="center" vertical="center"/>
    </xf>
    <xf numFmtId="4" fontId="6" fillId="35" borderId="122" xfId="192" applyNumberFormat="1" applyFont="1" applyFill="1" applyBorder="1" applyAlignment="1" applyProtection="1">
      <alignment horizontal="right" vertical="center"/>
    </xf>
    <xf numFmtId="4" fontId="6" fillId="32" borderId="125" xfId="192" applyNumberFormat="1" applyFont="1" applyFill="1" applyBorder="1" applyAlignment="1" applyProtection="1">
      <alignment horizontal="right" vertical="center"/>
    </xf>
    <xf numFmtId="4" fontId="6" fillId="35" borderId="125" xfId="192" applyNumberFormat="1" applyFont="1" applyFill="1" applyBorder="1" applyAlignment="1" applyProtection="1">
      <alignment horizontal="right" vertical="center"/>
    </xf>
    <xf numFmtId="4" fontId="6" fillId="35" borderId="126" xfId="192" applyNumberFormat="1" applyFont="1" applyFill="1" applyBorder="1" applyAlignment="1" applyProtection="1">
      <alignment horizontal="right" vertical="center"/>
    </xf>
    <xf numFmtId="4" fontId="6" fillId="32" borderId="28" xfId="192" applyNumberFormat="1" applyFont="1" applyFill="1" applyBorder="1" applyAlignment="1" applyProtection="1">
      <alignment horizontal="right" vertical="center"/>
    </xf>
    <xf numFmtId="4" fontId="6" fillId="35" borderId="28" xfId="192" applyNumberFormat="1" applyFont="1" applyFill="1" applyBorder="1" applyAlignment="1" applyProtection="1">
      <alignment horizontal="right" vertical="center"/>
    </xf>
    <xf numFmtId="4" fontId="6" fillId="35" borderId="120" xfId="192" applyNumberFormat="1" applyFont="1" applyFill="1" applyBorder="1" applyAlignment="1" applyProtection="1">
      <alignment horizontal="right" vertical="center"/>
    </xf>
    <xf numFmtId="4" fontId="7" fillId="32" borderId="125" xfId="192" applyNumberFormat="1" applyFont="1" applyFill="1" applyBorder="1" applyAlignment="1" applyProtection="1">
      <alignment horizontal="right" vertical="center"/>
    </xf>
    <xf numFmtId="4" fontId="7" fillId="32" borderId="125" xfId="192" applyNumberFormat="1" applyFont="1" applyFill="1" applyBorder="1" applyAlignment="1" applyProtection="1">
      <alignment vertical="center"/>
    </xf>
    <xf numFmtId="4" fontId="7" fillId="35" borderId="125" xfId="192" applyNumberFormat="1" applyFont="1" applyFill="1" applyBorder="1" applyAlignment="1" applyProtection="1">
      <alignment horizontal="right" vertical="center"/>
    </xf>
    <xf numFmtId="4" fontId="7" fillId="35" borderId="126" xfId="192" applyNumberFormat="1" applyFont="1" applyFill="1" applyBorder="1" applyAlignment="1" applyProtection="1">
      <alignment horizontal="right" vertical="center"/>
    </xf>
    <xf numFmtId="0" fontId="7" fillId="32" borderId="38" xfId="30" applyFont="1" applyFill="1" applyBorder="1" applyAlignment="1" applyProtection="1">
      <alignment horizontal="center" vertical="center"/>
    </xf>
    <xf numFmtId="0" fontId="7" fillId="35" borderId="38" xfId="30" applyFont="1" applyFill="1" applyBorder="1" applyAlignment="1" applyProtection="1">
      <alignment horizontal="center" vertical="center"/>
    </xf>
    <xf numFmtId="0" fontId="7" fillId="35" borderId="75" xfId="30" applyFont="1" applyFill="1" applyBorder="1" applyAlignment="1" applyProtection="1">
      <alignment horizontal="center" vertical="center"/>
    </xf>
    <xf numFmtId="170" fontId="3" fillId="32" borderId="11" xfId="121" applyNumberFormat="1" applyFont="1" applyFill="1" applyBorder="1" applyAlignment="1" applyProtection="1">
      <alignment vertical="center"/>
    </xf>
    <xf numFmtId="4" fontId="7" fillId="32" borderId="65" xfId="186" applyNumberFormat="1" applyFont="1" applyFill="1" applyBorder="1" applyAlignment="1" applyProtection="1">
      <alignment horizontal="center" vertical="center"/>
    </xf>
    <xf numFmtId="0" fontId="3" fillId="32" borderId="17" xfId="186" applyNumberFormat="1" applyFont="1" applyFill="1" applyBorder="1" applyAlignment="1" applyProtection="1">
      <alignment horizontal="center"/>
    </xf>
    <xf numFmtId="0" fontId="7" fillId="32" borderId="25" xfId="0" applyFont="1" applyFill="1" applyBorder="1" applyAlignment="1">
      <alignment horizontal="center" vertical="center" wrapText="1"/>
    </xf>
    <xf numFmtId="44" fontId="7" fillId="32" borderId="63" xfId="192" applyFont="1" applyFill="1" applyBorder="1" applyAlignment="1">
      <alignment horizontal="center" vertical="center"/>
    </xf>
    <xf numFmtId="44" fontId="7" fillId="32" borderId="120" xfId="192" applyFont="1" applyFill="1" applyBorder="1" applyAlignment="1">
      <alignment horizontal="center" vertical="center"/>
    </xf>
    <xf numFmtId="0" fontId="7" fillId="32" borderId="133" xfId="0" applyFont="1" applyFill="1" applyBorder="1" applyAlignment="1">
      <alignment horizontal="center" vertical="center"/>
    </xf>
    <xf numFmtId="0" fontId="7" fillId="32" borderId="126" xfId="0" applyFont="1" applyFill="1" applyBorder="1" applyAlignment="1">
      <alignment horizontal="center" vertical="center"/>
    </xf>
    <xf numFmtId="165" fontId="19" fillId="32" borderId="134" xfId="0" applyNumberFormat="1" applyFont="1" applyFill="1" applyBorder="1" applyAlignment="1" applyProtection="1">
      <alignment vertical="center"/>
    </xf>
    <xf numFmtId="165" fontId="19" fillId="32" borderId="122" xfId="0" applyNumberFormat="1" applyFont="1" applyFill="1" applyBorder="1" applyAlignment="1" applyProtection="1">
      <alignment vertical="center"/>
    </xf>
    <xf numFmtId="165" fontId="0" fillId="32" borderId="134" xfId="0" applyNumberFormat="1" applyFont="1" applyFill="1" applyBorder="1" applyAlignment="1" applyProtection="1">
      <alignment vertical="center"/>
    </xf>
    <xf numFmtId="165" fontId="0" fillId="32" borderId="122" xfId="0" applyNumberFormat="1" applyFont="1" applyFill="1" applyBorder="1" applyAlignment="1" applyProtection="1">
      <alignment vertical="center"/>
    </xf>
    <xf numFmtId="165" fontId="7" fillId="0" borderId="134" xfId="186" applyNumberFormat="1" applyFont="1" applyBorder="1" applyAlignment="1" applyProtection="1">
      <alignment horizontal="right" vertical="center"/>
    </xf>
    <xf numFmtId="165" fontId="7" fillId="0" borderId="122" xfId="186" applyNumberFormat="1" applyFont="1" applyBorder="1" applyAlignment="1" applyProtection="1">
      <alignment horizontal="right" vertical="center"/>
    </xf>
    <xf numFmtId="165" fontId="7" fillId="0" borderId="133" xfId="186" applyNumberFormat="1" applyFont="1" applyBorder="1" applyAlignment="1" applyProtection="1">
      <alignment horizontal="right" vertical="center"/>
    </xf>
    <xf numFmtId="165" fontId="7" fillId="0" borderId="126" xfId="186" applyNumberFormat="1" applyFont="1" applyBorder="1" applyAlignment="1" applyProtection="1">
      <alignment horizontal="right" vertical="center"/>
    </xf>
    <xf numFmtId="165" fontId="19" fillId="32" borderId="135" xfId="0" applyNumberFormat="1" applyFont="1" applyFill="1" applyBorder="1" applyAlignment="1" applyProtection="1">
      <alignment vertical="center"/>
    </xf>
    <xf numFmtId="165" fontId="0" fillId="32" borderId="135" xfId="0" applyNumberFormat="1" applyFont="1" applyFill="1" applyBorder="1" applyAlignment="1" applyProtection="1">
      <alignment vertical="center"/>
    </xf>
    <xf numFmtId="165" fontId="7" fillId="0" borderId="135" xfId="186" applyNumberFormat="1" applyFont="1" applyBorder="1" applyAlignment="1" applyProtection="1">
      <alignment horizontal="right" vertical="center"/>
    </xf>
    <xf numFmtId="165" fontId="7" fillId="0" borderId="136" xfId="186" applyNumberFormat="1" applyFont="1" applyBorder="1" applyAlignment="1" applyProtection="1">
      <alignment horizontal="right" vertical="center"/>
    </xf>
    <xf numFmtId="0" fontId="7" fillId="32" borderId="137" xfId="0" applyFont="1" applyFill="1" applyBorder="1" applyAlignment="1" applyProtection="1">
      <alignment horizontal="right" vertical="center"/>
    </xf>
    <xf numFmtId="0" fontId="19" fillId="32" borderId="135" xfId="0" applyFont="1" applyFill="1" applyBorder="1" applyAlignment="1" applyProtection="1">
      <alignment vertical="center" wrapText="1"/>
    </xf>
    <xf numFmtId="4" fontId="19" fillId="0" borderId="135" xfId="186" applyNumberFormat="1" applyFont="1" applyBorder="1" applyAlignment="1" applyProtection="1">
      <alignment horizontal="left" vertical="center" wrapText="1"/>
    </xf>
    <xf numFmtId="4" fontId="19" fillId="32" borderId="135" xfId="186" applyNumberFormat="1" applyFont="1" applyFill="1" applyBorder="1" applyAlignment="1" applyProtection="1">
      <alignment horizontal="left" vertical="center" wrapText="1"/>
    </xf>
    <xf numFmtId="4" fontId="3" fillId="0" borderId="135" xfId="186" applyNumberFormat="1" applyFont="1" applyBorder="1" applyAlignment="1" applyProtection="1">
      <alignment horizontal="left" vertical="center" wrapText="1"/>
    </xf>
    <xf numFmtId="4" fontId="7" fillId="0" borderId="135" xfId="186" applyNumberFormat="1" applyFont="1" applyBorder="1" applyAlignment="1" applyProtection="1">
      <alignment horizontal="left" vertical="center" wrapText="1"/>
    </xf>
    <xf numFmtId="4" fontId="7" fillId="0" borderId="136" xfId="186" applyNumberFormat="1" applyFont="1" applyBorder="1" applyAlignment="1" applyProtection="1">
      <alignment horizontal="left" vertical="center" wrapText="1"/>
    </xf>
    <xf numFmtId="0" fontId="0" fillId="32" borderId="0" xfId="0" applyFill="1" applyAlignment="1">
      <alignment vertical="center" wrapText="1"/>
    </xf>
    <xf numFmtId="0" fontId="19" fillId="39" borderId="138" xfId="0" applyFont="1" applyFill="1" applyBorder="1" applyAlignment="1">
      <alignment vertical="center" wrapText="1"/>
    </xf>
    <xf numFmtId="0" fontId="0" fillId="39" borderId="139" xfId="0" applyFill="1" applyBorder="1" applyAlignment="1">
      <alignment horizontal="center" vertical="center"/>
    </xf>
    <xf numFmtId="0" fontId="0" fillId="39" borderId="139" xfId="0" applyFill="1" applyBorder="1" applyAlignment="1">
      <alignment vertical="center"/>
    </xf>
    <xf numFmtId="0" fontId="0" fillId="39" borderId="140" xfId="0" applyFill="1" applyBorder="1" applyAlignment="1">
      <alignment horizontal="center" vertical="center"/>
    </xf>
    <xf numFmtId="165" fontId="3" fillId="35" borderId="11" xfId="192" applyNumberFormat="1" applyFont="1" applyFill="1" applyBorder="1" applyAlignment="1" applyProtection="1">
      <alignment vertical="center"/>
    </xf>
    <xf numFmtId="0" fontId="6" fillId="0" borderId="11" xfId="0" applyFont="1" applyBorder="1" applyAlignment="1">
      <alignment horizontal="left" vertical="center" wrapText="1" indent="2"/>
    </xf>
    <xf numFmtId="3" fontId="3" fillId="31" borderId="11" xfId="192" applyNumberFormat="1" applyFill="1" applyBorder="1" applyAlignment="1" applyProtection="1">
      <alignment vertical="center"/>
      <protection locked="0"/>
    </xf>
    <xf numFmtId="0" fontId="6" fillId="32" borderId="11" xfId="192" applyNumberFormat="1" applyFont="1" applyFill="1" applyBorder="1" applyAlignment="1">
      <alignment horizontal="center" vertical="center"/>
    </xf>
    <xf numFmtId="165" fontId="3" fillId="31" borderId="17" xfId="192" applyNumberFormat="1" applyFont="1" applyFill="1" applyBorder="1" applyAlignment="1" applyProtection="1">
      <alignment vertical="top"/>
      <protection locked="0"/>
    </xf>
    <xf numFmtId="165" fontId="5" fillId="31" borderId="17" xfId="192" applyNumberFormat="1" applyFont="1" applyFill="1" applyBorder="1" applyAlignment="1" applyProtection="1">
      <alignment vertical="top"/>
      <protection locked="0"/>
    </xf>
    <xf numFmtId="165" fontId="19" fillId="35" borderId="11" xfId="192" applyNumberFormat="1" applyFont="1" applyFill="1" applyBorder="1" applyAlignment="1" applyProtection="1">
      <alignment vertical="center"/>
    </xf>
    <xf numFmtId="165" fontId="6" fillId="35" borderId="11" xfId="0" quotePrefix="1" applyNumberFormat="1" applyFont="1" applyFill="1" applyBorder="1" applyAlignment="1" applyProtection="1">
      <alignment horizontal="right" vertical="center"/>
    </xf>
    <xf numFmtId="0" fontId="6" fillId="35" borderId="11" xfId="0" applyFont="1" applyFill="1" applyBorder="1" applyAlignment="1" applyProtection="1">
      <alignment horizontal="left" vertical="center" wrapText="1"/>
    </xf>
    <xf numFmtId="0" fontId="0" fillId="35" borderId="11" xfId="0" applyFont="1" applyFill="1" applyBorder="1" applyAlignment="1" applyProtection="1">
      <alignment horizontal="center" vertical="center" wrapText="1"/>
    </xf>
    <xf numFmtId="0" fontId="7" fillId="32" borderId="26" xfId="0" applyFont="1" applyFill="1" applyBorder="1" applyAlignment="1" applyProtection="1">
      <alignment horizontal="center" vertical="center" wrapText="1"/>
    </xf>
    <xf numFmtId="0" fontId="6" fillId="35" borderId="37" xfId="0" applyFont="1" applyFill="1" applyBorder="1" applyAlignment="1" applyProtection="1">
      <alignment horizontal="center" vertical="center" wrapText="1"/>
    </xf>
    <xf numFmtId="0" fontId="6" fillId="35" borderId="29" xfId="0" applyFont="1" applyFill="1" applyBorder="1" applyAlignment="1" applyProtection="1">
      <alignment horizontal="center" vertical="center" wrapText="1"/>
    </xf>
    <xf numFmtId="0" fontId="6" fillId="35" borderId="26" xfId="0" applyFont="1" applyFill="1" applyBorder="1" applyAlignment="1" applyProtection="1">
      <alignment horizontal="center" vertical="center" wrapText="1"/>
    </xf>
    <xf numFmtId="0" fontId="7" fillId="32" borderId="11" xfId="0" applyFont="1" applyFill="1" applyBorder="1" applyAlignment="1" applyProtection="1">
      <alignment horizontal="left" vertical="center" wrapText="1"/>
    </xf>
    <xf numFmtId="0" fontId="0" fillId="32" borderId="11" xfId="0" applyFill="1" applyBorder="1" applyAlignment="1" applyProtection="1">
      <alignment horizontal="left" vertical="center" wrapText="1"/>
    </xf>
    <xf numFmtId="0" fontId="7" fillId="32" borderId="35" xfId="0" applyFont="1" applyFill="1" applyBorder="1" applyAlignment="1" applyProtection="1">
      <alignment horizontal="center" vertical="center" wrapText="1"/>
    </xf>
    <xf numFmtId="0" fontId="6" fillId="32" borderId="0" xfId="0" applyFont="1" applyFill="1" applyAlignment="1" applyProtection="1">
      <alignment horizontal="left" vertical="center" wrapText="1"/>
    </xf>
    <xf numFmtId="0" fontId="7" fillId="31" borderId="25" xfId="0" applyFont="1" applyFill="1" applyBorder="1" applyAlignment="1" applyProtection="1">
      <protection locked="0"/>
    </xf>
    <xf numFmtId="10" fontId="3" fillId="31" borderId="11" xfId="121" applyNumberFormat="1" applyFont="1" applyFill="1" applyBorder="1" applyAlignment="1" applyProtection="1">
      <alignment vertical="center"/>
      <protection locked="0"/>
    </xf>
    <xf numFmtId="10" fontId="6" fillId="45" borderId="11" xfId="121" applyNumberFormat="1" applyFont="1" applyFill="1" applyBorder="1" applyAlignment="1" applyProtection="1">
      <alignment vertical="center"/>
      <protection locked="0"/>
    </xf>
    <xf numFmtId="4" fontId="3" fillId="36" borderId="11" xfId="192" applyNumberFormat="1" applyFont="1" applyFill="1" applyBorder="1" applyAlignment="1" applyProtection="1">
      <alignment vertical="center"/>
      <protection locked="0"/>
    </xf>
    <xf numFmtId="4" fontId="3" fillId="36" borderId="26" xfId="192" applyNumberFormat="1" applyFont="1" applyFill="1" applyBorder="1" applyAlignment="1" applyProtection="1">
      <alignment vertical="center"/>
      <protection locked="0"/>
    </xf>
    <xf numFmtId="4" fontId="3" fillId="41" borderId="26" xfId="192" applyNumberFormat="1" applyFont="1" applyFill="1" applyBorder="1" applyAlignment="1" applyProtection="1">
      <alignment vertical="center"/>
      <protection locked="0"/>
    </xf>
    <xf numFmtId="4" fontId="3" fillId="31" borderId="25" xfId="192" applyNumberFormat="1" applyFont="1" applyFill="1" applyBorder="1" applyAlignment="1" applyProtection="1">
      <alignment vertical="center"/>
      <protection locked="0"/>
    </xf>
    <xf numFmtId="4" fontId="3" fillId="37" borderId="25" xfId="192" applyNumberFormat="1" applyFont="1" applyFill="1" applyBorder="1" applyAlignment="1" applyProtection="1">
      <alignment vertical="center"/>
      <protection locked="0"/>
    </xf>
    <xf numFmtId="4" fontId="7" fillId="32" borderId="11" xfId="192" applyNumberFormat="1" applyFont="1" applyFill="1" applyBorder="1" applyAlignment="1" applyProtection="1">
      <alignment vertical="center"/>
    </xf>
    <xf numFmtId="4" fontId="7" fillId="32" borderId="11" xfId="192" applyNumberFormat="1" applyFont="1" applyFill="1" applyBorder="1" applyAlignment="1" applyProtection="1">
      <alignment horizontal="center" vertical="center"/>
    </xf>
    <xf numFmtId="4" fontId="7" fillId="35" borderId="11" xfId="192" applyNumberFormat="1" applyFont="1" applyFill="1" applyBorder="1" applyAlignment="1" applyProtection="1">
      <alignment horizontal="center" vertical="center"/>
    </xf>
    <xf numFmtId="4" fontId="7" fillId="35" borderId="11" xfId="192" applyNumberFormat="1" applyFont="1" applyFill="1" applyBorder="1" applyAlignment="1" applyProtection="1">
      <alignment vertical="center"/>
    </xf>
    <xf numFmtId="4" fontId="6" fillId="38" borderId="11" xfId="192" applyNumberFormat="1" applyFont="1" applyFill="1" applyBorder="1" applyAlignment="1" applyProtection="1">
      <alignment vertical="center"/>
    </xf>
    <xf numFmtId="4" fontId="6" fillId="43" borderId="11" xfId="192" applyNumberFormat="1" applyFont="1" applyFill="1" applyBorder="1" applyAlignment="1" applyProtection="1">
      <alignment vertical="center"/>
    </xf>
    <xf numFmtId="4" fontId="19" fillId="38" borderId="11" xfId="192" applyNumberFormat="1" applyFont="1" applyFill="1" applyBorder="1" applyAlignment="1" applyProtection="1">
      <alignment vertical="center"/>
    </xf>
    <xf numFmtId="4" fontId="19" fillId="43" borderId="11" xfId="192" applyNumberFormat="1" applyFont="1" applyFill="1" applyBorder="1" applyAlignment="1" applyProtection="1">
      <alignment vertical="center"/>
    </xf>
    <xf numFmtId="4" fontId="3" fillId="32" borderId="11" xfId="192" applyNumberFormat="1" applyFont="1" applyFill="1" applyBorder="1" applyAlignment="1" applyProtection="1">
      <alignment horizontal="right" vertical="center"/>
    </xf>
    <xf numFmtId="0" fontId="3" fillId="0" borderId="11" xfId="192" applyNumberFormat="1" applyFont="1" applyFill="1" applyBorder="1" applyAlignment="1" applyProtection="1">
      <alignment vertical="center"/>
    </xf>
    <xf numFmtId="4" fontId="19" fillId="32" borderId="11" xfId="192" applyNumberFormat="1" applyFont="1" applyFill="1" applyBorder="1" applyAlignment="1" applyProtection="1">
      <alignment vertical="center"/>
    </xf>
    <xf numFmtId="4" fontId="19" fillId="32" borderId="0" xfId="192" applyNumberFormat="1" applyFont="1" applyFill="1" applyBorder="1" applyAlignment="1" applyProtection="1">
      <alignment vertical="center"/>
    </xf>
    <xf numFmtId="4" fontId="6" fillId="0" borderId="11" xfId="192" applyNumberFormat="1" applyFont="1" applyFill="1" applyBorder="1" applyAlignment="1" applyProtection="1">
      <alignment horizontal="right" vertical="center"/>
    </xf>
    <xf numFmtId="0" fontId="3" fillId="30" borderId="11" xfId="192" applyNumberFormat="1" applyFont="1" applyFill="1" applyBorder="1" applyAlignment="1" applyProtection="1">
      <alignment vertical="center"/>
    </xf>
    <xf numFmtId="4" fontId="6" fillId="38" borderId="11" xfId="192" applyNumberFormat="1" applyFont="1" applyFill="1" applyBorder="1" applyAlignment="1" applyProtection="1">
      <alignment horizontal="right" vertical="center"/>
    </xf>
    <xf numFmtId="4" fontId="3" fillId="31" borderId="28" xfId="192" applyNumberFormat="1" applyFont="1" applyFill="1" applyBorder="1" applyAlignment="1" applyProtection="1">
      <alignment vertical="center"/>
      <protection locked="0"/>
    </xf>
    <xf numFmtId="4" fontId="3" fillId="31" borderId="125" xfId="192" applyNumberFormat="1" applyFont="1" applyFill="1" applyBorder="1" applyAlignment="1" applyProtection="1">
      <alignment vertical="center"/>
      <protection locked="0"/>
    </xf>
    <xf numFmtId="4" fontId="6" fillId="32" borderId="11" xfId="192" applyNumberFormat="1" applyFont="1" applyFill="1" applyBorder="1" applyAlignment="1" applyProtection="1">
      <alignment vertical="top"/>
    </xf>
    <xf numFmtId="4" fontId="6" fillId="38" borderId="11" xfId="192" applyNumberFormat="1" applyFont="1" applyFill="1" applyBorder="1" applyAlignment="1" applyProtection="1">
      <alignment vertical="top"/>
    </xf>
    <xf numFmtId="4" fontId="6" fillId="32" borderId="11" xfId="192" applyNumberFormat="1" applyFont="1" applyFill="1" applyBorder="1" applyAlignment="1" applyProtection="1">
      <alignment horizontal="right" vertical="top"/>
    </xf>
    <xf numFmtId="165" fontId="3" fillId="31" borderId="94" xfId="192" applyNumberFormat="1" applyFont="1" applyFill="1" applyBorder="1" applyAlignment="1" applyProtection="1">
      <alignment vertical="center"/>
      <protection locked="0"/>
    </xf>
    <xf numFmtId="165" fontId="3" fillId="31" borderId="73" xfId="192" applyNumberFormat="1" applyFont="1" applyFill="1" applyBorder="1" applyAlignment="1" applyProtection="1">
      <alignment vertical="center"/>
      <protection locked="0"/>
    </xf>
    <xf numFmtId="10" fontId="3" fillId="31" borderId="115" xfId="121" applyNumberFormat="1" applyFont="1" applyFill="1" applyBorder="1" applyAlignment="1" applyProtection="1">
      <alignment vertical="center"/>
      <protection locked="0"/>
    </xf>
    <xf numFmtId="10" fontId="7" fillId="31" borderId="115" xfId="121" applyNumberFormat="1" applyFont="1" applyFill="1" applyBorder="1" applyAlignment="1" applyProtection="1">
      <alignment vertical="center"/>
      <protection locked="0"/>
    </xf>
    <xf numFmtId="165" fontId="7" fillId="31" borderId="94" xfId="192" applyNumberFormat="1" applyFont="1" applyFill="1" applyBorder="1" applyAlignment="1" applyProtection="1">
      <alignment vertical="center"/>
      <protection locked="0"/>
    </xf>
    <xf numFmtId="165" fontId="7" fillId="31" borderId="73" xfId="192" applyNumberFormat="1" applyFont="1" applyFill="1" applyBorder="1" applyAlignment="1" applyProtection="1">
      <alignment vertical="center"/>
      <protection locked="0"/>
    </xf>
    <xf numFmtId="10" fontId="7" fillId="31" borderId="115" xfId="192" applyNumberFormat="1" applyFont="1" applyFill="1" applyBorder="1" applyAlignment="1" applyProtection="1">
      <alignment vertical="center"/>
      <protection locked="0"/>
    </xf>
    <xf numFmtId="165" fontId="3" fillId="31" borderId="41" xfId="192" applyNumberFormat="1" applyFont="1" applyFill="1" applyBorder="1" applyAlignment="1" applyProtection="1">
      <alignment vertical="center"/>
      <protection locked="0"/>
    </xf>
    <xf numFmtId="165" fontId="3" fillId="31" borderId="102" xfId="192" applyNumberFormat="1" applyFont="1" applyFill="1" applyBorder="1" applyAlignment="1" applyProtection="1">
      <alignment vertical="center"/>
      <protection locked="0"/>
    </xf>
    <xf numFmtId="10" fontId="3" fillId="31" borderId="115" xfId="192" applyNumberFormat="1" applyFont="1" applyFill="1" applyBorder="1" applyAlignment="1" applyProtection="1">
      <alignment vertical="center"/>
      <protection locked="0"/>
    </xf>
    <xf numFmtId="165" fontId="7" fillId="31" borderId="41" xfId="192" applyNumberFormat="1" applyFont="1" applyFill="1" applyBorder="1" applyAlignment="1" applyProtection="1">
      <alignment vertical="center"/>
      <protection locked="0"/>
    </xf>
    <xf numFmtId="165" fontId="7" fillId="31" borderId="102" xfId="192" applyNumberFormat="1" applyFont="1" applyFill="1" applyBorder="1" applyAlignment="1" applyProtection="1">
      <alignment vertical="center"/>
      <protection locked="0"/>
    </xf>
    <xf numFmtId="10" fontId="3" fillId="31" borderId="43" xfId="192" applyNumberFormat="1" applyFont="1" applyFill="1" applyBorder="1" applyAlignment="1" applyProtection="1">
      <alignment vertical="center"/>
      <protection locked="0"/>
    </xf>
    <xf numFmtId="4" fontId="3" fillId="31" borderId="131" xfId="192" applyNumberFormat="1" applyFont="1" applyFill="1" applyBorder="1" applyAlignment="1" applyProtection="1">
      <alignment vertical="center"/>
      <protection locked="0"/>
    </xf>
    <xf numFmtId="10" fontId="3" fillId="31" borderId="93" xfId="121" applyNumberFormat="1" applyFont="1" applyFill="1" applyBorder="1" applyAlignment="1" applyProtection="1">
      <alignment vertical="center"/>
      <protection locked="0"/>
    </xf>
    <xf numFmtId="173" fontId="3" fillId="31" borderId="11" xfId="121" applyNumberFormat="1" applyFont="1" applyFill="1" applyBorder="1" applyAlignment="1" applyProtection="1">
      <alignment vertical="center"/>
      <protection locked="0"/>
    </xf>
    <xf numFmtId="4" fontId="3" fillId="31" borderId="75" xfId="192" applyNumberFormat="1" applyFont="1" applyFill="1" applyBorder="1" applyAlignment="1" applyProtection="1">
      <alignment vertical="center"/>
      <protection locked="0"/>
    </xf>
    <xf numFmtId="4" fontId="3" fillId="32" borderId="11" xfId="192" applyNumberFormat="1" applyFont="1" applyFill="1" applyBorder="1" applyAlignment="1" applyProtection="1">
      <alignment vertical="top"/>
    </xf>
    <xf numFmtId="4" fontId="6" fillId="44" borderId="11" xfId="192" applyNumberFormat="1" applyFont="1" applyFill="1" applyBorder="1" applyAlignment="1" applyProtection="1">
      <alignment vertical="center"/>
    </xf>
    <xf numFmtId="4" fontId="3" fillId="32" borderId="11" xfId="192" applyNumberFormat="1" applyFont="1" applyFill="1" applyBorder="1" applyAlignment="1" applyProtection="1">
      <alignment horizontal="right" vertical="top"/>
    </xf>
    <xf numFmtId="4" fontId="3" fillId="35" borderId="11" xfId="192" applyNumberFormat="1" applyFont="1" applyFill="1" applyBorder="1" applyAlignment="1" applyProtection="1">
      <alignment horizontal="right" vertical="top"/>
    </xf>
    <xf numFmtId="4" fontId="19" fillId="32" borderId="11" xfId="192" applyNumberFormat="1" applyFont="1" applyFill="1" applyBorder="1" applyAlignment="1" applyProtection="1">
      <alignment horizontal="right" vertical="center"/>
    </xf>
    <xf numFmtId="4" fontId="6" fillId="38" borderId="11" xfId="192" applyNumberFormat="1" applyFont="1" applyFill="1" applyBorder="1" applyAlignment="1" applyProtection="1">
      <alignment horizontal="right" vertical="top"/>
    </xf>
    <xf numFmtId="0" fontId="6" fillId="32" borderId="11" xfId="30" applyFont="1" applyFill="1" applyBorder="1" applyAlignment="1" applyProtection="1">
      <alignment horizontal="right" vertical="center" indent="1"/>
    </xf>
    <xf numFmtId="4" fontId="6" fillId="32" borderId="11" xfId="30" applyNumberFormat="1" applyFont="1" applyFill="1" applyBorder="1" applyAlignment="1" applyProtection="1">
      <alignment vertical="center"/>
    </xf>
    <xf numFmtId="4" fontId="6" fillId="32" borderId="11" xfId="192" applyNumberFormat="1" applyFont="1" applyFill="1" applyBorder="1" applyAlignment="1" applyProtection="1">
      <alignment horizontal="center" vertical="center"/>
    </xf>
    <xf numFmtId="4" fontId="6" fillId="0" borderId="11" xfId="192" applyNumberFormat="1" applyFont="1" applyFill="1" applyBorder="1" applyAlignment="1" applyProtection="1">
      <alignment horizontal="center" vertical="center"/>
    </xf>
    <xf numFmtId="0" fontId="6" fillId="32" borderId="11" xfId="30" applyFont="1" applyFill="1" applyBorder="1" applyAlignment="1" applyProtection="1">
      <alignment horizontal="right" vertical="center"/>
    </xf>
    <xf numFmtId="7" fontId="6" fillId="32" borderId="11" xfId="30" applyNumberFormat="1" applyFont="1" applyFill="1" applyBorder="1" applyAlignment="1" applyProtection="1">
      <alignment vertical="center"/>
    </xf>
    <xf numFmtId="4" fontId="3" fillId="31" borderId="39" xfId="192" applyNumberFormat="1" applyFont="1" applyFill="1" applyBorder="1" applyAlignment="1" applyProtection="1">
      <alignment vertical="center"/>
      <protection locked="0"/>
    </xf>
    <xf numFmtId="0" fontId="3" fillId="32" borderId="0" xfId="171" applyFill="1" applyAlignment="1" applyProtection="1">
      <alignment horizontal="right" vertical="center"/>
    </xf>
    <xf numFmtId="0" fontId="3" fillId="32" borderId="25" xfId="171" applyFill="1" applyBorder="1" applyAlignment="1" applyProtection="1">
      <alignment vertical="center"/>
    </xf>
    <xf numFmtId="0" fontId="3" fillId="32" borderId="25" xfId="171" applyFill="1" applyBorder="1" applyAlignment="1" applyProtection="1">
      <alignment horizontal="right" vertical="center"/>
    </xf>
    <xf numFmtId="0" fontId="3" fillId="29" borderId="0" xfId="171" applyFont="1" applyFill="1" applyAlignment="1" applyProtection="1">
      <alignment vertical="center"/>
    </xf>
    <xf numFmtId="0" fontId="3" fillId="29" borderId="0" xfId="171" applyFill="1" applyAlignment="1" applyProtection="1">
      <alignment vertical="center"/>
    </xf>
    <xf numFmtId="7" fontId="3" fillId="32" borderId="0" xfId="171" applyNumberFormat="1" applyFill="1" applyAlignment="1" applyProtection="1">
      <alignment vertical="center"/>
    </xf>
    <xf numFmtId="0" fontId="5" fillId="32" borderId="0" xfId="171" applyFont="1" applyFill="1" applyAlignment="1" applyProtection="1">
      <alignment vertical="center"/>
    </xf>
    <xf numFmtId="0" fontId="7" fillId="32" borderId="37" xfId="171" applyFont="1" applyFill="1" applyBorder="1" applyAlignment="1" applyProtection="1">
      <alignment horizontal="center" vertical="center"/>
    </xf>
    <xf numFmtId="0" fontId="7" fillId="32" borderId="11" xfId="171" applyFont="1" applyFill="1" applyBorder="1" applyAlignment="1" applyProtection="1">
      <alignment horizontal="center" vertical="center"/>
    </xf>
    <xf numFmtId="0" fontId="19" fillId="32" borderId="11" xfId="171" applyFont="1" applyFill="1" applyBorder="1" applyAlignment="1" applyProtection="1">
      <alignment horizontal="right" vertical="center"/>
    </xf>
    <xf numFmtId="0" fontId="19" fillId="32" borderId="37" xfId="171" applyFont="1" applyFill="1" applyBorder="1" applyAlignment="1" applyProtection="1">
      <alignment horizontal="center" vertical="center"/>
    </xf>
    <xf numFmtId="0" fontId="19" fillId="32" borderId="11" xfId="171" applyFont="1" applyFill="1" applyBorder="1" applyAlignment="1" applyProtection="1">
      <alignment horizontal="center" vertical="center"/>
    </xf>
    <xf numFmtId="0" fontId="3" fillId="32" borderId="37" xfId="171" applyFill="1" applyBorder="1" applyAlignment="1" applyProtection="1">
      <alignment horizontal="left" vertical="center"/>
    </xf>
    <xf numFmtId="7" fontId="3" fillId="32" borderId="37" xfId="171" applyNumberFormat="1" applyFill="1" applyBorder="1" applyAlignment="1" applyProtection="1">
      <alignment vertical="center"/>
    </xf>
    <xf numFmtId="7" fontId="3" fillId="32" borderId="11" xfId="171" applyNumberFormat="1" applyFill="1" applyBorder="1" applyAlignment="1" applyProtection="1">
      <alignment vertical="center"/>
    </xf>
    <xf numFmtId="0" fontId="3" fillId="32" borderId="37" xfId="171" applyFill="1" applyBorder="1" applyAlignment="1" applyProtection="1">
      <alignment horizontal="left" vertical="center" wrapText="1"/>
    </xf>
    <xf numFmtId="0" fontId="3" fillId="32" borderId="11" xfId="171" applyFill="1" applyBorder="1" applyAlignment="1" applyProtection="1">
      <alignment vertical="center"/>
    </xf>
    <xf numFmtId="0" fontId="19" fillId="32" borderId="11" xfId="171" applyFont="1" applyFill="1" applyBorder="1" applyAlignment="1" applyProtection="1">
      <alignment vertical="center" wrapText="1"/>
    </xf>
    <xf numFmtId="7" fontId="19" fillId="32" borderId="37" xfId="171" applyNumberFormat="1" applyFont="1" applyFill="1" applyBorder="1" applyAlignment="1" applyProtection="1">
      <alignment vertical="center"/>
    </xf>
    <xf numFmtId="7" fontId="19" fillId="32" borderId="11" xfId="171" applyNumberFormat="1" applyFont="1" applyFill="1" applyBorder="1" applyAlignment="1" applyProtection="1">
      <alignment vertical="center"/>
    </xf>
    <xf numFmtId="7" fontId="3" fillId="40" borderId="37" xfId="171" applyNumberFormat="1" applyFill="1" applyBorder="1" applyAlignment="1" applyProtection="1">
      <alignment vertical="center"/>
    </xf>
    <xf numFmtId="7" fontId="3" fillId="40" borderId="11" xfId="171" applyNumberFormat="1" applyFill="1" applyBorder="1" applyAlignment="1" applyProtection="1">
      <alignment vertical="center"/>
    </xf>
    <xf numFmtId="0" fontId="7" fillId="32" borderId="11" xfId="0" applyFont="1" applyFill="1" applyBorder="1" applyAlignment="1" applyProtection="1">
      <alignment horizontal="center" vertical="center"/>
    </xf>
    <xf numFmtId="0" fontId="7" fillId="32" borderId="26" xfId="0" applyFont="1" applyFill="1" applyBorder="1" applyAlignment="1" applyProtection="1">
      <alignment horizontal="center" vertical="center"/>
    </xf>
    <xf numFmtId="0" fontId="3" fillId="32" borderId="33" xfId="0" applyFont="1" applyFill="1" applyBorder="1" applyAlignment="1" applyProtection="1">
      <alignment horizontal="center" vertical="center"/>
    </xf>
    <xf numFmtId="0" fontId="3" fillId="32" borderId="27" xfId="0" applyFont="1" applyFill="1" applyBorder="1" applyAlignment="1" applyProtection="1">
      <alignment horizontal="center" vertical="center" wrapText="1"/>
    </xf>
    <xf numFmtId="0" fontId="3" fillId="32" borderId="27" xfId="0" applyFont="1" applyFill="1" applyBorder="1" applyAlignment="1" applyProtection="1">
      <alignment horizontal="center" vertical="center"/>
    </xf>
    <xf numFmtId="0" fontId="0" fillId="32" borderId="27" xfId="0" applyFill="1" applyBorder="1" applyAlignment="1" applyProtection="1">
      <alignment vertical="center"/>
    </xf>
    <xf numFmtId="44" fontId="3" fillId="32" borderId="11" xfId="194" applyFill="1" applyBorder="1" applyAlignment="1" applyProtection="1">
      <alignment horizontal="left" vertical="center"/>
    </xf>
    <xf numFmtId="0" fontId="64" fillId="32" borderId="0" xfId="0" applyFont="1" applyFill="1" applyAlignment="1" applyProtection="1">
      <alignment horizontal="left" vertical="center"/>
    </xf>
    <xf numFmtId="165" fontId="7" fillId="32" borderId="11" xfId="194" applyNumberFormat="1" applyFont="1" applyFill="1" applyBorder="1" applyAlignment="1" applyProtection="1">
      <alignment horizontal="right" vertical="center"/>
    </xf>
    <xf numFmtId="10" fontId="3" fillId="32" borderId="11" xfId="121" applyNumberFormat="1" applyFill="1" applyBorder="1" applyAlignment="1" applyProtection="1">
      <alignment horizontal="right" vertical="center"/>
    </xf>
    <xf numFmtId="0" fontId="7" fillId="32" borderId="33" xfId="0" applyFont="1" applyFill="1" applyBorder="1" applyAlignment="1" applyProtection="1">
      <alignment horizontal="center" vertical="center"/>
    </xf>
    <xf numFmtId="9" fontId="3" fillId="32" borderId="0" xfId="121" applyFill="1" applyAlignment="1" applyProtection="1">
      <alignment vertical="center"/>
    </xf>
    <xf numFmtId="0" fontId="5" fillId="32" borderId="11" xfId="0" applyFont="1" applyFill="1" applyBorder="1" applyAlignment="1" applyProtection="1">
      <alignment horizontal="left" vertical="center"/>
    </xf>
    <xf numFmtId="0" fontId="0" fillId="32" borderId="11" xfId="0" applyFont="1" applyFill="1" applyBorder="1" applyAlignment="1" applyProtection="1">
      <alignment horizontal="left" vertical="center" wrapText="1"/>
    </xf>
    <xf numFmtId="165" fontId="0" fillId="32" borderId="11" xfId="0" applyNumberFormat="1" applyFont="1" applyFill="1" applyBorder="1" applyAlignment="1" applyProtection="1">
      <alignment horizontal="right" vertical="center"/>
    </xf>
    <xf numFmtId="165" fontId="0" fillId="31" borderId="11" xfId="0" applyNumberFormat="1" applyFont="1" applyFill="1" applyBorder="1" applyAlignment="1" applyProtection="1">
      <alignment horizontal="right" vertical="center"/>
      <protection locked="0"/>
    </xf>
    <xf numFmtId="170" fontId="6" fillId="34" borderId="11" xfId="122" applyNumberFormat="1" applyFont="1" applyFill="1" applyBorder="1" applyAlignment="1" applyProtection="1">
      <alignment horizontal="right" vertical="center"/>
      <protection locked="0"/>
    </xf>
    <xf numFmtId="0" fontId="7" fillId="32" borderId="11" xfId="0" applyFont="1" applyFill="1" applyBorder="1" applyAlignment="1" applyProtection="1">
      <alignment vertical="center"/>
    </xf>
    <xf numFmtId="165" fontId="3" fillId="32" borderId="11" xfId="192" applyNumberFormat="1" applyFill="1" applyBorder="1" applyAlignment="1" applyProtection="1">
      <alignment horizontal="center" vertical="center"/>
    </xf>
    <xf numFmtId="44" fontId="3" fillId="32" borderId="0" xfId="192" applyFill="1" applyAlignment="1" applyProtection="1">
      <alignment vertical="center"/>
    </xf>
    <xf numFmtId="0" fontId="6" fillId="32" borderId="0" xfId="0" quotePrefix="1" applyFont="1" applyFill="1" applyAlignment="1" applyProtection="1">
      <alignment vertical="center"/>
    </xf>
    <xf numFmtId="0" fontId="3" fillId="32" borderId="48" xfId="174" applyFill="1" applyBorder="1" applyAlignment="1" applyProtection="1">
      <alignment vertical="center" wrapText="1"/>
    </xf>
    <xf numFmtId="0" fontId="3" fillId="32" borderId="92" xfId="174" applyFill="1" applyBorder="1" applyAlignment="1" applyProtection="1">
      <alignment horizontal="center" vertical="center" wrapText="1"/>
    </xf>
    <xf numFmtId="0" fontId="3" fillId="32" borderId="92" xfId="0" applyFont="1" applyFill="1" applyBorder="1" applyAlignment="1" applyProtection="1">
      <alignment horizontal="center" vertical="center" wrapText="1"/>
    </xf>
    <xf numFmtId="0" fontId="3" fillId="32" borderId="14" xfId="174" applyFill="1" applyBorder="1" applyAlignment="1" applyProtection="1">
      <alignment vertical="center"/>
    </xf>
    <xf numFmtId="49" fontId="7" fillId="32" borderId="77" xfId="174" applyNumberFormat="1" applyFont="1" applyFill="1" applyBorder="1" applyAlignment="1" applyProtection="1">
      <alignment horizontal="right" vertical="center"/>
    </xf>
    <xf numFmtId="0" fontId="3" fillId="32" borderId="104" xfId="0" quotePrefix="1" applyFont="1" applyFill="1" applyBorder="1" applyAlignment="1" applyProtection="1">
      <alignment horizontal="center" vertical="center"/>
    </xf>
    <xf numFmtId="0" fontId="0" fillId="32" borderId="104" xfId="0" applyFill="1" applyBorder="1" applyAlignment="1" applyProtection="1">
      <alignment vertical="center"/>
    </xf>
    <xf numFmtId="0" fontId="3" fillId="32" borderId="68" xfId="174" applyFill="1" applyBorder="1" applyAlignment="1" applyProtection="1">
      <alignment vertical="center"/>
    </xf>
    <xf numFmtId="165" fontId="3" fillId="32" borderId="67" xfId="192" applyNumberFormat="1" applyFill="1" applyBorder="1" applyAlignment="1" applyProtection="1">
      <alignment vertical="center"/>
    </xf>
    <xf numFmtId="165" fontId="3" fillId="32" borderId="68" xfId="192" applyNumberFormat="1" applyFill="1" applyBorder="1" applyAlignment="1" applyProtection="1">
      <alignment vertical="center"/>
    </xf>
    <xf numFmtId="0" fontId="3" fillId="32" borderId="69" xfId="174" applyFill="1" applyBorder="1" applyAlignment="1" applyProtection="1">
      <alignment vertical="center"/>
    </xf>
    <xf numFmtId="165" fontId="3" fillId="32" borderId="43" xfId="192" applyNumberFormat="1" applyFill="1" applyBorder="1" applyAlignment="1" applyProtection="1">
      <alignment vertical="center"/>
    </xf>
    <xf numFmtId="165" fontId="3" fillId="32" borderId="69" xfId="192" applyNumberFormat="1" applyFill="1" applyBorder="1" applyAlignment="1" applyProtection="1">
      <alignment vertical="center"/>
    </xf>
    <xf numFmtId="0" fontId="3" fillId="32" borderId="104" xfId="174" applyFill="1" applyBorder="1" applyAlignment="1" applyProtection="1">
      <alignment vertical="center"/>
    </xf>
    <xf numFmtId="165" fontId="3" fillId="32" borderId="52" xfId="192" applyNumberFormat="1" applyFill="1" applyBorder="1" applyAlignment="1" applyProtection="1">
      <alignment vertical="center"/>
    </xf>
    <xf numFmtId="165" fontId="3" fillId="32" borderId="104" xfId="192" applyNumberFormat="1" applyFill="1" applyBorder="1" applyAlignment="1" applyProtection="1">
      <alignment vertical="center"/>
    </xf>
    <xf numFmtId="0" fontId="7" fillId="32" borderId="14" xfId="174" applyFont="1" applyFill="1" applyBorder="1" applyAlignment="1" applyProtection="1">
      <alignment vertical="center"/>
    </xf>
    <xf numFmtId="0" fontId="7" fillId="32" borderId="77" xfId="174" applyFont="1" applyFill="1" applyBorder="1" applyAlignment="1" applyProtection="1">
      <alignment vertical="center"/>
    </xf>
    <xf numFmtId="165" fontId="0" fillId="32" borderId="92" xfId="0" applyNumberFormat="1" applyFill="1" applyBorder="1" applyAlignment="1" applyProtection="1">
      <alignment vertical="center"/>
    </xf>
    <xf numFmtId="165" fontId="7" fillId="32" borderId="77" xfId="0" applyNumberFormat="1" applyFont="1" applyFill="1" applyBorder="1" applyAlignment="1" applyProtection="1">
      <alignment vertical="center"/>
    </xf>
    <xf numFmtId="0" fontId="7" fillId="32" borderId="51" xfId="174" applyFont="1" applyFill="1" applyBorder="1" applyAlignment="1" applyProtection="1">
      <alignment vertical="center"/>
    </xf>
    <xf numFmtId="0" fontId="7" fillId="32" borderId="104" xfId="174" applyFont="1" applyFill="1" applyBorder="1" applyAlignment="1" applyProtection="1">
      <alignment vertical="center"/>
    </xf>
    <xf numFmtId="165" fontId="3" fillId="32" borderId="104" xfId="0" quotePrefix="1" applyNumberFormat="1" applyFont="1" applyFill="1" applyBorder="1" applyAlignment="1" applyProtection="1">
      <alignment horizontal="center" vertical="center"/>
    </xf>
    <xf numFmtId="165" fontId="0" fillId="32" borderId="104" xfId="0" applyNumberFormat="1" applyFill="1" applyBorder="1" applyAlignment="1" applyProtection="1">
      <alignment vertical="center"/>
    </xf>
    <xf numFmtId="0" fontId="88" fillId="32" borderId="0" xfId="174" applyFont="1" applyFill="1" applyAlignment="1" applyProtection="1">
      <alignment horizontal="right" vertical="center"/>
    </xf>
    <xf numFmtId="0" fontId="25" fillId="32" borderId="0" xfId="0" applyFont="1" applyFill="1" applyAlignment="1" applyProtection="1">
      <alignment horizontal="right" vertical="center"/>
    </xf>
    <xf numFmtId="0" fontId="3" fillId="32" borderId="14" xfId="174" applyFill="1" applyBorder="1" applyAlignment="1" applyProtection="1">
      <alignment vertical="center" wrapText="1"/>
    </xf>
    <xf numFmtId="0" fontId="3" fillId="32" borderId="77" xfId="174" applyFill="1" applyBorder="1" applyAlignment="1" applyProtection="1">
      <alignment horizontal="center" vertical="center" wrapText="1"/>
    </xf>
    <xf numFmtId="0" fontId="3" fillId="32" borderId="77" xfId="0" applyFont="1" applyFill="1" applyBorder="1" applyAlignment="1" applyProtection="1">
      <alignment horizontal="center" vertical="center" wrapText="1"/>
    </xf>
    <xf numFmtId="0" fontId="92" fillId="32" borderId="0" xfId="0" quotePrefix="1" applyFont="1" applyFill="1" applyAlignment="1" applyProtection="1">
      <alignment vertical="center"/>
    </xf>
    <xf numFmtId="0" fontId="3" fillId="32" borderId="70" xfId="174" applyFill="1" applyBorder="1" applyAlignment="1" applyProtection="1">
      <alignment vertical="center"/>
    </xf>
    <xf numFmtId="165" fontId="3" fillId="32" borderId="46" xfId="192" applyNumberFormat="1" applyFill="1" applyBorder="1" applyAlignment="1" applyProtection="1">
      <alignment vertical="center"/>
    </xf>
    <xf numFmtId="165" fontId="3" fillId="32" borderId="70" xfId="192" applyNumberFormat="1" applyFill="1" applyBorder="1" applyAlignment="1" applyProtection="1">
      <alignment vertical="center"/>
    </xf>
    <xf numFmtId="0" fontId="3" fillId="32" borderId="71" xfId="174" applyFill="1" applyBorder="1" applyAlignment="1" applyProtection="1">
      <alignment vertical="center"/>
    </xf>
    <xf numFmtId="165" fontId="3" fillId="32" borderId="59" xfId="192" applyNumberFormat="1" applyFill="1" applyBorder="1" applyAlignment="1" applyProtection="1">
      <alignment vertical="center"/>
    </xf>
    <xf numFmtId="165" fontId="3" fillId="32" borderId="71" xfId="192" applyNumberFormat="1" applyFill="1" applyBorder="1" applyAlignment="1" applyProtection="1">
      <alignment vertical="center"/>
    </xf>
    <xf numFmtId="165" fontId="0" fillId="32" borderId="77" xfId="0" applyNumberFormat="1" applyFill="1" applyBorder="1" applyAlignment="1" applyProtection="1">
      <alignment vertical="center"/>
    </xf>
    <xf numFmtId="4" fontId="3" fillId="32" borderId="16" xfId="187" applyNumberFormat="1" applyFill="1" applyBorder="1" applyAlignment="1">
      <alignment vertical="top"/>
    </xf>
    <xf numFmtId="4" fontId="3" fillId="32" borderId="0" xfId="187" applyNumberFormat="1" applyFill="1" applyAlignment="1">
      <alignment vertical="top"/>
    </xf>
    <xf numFmtId="4" fontId="3" fillId="32" borderId="0" xfId="187" applyNumberFormat="1" applyFill="1" applyAlignment="1">
      <alignment horizontal="left" vertical="top"/>
    </xf>
    <xf numFmtId="0" fontId="3" fillId="32" borderId="17" xfId="187" applyFill="1" applyBorder="1" applyAlignment="1">
      <alignment horizontal="center"/>
    </xf>
    <xf numFmtId="165" fontId="3" fillId="31" borderId="17" xfId="192" applyNumberFormat="1" applyFill="1" applyBorder="1" applyAlignment="1" applyProtection="1">
      <alignment vertical="center"/>
      <protection locked="0"/>
    </xf>
    <xf numFmtId="165" fontId="3" fillId="32" borderId="17" xfId="187" applyNumberFormat="1" applyFill="1" applyBorder="1" applyAlignment="1">
      <alignment vertical="top"/>
    </xf>
    <xf numFmtId="4" fontId="32" fillId="32" borderId="0" xfId="187" applyNumberFormat="1" applyFont="1" applyFill="1" applyAlignment="1">
      <alignment vertical="top"/>
    </xf>
    <xf numFmtId="0" fontId="3" fillId="32" borderId="0" xfId="172" applyFill="1" applyAlignment="1">
      <alignment vertical="top"/>
    </xf>
    <xf numFmtId="165" fontId="5" fillId="32" borderId="17" xfId="192" applyNumberFormat="1" applyFont="1" applyFill="1" applyBorder="1" applyAlignment="1" applyProtection="1">
      <alignment vertical="top"/>
    </xf>
    <xf numFmtId="0" fontId="7" fillId="32" borderId="37" xfId="1" applyFont="1" applyFill="1" applyBorder="1" applyAlignment="1" applyProtection="1">
      <alignment horizontal="left"/>
    </xf>
    <xf numFmtId="0" fontId="7" fillId="32" borderId="29" xfId="1" applyFont="1" applyFill="1" applyBorder="1" applyAlignment="1" applyProtection="1">
      <alignment horizontal="left"/>
    </xf>
    <xf numFmtId="0" fontId="7" fillId="32" borderId="26" xfId="1" applyFont="1" applyFill="1" applyBorder="1" applyAlignment="1" applyProtection="1">
      <alignment horizontal="left"/>
    </xf>
    <xf numFmtId="0" fontId="7" fillId="31" borderId="34" xfId="192" applyNumberFormat="1" applyFont="1" applyFill="1" applyBorder="1" applyAlignment="1" applyProtection="1">
      <alignment horizontal="center"/>
      <protection locked="0"/>
    </xf>
    <xf numFmtId="0" fontId="7" fillId="31" borderId="47" xfId="192" applyNumberFormat="1" applyFont="1" applyFill="1" applyBorder="1" applyAlignment="1" applyProtection="1">
      <alignment horizontal="center"/>
      <protection locked="0"/>
    </xf>
    <xf numFmtId="0" fontId="7" fillId="31" borderId="39" xfId="192" applyNumberFormat="1" applyFont="1" applyFill="1" applyBorder="1" applyAlignment="1" applyProtection="1">
      <alignment horizontal="center"/>
      <protection locked="0"/>
    </xf>
    <xf numFmtId="0" fontId="7" fillId="31" borderId="34" xfId="0" applyFont="1" applyFill="1" applyBorder="1" applyAlignment="1" applyProtection="1">
      <alignment horizontal="center"/>
      <protection locked="0"/>
    </xf>
    <xf numFmtId="0" fontId="7" fillId="31" borderId="47" xfId="0" applyFont="1" applyFill="1" applyBorder="1" applyAlignment="1" applyProtection="1">
      <alignment horizontal="center"/>
      <protection locked="0"/>
    </xf>
    <xf numFmtId="0" fontId="7" fillId="31" borderId="39" xfId="0" applyFont="1" applyFill="1" applyBorder="1" applyAlignment="1" applyProtection="1">
      <alignment horizontal="center"/>
      <protection locked="0"/>
    </xf>
    <xf numFmtId="0" fontId="0" fillId="0" borderId="0" xfId="171" applyFont="1" applyAlignment="1">
      <alignment horizontal="left" vertical="center" wrapText="1"/>
    </xf>
    <xf numFmtId="4" fontId="7" fillId="32" borderId="85" xfId="186" applyNumberFormat="1" applyFont="1" applyFill="1" applyBorder="1" applyAlignment="1" applyProtection="1">
      <alignment horizontal="center" vertical="center"/>
    </xf>
    <xf numFmtId="4" fontId="7" fillId="32" borderId="29" xfId="186" applyNumberFormat="1" applyFont="1" applyFill="1" applyBorder="1" applyAlignment="1" applyProtection="1">
      <alignment horizontal="center" vertical="center"/>
    </xf>
    <xf numFmtId="4" fontId="7" fillId="32" borderId="26" xfId="186" applyNumberFormat="1" applyFont="1" applyFill="1" applyBorder="1" applyAlignment="1" applyProtection="1">
      <alignment horizontal="center" vertical="center"/>
    </xf>
    <xf numFmtId="4" fontId="7" fillId="32" borderId="86" xfId="186" applyNumberFormat="1" applyFont="1" applyFill="1" applyBorder="1" applyAlignment="1" applyProtection="1">
      <alignment horizontal="center" vertical="center"/>
    </xf>
    <xf numFmtId="4" fontId="7" fillId="32" borderId="87" xfId="186" applyNumberFormat="1" applyFont="1" applyFill="1" applyBorder="1" applyAlignment="1" applyProtection="1">
      <alignment horizontal="center" vertical="center"/>
    </xf>
    <xf numFmtId="4" fontId="7" fillId="32" borderId="65" xfId="186" applyNumberFormat="1" applyFont="1" applyFill="1" applyBorder="1" applyAlignment="1" applyProtection="1">
      <alignment horizontal="center" vertical="center"/>
    </xf>
    <xf numFmtId="4" fontId="7" fillId="32" borderId="88" xfId="186" applyNumberFormat="1" applyFont="1" applyFill="1" applyBorder="1" applyAlignment="1" applyProtection="1">
      <alignment horizontal="center" vertical="center"/>
    </xf>
    <xf numFmtId="4" fontId="7" fillId="32" borderId="89" xfId="186" applyNumberFormat="1" applyFont="1" applyFill="1" applyBorder="1" applyAlignment="1" applyProtection="1">
      <alignment horizontal="center" vertical="center"/>
    </xf>
    <xf numFmtId="4" fontId="7" fillId="32" borderId="90" xfId="186" applyNumberFormat="1" applyFont="1" applyFill="1" applyBorder="1" applyAlignment="1" applyProtection="1">
      <alignment horizontal="center" vertical="center"/>
    </xf>
    <xf numFmtId="4" fontId="7" fillId="32" borderId="91" xfId="186" applyNumberFormat="1" applyFont="1" applyFill="1" applyBorder="1" applyAlignment="1" applyProtection="1">
      <alignment horizontal="center" vertical="center"/>
    </xf>
    <xf numFmtId="4" fontId="7" fillId="32" borderId="30" xfId="186" applyNumberFormat="1" applyFont="1" applyFill="1" applyBorder="1" applyAlignment="1" applyProtection="1">
      <alignment horizontal="center" vertical="center"/>
    </xf>
    <xf numFmtId="4" fontId="7" fillId="32" borderId="66" xfId="186" applyNumberFormat="1" applyFont="1" applyFill="1" applyBorder="1" applyAlignment="1" applyProtection="1">
      <alignment horizontal="center" vertical="center"/>
    </xf>
    <xf numFmtId="4" fontId="5" fillId="32" borderId="88" xfId="186" applyNumberFormat="1" applyFont="1" applyFill="1" applyBorder="1" applyAlignment="1" applyProtection="1">
      <alignment horizontal="center" vertical="center"/>
    </xf>
    <xf numFmtId="4" fontId="5" fillId="32" borderId="89" xfId="186" applyNumberFormat="1" applyFont="1" applyFill="1" applyBorder="1" applyAlignment="1" applyProtection="1">
      <alignment horizontal="center" vertical="center"/>
    </xf>
    <xf numFmtId="4" fontId="5" fillId="32" borderId="90" xfId="186" applyNumberFormat="1" applyFont="1" applyFill="1" applyBorder="1" applyAlignment="1" applyProtection="1">
      <alignment horizontal="center" vertical="center"/>
    </xf>
    <xf numFmtId="4" fontId="5" fillId="32" borderId="91" xfId="186" applyNumberFormat="1" applyFont="1" applyFill="1" applyBorder="1" applyAlignment="1" applyProtection="1">
      <alignment horizontal="center" vertical="center"/>
    </xf>
    <xf numFmtId="4" fontId="5" fillId="32" borderId="30" xfId="186" applyNumberFormat="1" applyFont="1" applyFill="1" applyBorder="1" applyAlignment="1" applyProtection="1">
      <alignment horizontal="center" vertical="center"/>
    </xf>
    <xf numFmtId="4" fontId="5" fillId="32" borderId="66" xfId="186" applyNumberFormat="1" applyFont="1" applyFill="1" applyBorder="1" applyAlignment="1" applyProtection="1">
      <alignment horizontal="center" vertical="center"/>
    </xf>
    <xf numFmtId="0" fontId="5" fillId="32" borderId="87" xfId="186" applyNumberFormat="1" applyFont="1" applyFill="1" applyBorder="1" applyAlignment="1" applyProtection="1">
      <alignment horizontal="center" vertical="center"/>
    </xf>
    <xf numFmtId="0" fontId="5" fillId="32" borderId="65" xfId="186" applyNumberFormat="1" applyFont="1" applyFill="1" applyBorder="1" applyAlignment="1" applyProtection="1">
      <alignment horizontal="center" vertical="center"/>
    </xf>
    <xf numFmtId="0" fontId="20" fillId="32" borderId="34" xfId="0" applyFont="1" applyFill="1" applyBorder="1" applyAlignment="1" applyProtection="1">
      <alignment horizontal="center" vertical="center"/>
    </xf>
    <xf numFmtId="0" fontId="20" fillId="32" borderId="47" xfId="0" applyFont="1" applyFill="1" applyBorder="1" applyAlignment="1" applyProtection="1">
      <alignment horizontal="center" vertical="center"/>
    </xf>
    <xf numFmtId="0" fontId="20" fillId="32" borderId="39" xfId="0" applyFont="1" applyFill="1" applyBorder="1" applyAlignment="1" applyProtection="1">
      <alignment horizontal="center" vertical="center"/>
    </xf>
    <xf numFmtId="4" fontId="5" fillId="32" borderId="87" xfId="186" applyNumberFormat="1" applyFont="1" applyFill="1" applyBorder="1" applyAlignment="1" applyProtection="1">
      <alignment horizontal="center" vertical="center"/>
    </xf>
    <xf numFmtId="4" fontId="5" fillId="32" borderId="65" xfId="186" applyNumberFormat="1" applyFont="1" applyFill="1" applyBorder="1" applyAlignment="1" applyProtection="1">
      <alignment horizontal="center" vertical="center"/>
    </xf>
    <xf numFmtId="0" fontId="3" fillId="32" borderId="17" xfId="186" applyNumberFormat="1" applyFont="1" applyFill="1" applyBorder="1" applyAlignment="1" applyProtection="1">
      <alignment horizontal="center" wrapText="1"/>
    </xf>
    <xf numFmtId="4" fontId="3" fillId="32" borderId="0" xfId="186" applyNumberFormat="1" applyFont="1" applyFill="1" applyBorder="1" applyAlignment="1" applyProtection="1">
      <alignment horizontal="left" vertical="top" wrapText="1"/>
    </xf>
    <xf numFmtId="4" fontId="3" fillId="32" borderId="19" xfId="186" applyNumberFormat="1" applyFont="1" applyFill="1" applyBorder="1" applyAlignment="1" applyProtection="1">
      <alignment horizontal="left" vertical="top" wrapText="1"/>
    </xf>
    <xf numFmtId="4" fontId="5" fillId="32" borderId="16" xfId="186" applyNumberFormat="1" applyFont="1" applyFill="1" applyBorder="1" applyAlignment="1" applyProtection="1">
      <alignment horizontal="left" vertical="center" wrapText="1"/>
    </xf>
    <xf numFmtId="4" fontId="5" fillId="32" borderId="0" xfId="186" applyNumberFormat="1" applyFont="1" applyFill="1" applyBorder="1" applyAlignment="1" applyProtection="1">
      <alignment horizontal="left" vertical="center" wrapText="1"/>
    </xf>
    <xf numFmtId="4" fontId="5" fillId="32" borderId="19" xfId="186" applyNumberFormat="1" applyFont="1" applyFill="1" applyBorder="1" applyAlignment="1" applyProtection="1">
      <alignment horizontal="left" vertical="center" wrapText="1"/>
    </xf>
    <xf numFmtId="0" fontId="5" fillId="32" borderId="17" xfId="186" applyNumberFormat="1" applyFont="1" applyFill="1" applyBorder="1" applyAlignment="1" applyProtection="1">
      <alignment horizontal="center"/>
    </xf>
    <xf numFmtId="0" fontId="3" fillId="32" borderId="17" xfId="186" applyNumberFormat="1" applyFont="1" applyFill="1" applyBorder="1" applyAlignment="1" applyProtection="1">
      <alignment horizontal="center"/>
    </xf>
    <xf numFmtId="4" fontId="5" fillId="32" borderId="16" xfId="186" applyNumberFormat="1" applyFont="1" applyFill="1" applyBorder="1" applyAlignment="1" applyProtection="1">
      <alignment horizontal="left" vertical="top" wrapText="1"/>
    </xf>
    <xf numFmtId="4" fontId="5" fillId="32" borderId="0" xfId="186" applyNumberFormat="1" applyFont="1" applyFill="1" applyBorder="1" applyAlignment="1" applyProtection="1">
      <alignment horizontal="left" vertical="top" wrapText="1"/>
    </xf>
    <xf numFmtId="4" fontId="5" fillId="32" borderId="19" xfId="186" applyNumberFormat="1" applyFont="1" applyFill="1" applyBorder="1" applyAlignment="1" applyProtection="1">
      <alignment horizontal="left" vertical="top" wrapText="1"/>
    </xf>
    <xf numFmtId="0" fontId="7" fillId="32" borderId="34" xfId="0" applyNumberFormat="1" applyFont="1" applyFill="1" applyBorder="1" applyAlignment="1" applyProtection="1">
      <alignment horizontal="center" vertical="center"/>
    </xf>
    <xf numFmtId="0" fontId="7" fillId="32" borderId="47" xfId="0" applyNumberFormat="1" applyFont="1" applyFill="1" applyBorder="1" applyAlignment="1" applyProtection="1">
      <alignment horizontal="center" vertical="center"/>
    </xf>
    <xf numFmtId="0" fontId="7" fillId="32" borderId="39" xfId="0" applyNumberFormat="1" applyFont="1" applyFill="1" applyBorder="1" applyAlignment="1" applyProtection="1">
      <alignment horizontal="center" vertical="center"/>
    </xf>
    <xf numFmtId="0" fontId="7" fillId="32" borderId="34" xfId="0" applyFont="1" applyFill="1" applyBorder="1" applyAlignment="1" applyProtection="1">
      <alignment horizontal="center" vertical="center"/>
    </xf>
    <xf numFmtId="0" fontId="7" fillId="32" borderId="47" xfId="0" applyFont="1" applyFill="1" applyBorder="1" applyAlignment="1" applyProtection="1">
      <alignment horizontal="center" vertical="center"/>
    </xf>
    <xf numFmtId="0" fontId="7" fillId="32" borderId="39" xfId="0" applyFont="1" applyFill="1" applyBorder="1" applyAlignment="1" applyProtection="1">
      <alignment horizontal="center" vertical="center"/>
    </xf>
    <xf numFmtId="0" fontId="7" fillId="32" borderId="34" xfId="0" applyFont="1" applyFill="1" applyBorder="1" applyAlignment="1">
      <alignment horizontal="center" vertical="center"/>
    </xf>
    <xf numFmtId="0" fontId="7" fillId="32" borderId="39" xfId="0" applyFont="1" applyFill="1" applyBorder="1" applyAlignment="1">
      <alignment horizontal="center" vertical="center"/>
    </xf>
    <xf numFmtId="0" fontId="7" fillId="32" borderId="92" xfId="0" applyFont="1" applyFill="1" applyBorder="1" applyAlignment="1">
      <alignment horizontal="center"/>
    </xf>
    <xf numFmtId="0" fontId="7" fillId="32" borderId="104" xfId="0" applyFont="1" applyFill="1" applyBorder="1" applyAlignment="1">
      <alignment horizontal="center"/>
    </xf>
    <xf numFmtId="0" fontId="19" fillId="39" borderId="138" xfId="0" applyFont="1" applyFill="1" applyBorder="1" applyAlignment="1">
      <alignment horizontal="left" vertical="center" wrapText="1"/>
    </xf>
    <xf numFmtId="0" fontId="19" fillId="39" borderId="139" xfId="0" applyFont="1" applyFill="1" applyBorder="1" applyAlignment="1">
      <alignment horizontal="left" vertical="center" wrapText="1"/>
    </xf>
    <xf numFmtId="4" fontId="5" fillId="0" borderId="33" xfId="186" applyNumberFormat="1" applyFont="1" applyBorder="1" applyAlignment="1" applyProtection="1">
      <alignment horizontal="center" vertical="center" wrapText="1"/>
    </xf>
    <xf numFmtId="4" fontId="5" fillId="0" borderId="27" xfId="186" applyNumberFormat="1" applyFont="1" applyBorder="1" applyAlignment="1" applyProtection="1">
      <alignment horizontal="center" vertical="center" wrapText="1"/>
    </xf>
    <xf numFmtId="4" fontId="5" fillId="0" borderId="28" xfId="186" applyNumberFormat="1" applyFont="1" applyBorder="1" applyAlignment="1" applyProtection="1">
      <alignment horizontal="center" vertical="center" wrapText="1"/>
    </xf>
    <xf numFmtId="0" fontId="5" fillId="0" borderId="33" xfId="186" applyFont="1" applyBorder="1" applyAlignment="1">
      <alignment horizontal="center" vertical="center" wrapText="1"/>
    </xf>
    <xf numFmtId="0" fontId="5" fillId="0" borderId="27" xfId="186" applyFont="1" applyBorder="1" applyAlignment="1">
      <alignment horizontal="center" vertical="center" wrapText="1"/>
    </xf>
    <xf numFmtId="0" fontId="5" fillId="0" borderId="28" xfId="186" applyFont="1" applyBorder="1" applyAlignment="1">
      <alignment horizontal="center" vertical="center" wrapText="1"/>
    </xf>
    <xf numFmtId="44" fontId="0" fillId="0" borderId="37" xfId="192" applyFont="1" applyBorder="1" applyAlignment="1" applyProtection="1">
      <alignment horizontal="center" vertical="center"/>
    </xf>
    <xf numFmtId="0" fontId="5" fillId="32" borderId="33" xfId="186" applyNumberFormat="1" applyFont="1" applyFill="1" applyBorder="1" applyAlignment="1" applyProtection="1">
      <alignment horizontal="center" vertical="center"/>
    </xf>
    <xf numFmtId="0" fontId="5" fillId="32" borderId="27" xfId="186" applyNumberFormat="1" applyFont="1" applyFill="1" applyBorder="1" applyAlignment="1" applyProtection="1">
      <alignment horizontal="center" vertical="center"/>
    </xf>
    <xf numFmtId="0" fontId="5" fillId="32" borderId="28" xfId="186" applyNumberFormat="1" applyFont="1" applyFill="1" applyBorder="1" applyAlignment="1" applyProtection="1">
      <alignment horizontal="center" vertical="center"/>
    </xf>
    <xf numFmtId="44" fontId="3" fillId="32" borderId="33" xfId="192" applyFont="1" applyFill="1" applyBorder="1" applyAlignment="1" applyProtection="1">
      <alignment horizontal="center" vertical="center" wrapText="1"/>
    </xf>
    <xf numFmtId="44" fontId="3" fillId="32" borderId="27" xfId="192" applyFont="1" applyFill="1" applyBorder="1" applyAlignment="1" applyProtection="1">
      <alignment horizontal="center" vertical="center" wrapText="1"/>
    </xf>
    <xf numFmtId="44" fontId="3" fillId="32" borderId="28" xfId="192" applyFont="1" applyFill="1" applyBorder="1" applyAlignment="1" applyProtection="1">
      <alignment horizontal="center" vertical="center" wrapText="1"/>
    </xf>
    <xf numFmtId="0" fontId="23" fillId="0" borderId="37" xfId="30" applyFont="1" applyFill="1" applyBorder="1" applyAlignment="1" applyProtection="1">
      <alignment horizontal="center" vertical="center"/>
    </xf>
    <xf numFmtId="0" fontId="23" fillId="0" borderId="29" xfId="30" applyFont="1" applyFill="1" applyBorder="1" applyAlignment="1" applyProtection="1">
      <alignment horizontal="center" vertical="center"/>
    </xf>
    <xf numFmtId="0" fontId="23" fillId="0" borderId="26" xfId="30" applyFont="1" applyFill="1" applyBorder="1" applyAlignment="1" applyProtection="1">
      <alignment horizontal="center" vertical="center"/>
    </xf>
    <xf numFmtId="0" fontId="3" fillId="32" borderId="33" xfId="30" applyFont="1" applyFill="1" applyBorder="1" applyAlignment="1" applyProtection="1">
      <alignment vertical="center" wrapText="1"/>
    </xf>
    <xf numFmtId="0" fontId="57" fillId="32" borderId="27" xfId="46" applyFill="1" applyBorder="1" applyAlignment="1" applyProtection="1">
      <alignment vertical="center"/>
    </xf>
    <xf numFmtId="0" fontId="57" fillId="32" borderId="28" xfId="46" applyFill="1" applyBorder="1" applyAlignment="1" applyProtection="1">
      <alignment vertical="center"/>
    </xf>
    <xf numFmtId="0" fontId="0" fillId="40" borderId="33" xfId="30" applyFont="1" applyFill="1" applyBorder="1" applyAlignment="1" applyProtection="1">
      <alignment vertical="center" wrapText="1"/>
    </xf>
    <xf numFmtId="0" fontId="57" fillId="40" borderId="27" xfId="46" applyFill="1" applyBorder="1" applyAlignment="1" applyProtection="1">
      <alignment vertical="center" wrapText="1"/>
    </xf>
    <xf numFmtId="0" fontId="57" fillId="40" borderId="28" xfId="46" applyFill="1" applyBorder="1" applyAlignment="1" applyProtection="1">
      <alignment vertical="center"/>
    </xf>
    <xf numFmtId="0" fontId="23" fillId="32" borderId="37" xfId="30" applyFont="1" applyFill="1" applyBorder="1" applyAlignment="1" applyProtection="1">
      <alignment horizontal="center" vertical="center"/>
    </xf>
    <xf numFmtId="0" fontId="23" fillId="32" borderId="29" xfId="30" applyFont="1" applyFill="1" applyBorder="1" applyAlignment="1" applyProtection="1">
      <alignment horizontal="center" vertical="center"/>
    </xf>
    <xf numFmtId="0" fontId="23" fillId="32" borderId="26" xfId="30" applyFont="1" applyFill="1" applyBorder="1" applyAlignment="1" applyProtection="1">
      <alignment horizontal="center" vertical="center"/>
    </xf>
    <xf numFmtId="0" fontId="7" fillId="32" borderId="0" xfId="30" applyFont="1" applyFill="1" applyBorder="1" applyAlignment="1" applyProtection="1">
      <alignment horizontal="center" vertical="center"/>
    </xf>
    <xf numFmtId="0" fontId="0" fillId="0" borderId="33" xfId="30" applyFont="1" applyFill="1" applyBorder="1" applyAlignment="1" applyProtection="1">
      <alignment vertical="center" wrapText="1"/>
    </xf>
    <xf numFmtId="0" fontId="57" fillId="0" borderId="27" xfId="46" applyFill="1" applyBorder="1" applyAlignment="1" applyProtection="1">
      <alignment vertical="center" wrapText="1"/>
    </xf>
    <xf numFmtId="0" fontId="57" fillId="0" borderId="28" xfId="46" applyFill="1" applyBorder="1" applyAlignment="1" applyProtection="1">
      <alignment vertical="center" wrapText="1"/>
    </xf>
    <xf numFmtId="0" fontId="22" fillId="39" borderId="34" xfId="30" applyFont="1" applyFill="1" applyBorder="1" applyAlignment="1" applyProtection="1">
      <alignment horizontal="center" vertical="center"/>
    </xf>
    <xf numFmtId="0" fontId="22" fillId="39" borderId="47" xfId="30" applyFont="1" applyFill="1" applyBorder="1" applyAlignment="1" applyProtection="1">
      <alignment horizontal="center" vertical="center"/>
    </xf>
    <xf numFmtId="0" fontId="22" fillId="39" borderId="39" xfId="30" applyFont="1" applyFill="1" applyBorder="1" applyAlignment="1" applyProtection="1">
      <alignment horizontal="center" vertical="center"/>
    </xf>
    <xf numFmtId="0" fontId="23" fillId="32" borderId="34" xfId="30" applyFont="1" applyFill="1" applyBorder="1" applyAlignment="1" applyProtection="1">
      <alignment horizontal="center" vertical="center"/>
    </xf>
    <xf numFmtId="0" fontId="23" fillId="32" borderId="47" xfId="30" applyFont="1" applyFill="1" applyBorder="1" applyAlignment="1" applyProtection="1">
      <alignment horizontal="center" vertical="center"/>
    </xf>
    <xf numFmtId="0" fontId="23" fillId="32" borderId="39" xfId="30" applyFont="1" applyFill="1" applyBorder="1" applyAlignment="1" applyProtection="1">
      <alignment horizontal="center" vertical="center"/>
    </xf>
    <xf numFmtId="0" fontId="79" fillId="32" borderId="14" xfId="30" applyFont="1" applyFill="1" applyBorder="1" applyAlignment="1" applyProtection="1">
      <alignment horizontal="center" vertical="center"/>
    </xf>
    <xf numFmtId="0" fontId="79" fillId="32" borderId="0" xfId="30" applyFont="1" applyFill="1" applyAlignment="1" applyProtection="1">
      <alignment horizontal="center" vertical="center"/>
    </xf>
    <xf numFmtId="0" fontId="20" fillId="32" borderId="34" xfId="186" applyFont="1" applyFill="1" applyBorder="1" applyAlignment="1" applyProtection="1">
      <alignment horizontal="center" vertical="center"/>
    </xf>
    <xf numFmtId="0" fontId="20" fillId="32" borderId="47" xfId="186" applyFont="1" applyFill="1" applyBorder="1" applyAlignment="1" applyProtection="1">
      <alignment horizontal="center" vertical="center"/>
    </xf>
    <xf numFmtId="0" fontId="20" fillId="32" borderId="39" xfId="186" applyFont="1" applyFill="1" applyBorder="1" applyAlignment="1" applyProtection="1">
      <alignment horizontal="center" vertical="center"/>
    </xf>
    <xf numFmtId="0" fontId="6" fillId="32" borderId="37" xfId="0" applyFont="1" applyFill="1" applyBorder="1" applyAlignment="1" applyProtection="1">
      <alignment horizontal="center" vertical="center" wrapText="1"/>
    </xf>
    <xf numFmtId="0" fontId="6" fillId="32" borderId="29" xfId="0" applyFont="1" applyFill="1" applyBorder="1" applyAlignment="1" applyProtection="1">
      <alignment horizontal="center" vertical="center" wrapText="1"/>
    </xf>
    <xf numFmtId="0" fontId="6" fillId="32" borderId="26" xfId="0" applyFont="1" applyFill="1" applyBorder="1" applyAlignment="1" applyProtection="1">
      <alignment horizontal="center" vertical="center" wrapText="1"/>
    </xf>
    <xf numFmtId="0" fontId="7" fillId="32" borderId="37" xfId="0" applyFont="1" applyFill="1" applyBorder="1" applyAlignment="1" applyProtection="1">
      <alignment horizontal="center" vertical="center" wrapText="1"/>
    </xf>
    <xf numFmtId="0" fontId="7" fillId="32" borderId="29" xfId="0" applyFont="1" applyFill="1" applyBorder="1" applyAlignment="1" applyProtection="1">
      <alignment horizontal="center" vertical="center" wrapText="1"/>
    </xf>
    <xf numFmtId="0" fontId="7" fillId="32" borderId="26" xfId="0" applyFont="1" applyFill="1" applyBorder="1" applyAlignment="1" applyProtection="1">
      <alignment horizontal="center" vertical="center" wrapText="1"/>
    </xf>
    <xf numFmtId="0" fontId="6" fillId="35" borderId="37" xfId="0" applyFont="1" applyFill="1" applyBorder="1" applyAlignment="1" applyProtection="1">
      <alignment horizontal="center" vertical="center" wrapText="1"/>
    </xf>
    <xf numFmtId="0" fontId="6" fillId="35" borderId="29" xfId="0" applyFont="1" applyFill="1" applyBorder="1" applyAlignment="1" applyProtection="1">
      <alignment horizontal="center" vertical="center" wrapText="1"/>
    </xf>
    <xf numFmtId="0" fontId="6" fillId="35" borderId="26" xfId="0" applyFont="1" applyFill="1" applyBorder="1" applyAlignment="1" applyProtection="1">
      <alignment horizontal="center" vertical="center" wrapText="1"/>
    </xf>
    <xf numFmtId="0" fontId="7" fillId="35" borderId="37" xfId="0" applyFont="1" applyFill="1" applyBorder="1" applyAlignment="1" applyProtection="1">
      <alignment horizontal="center" vertical="center" wrapText="1"/>
    </xf>
    <xf numFmtId="0" fontId="7" fillId="35" borderId="29" xfId="0" applyFont="1" applyFill="1" applyBorder="1" applyAlignment="1" applyProtection="1">
      <alignment horizontal="center" vertical="center" wrapText="1"/>
    </xf>
    <xf numFmtId="0" fontId="7" fillId="35" borderId="26" xfId="0" applyFont="1" applyFill="1" applyBorder="1" applyAlignment="1" applyProtection="1">
      <alignment horizontal="center" vertical="center" wrapText="1"/>
    </xf>
    <xf numFmtId="0" fontId="6" fillId="38" borderId="37" xfId="0" applyFont="1" applyFill="1" applyBorder="1" applyAlignment="1" applyProtection="1">
      <alignment horizontal="center" vertical="center" wrapText="1"/>
    </xf>
    <xf numFmtId="0" fontId="6" fillId="38" borderId="29" xfId="0" applyFont="1" applyFill="1" applyBorder="1" applyAlignment="1" applyProtection="1">
      <alignment horizontal="center" vertical="center" wrapText="1"/>
    </xf>
    <xf numFmtId="0" fontId="6" fillId="38" borderId="26" xfId="0" applyFont="1" applyFill="1" applyBorder="1" applyAlignment="1" applyProtection="1">
      <alignment horizontal="center" vertical="center" wrapText="1"/>
    </xf>
    <xf numFmtId="0" fontId="6" fillId="43" borderId="37" xfId="0" applyFont="1" applyFill="1" applyBorder="1" applyAlignment="1" applyProtection="1">
      <alignment horizontal="center" vertical="center" wrapText="1"/>
    </xf>
    <xf numFmtId="0" fontId="6" fillId="43" borderId="29" xfId="0" applyFont="1" applyFill="1" applyBorder="1" applyAlignment="1" applyProtection="1">
      <alignment horizontal="center" vertical="center" wrapText="1"/>
    </xf>
    <xf numFmtId="0" fontId="6" fillId="43" borderId="26" xfId="0" applyFont="1" applyFill="1" applyBorder="1" applyAlignment="1" applyProtection="1">
      <alignment horizontal="center" vertical="center" wrapText="1"/>
    </xf>
    <xf numFmtId="0" fontId="6" fillId="32" borderId="32" xfId="0" applyFont="1" applyFill="1" applyBorder="1" applyAlignment="1" applyProtection="1">
      <alignment horizontal="right" vertical="center"/>
    </xf>
    <xf numFmtId="0" fontId="6" fillId="32" borderId="0" xfId="0" applyFont="1" applyFill="1" applyBorder="1" applyAlignment="1" applyProtection="1">
      <alignment horizontal="center" vertical="center"/>
    </xf>
    <xf numFmtId="0" fontId="0" fillId="35" borderId="37" xfId="0" applyFill="1" applyBorder="1" applyAlignment="1" applyProtection="1">
      <alignment horizontal="center" vertical="center" wrapText="1"/>
    </xf>
    <xf numFmtId="0" fontId="0" fillId="35" borderId="29" xfId="0" applyFill="1" applyBorder="1" applyAlignment="1" applyProtection="1">
      <alignment horizontal="center" vertical="center" wrapText="1"/>
    </xf>
    <xf numFmtId="0" fontId="0" fillId="35" borderId="26" xfId="0" applyFill="1" applyBorder="1" applyAlignment="1" applyProtection="1">
      <alignment horizontal="center" vertical="center" wrapText="1"/>
    </xf>
    <xf numFmtId="0" fontId="19" fillId="38" borderId="37" xfId="0" applyFont="1" applyFill="1" applyBorder="1" applyAlignment="1" applyProtection="1">
      <alignment horizontal="left" vertical="center"/>
    </xf>
    <xf numFmtId="0" fontId="19" fillId="38" borderId="29" xfId="0" applyFont="1" applyFill="1" applyBorder="1" applyAlignment="1" applyProtection="1">
      <alignment horizontal="left" vertical="center"/>
    </xf>
    <xf numFmtId="0" fontId="19" fillId="38" borderId="26" xfId="0" applyFont="1" applyFill="1" applyBorder="1" applyAlignment="1" applyProtection="1">
      <alignment horizontal="left" vertical="center"/>
    </xf>
    <xf numFmtId="0" fontId="7" fillId="32" borderId="37" xfId="0" applyFont="1" applyFill="1" applyBorder="1" applyAlignment="1" applyProtection="1">
      <alignment horizontal="left" vertical="center" wrapText="1"/>
    </xf>
    <xf numFmtId="0" fontId="7" fillId="32" borderId="29" xfId="0" applyFont="1" applyFill="1" applyBorder="1" applyAlignment="1" applyProtection="1">
      <alignment horizontal="left" vertical="center" wrapText="1"/>
    </xf>
    <xf numFmtId="0" fontId="7" fillId="32" borderId="26" xfId="0" applyFont="1" applyFill="1" applyBorder="1" applyAlignment="1" applyProtection="1">
      <alignment horizontal="left" vertical="center" wrapText="1"/>
    </xf>
    <xf numFmtId="0" fontId="0" fillId="32" borderId="37" xfId="0" applyFill="1" applyBorder="1" applyAlignment="1" applyProtection="1">
      <alignment horizontal="center" vertical="center" wrapText="1"/>
    </xf>
    <xf numFmtId="0" fontId="0" fillId="32" borderId="29" xfId="0" applyFill="1" applyBorder="1" applyAlignment="1" applyProtection="1">
      <alignment horizontal="center" vertical="center" wrapText="1"/>
    </xf>
    <xf numFmtId="0" fontId="0" fillId="32" borderId="26" xfId="0" applyFill="1" applyBorder="1" applyAlignment="1" applyProtection="1">
      <alignment horizontal="center" vertical="center" wrapText="1"/>
    </xf>
    <xf numFmtId="0" fontId="7" fillId="32" borderId="11" xfId="0" applyFont="1" applyFill="1" applyBorder="1" applyAlignment="1" applyProtection="1">
      <alignment horizontal="left" vertical="center" wrapText="1"/>
    </xf>
    <xf numFmtId="0" fontId="0" fillId="32" borderId="11" xfId="0" applyFill="1" applyBorder="1" applyAlignment="1" applyProtection="1">
      <alignment horizontal="left" vertical="center" wrapText="1"/>
    </xf>
    <xf numFmtId="0" fontId="0" fillId="32" borderId="37" xfId="0" applyFill="1" applyBorder="1" applyAlignment="1" applyProtection="1">
      <alignment horizontal="left" vertical="center" wrapText="1"/>
    </xf>
    <xf numFmtId="0" fontId="0" fillId="32" borderId="29" xfId="0" applyFill="1" applyBorder="1" applyAlignment="1" applyProtection="1">
      <alignment horizontal="left" vertical="center" wrapText="1"/>
    </xf>
    <xf numFmtId="0" fontId="0" fillId="32" borderId="26" xfId="0" applyFill="1" applyBorder="1" applyAlignment="1" applyProtection="1">
      <alignment horizontal="left" vertical="center" wrapText="1"/>
    </xf>
    <xf numFmtId="0" fontId="19" fillId="32" borderId="37" xfId="0" applyFont="1" applyFill="1" applyBorder="1" applyAlignment="1" applyProtection="1">
      <alignment horizontal="left" vertical="center"/>
    </xf>
    <xf numFmtId="0" fontId="19" fillId="32" borderId="29" xfId="0" applyFont="1" applyFill="1" applyBorder="1" applyAlignment="1" applyProtection="1">
      <alignment horizontal="left" vertical="center"/>
    </xf>
    <xf numFmtId="0" fontId="19" fillId="32" borderId="26" xfId="0" applyFont="1" applyFill="1" applyBorder="1" applyAlignment="1" applyProtection="1">
      <alignment horizontal="left" vertical="center"/>
    </xf>
    <xf numFmtId="0" fontId="7" fillId="32" borderId="37" xfId="0" applyFont="1" applyFill="1" applyBorder="1" applyAlignment="1" applyProtection="1">
      <alignment horizontal="left" vertical="center"/>
    </xf>
    <xf numFmtId="0" fontId="7" fillId="32" borderId="29" xfId="0" applyFont="1" applyFill="1" applyBorder="1" applyAlignment="1" applyProtection="1">
      <alignment horizontal="left" vertical="center"/>
    </xf>
    <xf numFmtId="0" fontId="7" fillId="32" borderId="26" xfId="0" applyFont="1" applyFill="1" applyBorder="1" applyAlignment="1" applyProtection="1">
      <alignment horizontal="left" vertical="center"/>
    </xf>
    <xf numFmtId="0" fontId="26" fillId="32" borderId="14" xfId="30" applyFont="1" applyFill="1" applyBorder="1" applyAlignment="1" applyProtection="1">
      <alignment horizontal="center" vertical="center"/>
    </xf>
    <xf numFmtId="0" fontId="26" fillId="32" borderId="0" xfId="30" applyFont="1" applyFill="1" applyAlignment="1" applyProtection="1">
      <alignment horizontal="center" vertical="center"/>
    </xf>
    <xf numFmtId="0" fontId="57" fillId="0" borderId="28" xfId="46" applyFill="1" applyBorder="1" applyAlignment="1" applyProtection="1">
      <alignment vertical="center"/>
    </xf>
    <xf numFmtId="0" fontId="20" fillId="32" borderId="34" xfId="186" applyFont="1" applyFill="1" applyBorder="1" applyAlignment="1" applyProtection="1">
      <alignment horizontal="center" vertical="center" wrapText="1"/>
    </xf>
    <xf numFmtId="0" fontId="20" fillId="32" borderId="47" xfId="186" applyFont="1" applyFill="1" applyBorder="1" applyAlignment="1" applyProtection="1">
      <alignment horizontal="center" vertical="center" wrapText="1"/>
    </xf>
    <xf numFmtId="0" fontId="20" fillId="32" borderId="39" xfId="186" applyFont="1" applyFill="1" applyBorder="1" applyAlignment="1" applyProtection="1">
      <alignment horizontal="center" vertical="center" wrapText="1"/>
    </xf>
    <xf numFmtId="0" fontId="6" fillId="32" borderId="123" xfId="0" applyFont="1" applyFill="1" applyBorder="1" applyAlignment="1" applyProtection="1">
      <alignment horizontal="left" vertical="center" wrapText="1"/>
    </xf>
    <xf numFmtId="0" fontId="6" fillId="32" borderId="124" xfId="0" applyFont="1" applyFill="1" applyBorder="1" applyAlignment="1" applyProtection="1">
      <alignment horizontal="left" vertical="center" wrapText="1"/>
    </xf>
    <xf numFmtId="0" fontId="6" fillId="32" borderId="61" xfId="0" applyFont="1" applyFill="1" applyBorder="1" applyAlignment="1" applyProtection="1">
      <alignment horizontal="left" vertical="center" wrapText="1"/>
    </xf>
    <xf numFmtId="0" fontId="6" fillId="32" borderId="79" xfId="0" applyFont="1" applyFill="1" applyBorder="1" applyAlignment="1" applyProtection="1">
      <alignment horizontal="left" vertical="center" wrapText="1"/>
    </xf>
    <xf numFmtId="0" fontId="6" fillId="32" borderId="121" xfId="0" applyFont="1" applyFill="1" applyBorder="1" applyAlignment="1" applyProtection="1">
      <alignment horizontal="left" vertical="center" wrapText="1"/>
    </xf>
    <xf numFmtId="0" fontId="6" fillId="32" borderId="26" xfId="0" applyFont="1" applyFill="1" applyBorder="1" applyAlignment="1" applyProtection="1">
      <alignment horizontal="left" vertical="center" wrapText="1"/>
    </xf>
    <xf numFmtId="0" fontId="7" fillId="32" borderId="84" xfId="0" applyFont="1" applyFill="1" applyBorder="1" applyAlignment="1" applyProtection="1">
      <alignment horizontal="center" vertical="center" wrapText="1"/>
    </xf>
    <xf numFmtId="0" fontId="7" fillId="32" borderId="35" xfId="0" applyFont="1" applyFill="1" applyBorder="1" applyAlignment="1" applyProtection="1">
      <alignment horizontal="center" vertical="center" wrapText="1"/>
    </xf>
    <xf numFmtId="0" fontId="7" fillId="32" borderId="34" xfId="0" applyFont="1" applyFill="1" applyBorder="1" applyAlignment="1" applyProtection="1">
      <alignment horizontal="left" vertical="center" wrapText="1"/>
    </xf>
    <xf numFmtId="0" fontId="7" fillId="32" borderId="82" xfId="0" applyFont="1" applyFill="1" applyBorder="1" applyAlignment="1" applyProtection="1">
      <alignment horizontal="left" vertical="center" wrapText="1"/>
    </xf>
    <xf numFmtId="0" fontId="7" fillId="32" borderId="34" xfId="0" applyFont="1" applyFill="1" applyBorder="1" applyAlignment="1" applyProtection="1">
      <alignment horizontal="left" vertical="center"/>
    </xf>
    <xf numFmtId="0" fontId="7" fillId="32" borderId="82" xfId="0" applyFont="1" applyFill="1" applyBorder="1" applyAlignment="1" applyProtection="1">
      <alignment horizontal="left" vertical="center"/>
    </xf>
    <xf numFmtId="0" fontId="57" fillId="32" borderId="27" xfId="46" applyFill="1" applyBorder="1" applyAlignment="1" applyProtection="1">
      <alignment vertical="center" wrapText="1"/>
    </xf>
    <xf numFmtId="0" fontId="57" fillId="32" borderId="28" xfId="46" applyFill="1" applyBorder="1" applyAlignment="1" applyProtection="1">
      <alignment vertical="center" wrapText="1"/>
    </xf>
    <xf numFmtId="0" fontId="6" fillId="32" borderId="0" xfId="0" applyFont="1" applyFill="1" applyAlignment="1" applyProtection="1">
      <alignment horizontal="left" vertical="center" wrapText="1"/>
    </xf>
    <xf numFmtId="0" fontId="7" fillId="0" borderId="34" xfId="174" applyFont="1" applyFill="1" applyBorder="1" applyAlignment="1" applyProtection="1">
      <alignment horizontal="center" vertical="center" wrapText="1"/>
    </xf>
    <xf numFmtId="0" fontId="7" fillId="0" borderId="47" xfId="174" applyFont="1" applyFill="1" applyBorder="1" applyAlignment="1" applyProtection="1">
      <alignment horizontal="center" vertical="center" wrapText="1"/>
    </xf>
    <xf numFmtId="0" fontId="7" fillId="0" borderId="82" xfId="174" applyFont="1" applyFill="1" applyBorder="1" applyAlignment="1" applyProtection="1">
      <alignment horizontal="center" vertical="center" wrapText="1"/>
    </xf>
    <xf numFmtId="0" fontId="5" fillId="0" borderId="42" xfId="174" applyFont="1" applyFill="1" applyBorder="1" applyAlignment="1" applyProtection="1">
      <alignment horizontal="left" vertical="center" wrapText="1"/>
    </xf>
    <xf numFmtId="0" fontId="5" fillId="0" borderId="43" xfId="174" applyFont="1" applyFill="1" applyBorder="1" applyAlignment="1" applyProtection="1">
      <alignment horizontal="left" vertical="center" wrapText="1"/>
    </xf>
    <xf numFmtId="0" fontId="5" fillId="30" borderId="42" xfId="174" applyFont="1" applyFill="1" applyBorder="1" applyAlignment="1" applyProtection="1">
      <alignment horizontal="left" vertical="center" wrapText="1"/>
    </xf>
    <xf numFmtId="0" fontId="5" fillId="30" borderId="43" xfId="174" applyFont="1" applyFill="1" applyBorder="1" applyAlignment="1" applyProtection="1">
      <alignment horizontal="left" vertical="center" wrapText="1"/>
    </xf>
    <xf numFmtId="0" fontId="54" fillId="0" borderId="42" xfId="174" applyFont="1" applyFill="1" applyBorder="1" applyAlignment="1" applyProtection="1">
      <alignment horizontal="left" vertical="center" wrapText="1"/>
    </xf>
    <xf numFmtId="0" fontId="54" fillId="0" borderId="43" xfId="174" applyFont="1" applyFill="1" applyBorder="1" applyAlignment="1" applyProtection="1">
      <alignment horizontal="left" vertical="center" wrapText="1"/>
    </xf>
    <xf numFmtId="0" fontId="3" fillId="0" borderId="42" xfId="174" applyFont="1" applyFill="1" applyBorder="1" applyAlignment="1" applyProtection="1">
      <alignment horizontal="left" vertical="center" wrapText="1"/>
    </xf>
    <xf numFmtId="0" fontId="3" fillId="0" borderId="43" xfId="174" applyFont="1" applyFill="1" applyBorder="1" applyAlignment="1" applyProtection="1">
      <alignment horizontal="left" vertical="center" wrapText="1"/>
    </xf>
    <xf numFmtId="0" fontId="7" fillId="32" borderId="42" xfId="184" applyFont="1" applyFill="1" applyBorder="1" applyAlignment="1" applyProtection="1">
      <alignment horizontal="left" vertical="center" wrapText="1"/>
    </xf>
    <xf numFmtId="0" fontId="7" fillId="32" borderId="43" xfId="184" applyFont="1" applyFill="1" applyBorder="1" applyAlignment="1" applyProtection="1">
      <alignment horizontal="left" vertical="center" wrapText="1"/>
    </xf>
    <xf numFmtId="0" fontId="4" fillId="32" borderId="48" xfId="171" applyFont="1" applyFill="1" applyBorder="1" applyAlignment="1" applyProtection="1">
      <alignment horizontal="center" vertical="center"/>
    </xf>
    <xf numFmtId="0" fontId="4" fillId="32" borderId="49" xfId="171" applyFont="1" applyFill="1" applyBorder="1" applyAlignment="1" applyProtection="1">
      <alignment horizontal="center" vertical="center"/>
    </xf>
    <xf numFmtId="0" fontId="4" fillId="32" borderId="50" xfId="171" applyFont="1" applyFill="1" applyBorder="1" applyAlignment="1" applyProtection="1">
      <alignment horizontal="center" vertical="center"/>
    </xf>
    <xf numFmtId="0" fontId="4" fillId="32" borderId="51" xfId="171" applyFont="1" applyFill="1" applyBorder="1" applyAlignment="1" applyProtection="1">
      <alignment horizontal="center" vertical="center"/>
    </xf>
    <xf numFmtId="0" fontId="4" fillId="32" borderId="15" xfId="171" applyFont="1" applyFill="1" applyBorder="1" applyAlignment="1" applyProtection="1">
      <alignment horizontal="center" vertical="center"/>
    </xf>
    <xf numFmtId="0" fontId="4" fillId="32" borderId="52" xfId="171" applyFont="1" applyFill="1" applyBorder="1" applyAlignment="1" applyProtection="1">
      <alignment horizontal="center" vertical="center"/>
    </xf>
    <xf numFmtId="0" fontId="7" fillId="32" borderId="48" xfId="171" applyFont="1" applyFill="1" applyBorder="1" applyAlignment="1" applyProtection="1">
      <alignment horizontal="center" vertical="center" wrapText="1"/>
    </xf>
    <xf numFmtId="0" fontId="7" fillId="32" borderId="49" xfId="171" applyFont="1" applyFill="1" applyBorder="1" applyAlignment="1" applyProtection="1">
      <alignment horizontal="center" vertical="center" wrapText="1"/>
    </xf>
    <xf numFmtId="0" fontId="7" fillId="32" borderId="78" xfId="171" applyFont="1" applyFill="1" applyBorder="1" applyAlignment="1" applyProtection="1">
      <alignment horizontal="center" vertical="center" wrapText="1"/>
    </xf>
    <xf numFmtId="0" fontId="23" fillId="32" borderId="84" xfId="30" applyFont="1" applyFill="1" applyBorder="1" applyAlignment="1" applyProtection="1">
      <alignment horizontal="center" vertical="center"/>
    </xf>
    <xf numFmtId="0" fontId="23" fillId="32" borderId="32" xfId="30" applyFont="1" applyFill="1" applyBorder="1" applyAlignment="1" applyProtection="1">
      <alignment horizontal="center" vertical="center"/>
    </xf>
    <xf numFmtId="0" fontId="23" fillId="32" borderId="35" xfId="30" applyFont="1" applyFill="1" applyBorder="1" applyAlignment="1" applyProtection="1">
      <alignment horizontal="center" vertical="center"/>
    </xf>
    <xf numFmtId="0" fontId="0" fillId="32" borderId="121" xfId="0" applyFont="1" applyFill="1" applyBorder="1" applyAlignment="1" applyProtection="1">
      <alignment horizontal="left" vertical="center" wrapText="1"/>
    </xf>
    <xf numFmtId="0" fontId="0" fillId="32" borderId="26" xfId="0" applyFont="1" applyFill="1" applyBorder="1" applyAlignment="1" applyProtection="1">
      <alignment horizontal="left" vertical="center" wrapText="1"/>
    </xf>
    <xf numFmtId="0" fontId="0" fillId="32" borderId="61" xfId="0" applyFont="1" applyFill="1" applyBorder="1" applyAlignment="1" applyProtection="1">
      <alignment horizontal="left" vertical="center" wrapText="1"/>
    </xf>
    <xf numFmtId="0" fontId="0" fillId="32" borderId="79" xfId="0" applyFont="1" applyFill="1" applyBorder="1" applyAlignment="1" applyProtection="1">
      <alignment horizontal="left" vertical="center" wrapText="1"/>
    </xf>
    <xf numFmtId="0" fontId="7" fillId="32" borderId="123" xfId="0" applyFont="1" applyFill="1" applyBorder="1" applyAlignment="1" applyProtection="1">
      <alignment horizontal="left" vertical="center"/>
    </xf>
    <xf numFmtId="0" fontId="7" fillId="32" borderId="124" xfId="0" applyFont="1" applyFill="1" applyBorder="1" applyAlignment="1" applyProtection="1">
      <alignment horizontal="left" vertical="center"/>
    </xf>
    <xf numFmtId="0" fontId="7" fillId="32" borderId="121" xfId="0" applyFont="1" applyFill="1" applyBorder="1" applyAlignment="1" applyProtection="1">
      <alignment horizontal="left" vertical="center" wrapText="1"/>
    </xf>
    <xf numFmtId="0" fontId="7" fillId="32" borderId="127" xfId="0" applyFont="1" applyFill="1" applyBorder="1" applyAlignment="1" applyProtection="1">
      <alignment horizontal="left" vertical="center" wrapText="1"/>
    </xf>
    <xf numFmtId="0" fontId="7" fillId="32" borderId="128" xfId="0" applyFont="1" applyFill="1" applyBorder="1" applyAlignment="1" applyProtection="1">
      <alignment horizontal="left" vertical="center" wrapText="1"/>
    </xf>
    <xf numFmtId="0" fontId="7" fillId="0" borderId="121" xfId="0" applyFont="1" applyBorder="1" applyAlignment="1">
      <alignment horizontal="left" vertical="center" wrapText="1"/>
    </xf>
    <xf numFmtId="0" fontId="7" fillId="0" borderId="26" xfId="0" applyFont="1" applyBorder="1" applyAlignment="1">
      <alignment horizontal="left" vertical="center" wrapText="1"/>
    </xf>
    <xf numFmtId="0" fontId="0" fillId="32" borderId="51" xfId="0" applyFont="1" applyFill="1" applyBorder="1" applyAlignment="1" applyProtection="1">
      <alignment horizontal="left" vertical="center" wrapText="1"/>
    </xf>
    <xf numFmtId="0" fontId="0" fillId="32" borderId="130" xfId="0" applyFont="1" applyFill="1" applyBorder="1" applyAlignment="1" applyProtection="1">
      <alignment horizontal="left" vertical="center" wrapText="1"/>
    </xf>
    <xf numFmtId="0" fontId="0" fillId="32" borderId="123" xfId="0" applyFont="1" applyFill="1" applyBorder="1" applyAlignment="1" applyProtection="1">
      <alignment horizontal="left" vertical="center" wrapText="1"/>
    </xf>
    <xf numFmtId="0" fontId="0" fillId="32" borderId="124" xfId="0" applyFont="1" applyFill="1" applyBorder="1" applyAlignment="1" applyProtection="1">
      <alignment horizontal="left" vertical="center" wrapText="1"/>
    </xf>
    <xf numFmtId="0" fontId="0" fillId="32" borderId="34" xfId="0" applyFill="1" applyBorder="1" applyAlignment="1" applyProtection="1">
      <alignment horizontal="left" vertical="center" wrapText="1"/>
    </xf>
    <xf numFmtId="0" fontId="0" fillId="32" borderId="82" xfId="0" applyFill="1" applyBorder="1" applyAlignment="1" applyProtection="1">
      <alignment horizontal="left" vertical="center" wrapText="1"/>
    </xf>
    <xf numFmtId="0" fontId="7" fillId="32" borderId="123" xfId="0" applyFont="1" applyFill="1" applyBorder="1" applyAlignment="1" applyProtection="1">
      <alignment horizontal="left" vertical="center" wrapText="1"/>
    </xf>
    <xf numFmtId="0" fontId="7" fillId="32" borderId="124" xfId="0" applyFont="1" applyFill="1" applyBorder="1" applyAlignment="1" applyProtection="1">
      <alignment horizontal="left" vertical="center" wrapText="1"/>
    </xf>
    <xf numFmtId="0" fontId="6" fillId="40" borderId="32" xfId="0" applyFont="1" applyFill="1" applyBorder="1" applyAlignment="1" applyProtection="1">
      <alignment horizontal="right" vertical="center"/>
    </xf>
    <xf numFmtId="0" fontId="77" fillId="32" borderId="33" xfId="46" applyFont="1" applyFill="1" applyBorder="1" applyAlignment="1" applyProtection="1">
      <alignment vertical="center" wrapText="1"/>
    </xf>
    <xf numFmtId="0" fontId="77" fillId="32" borderId="27" xfId="46" applyFont="1" applyFill="1" applyBorder="1" applyAlignment="1" applyProtection="1">
      <alignment vertical="center" wrapText="1"/>
    </xf>
    <xf numFmtId="0" fontId="77" fillId="32" borderId="28" xfId="46" applyFont="1" applyFill="1" applyBorder="1" applyAlignment="1" applyProtection="1">
      <alignment vertical="center" wrapText="1"/>
    </xf>
    <xf numFmtId="0" fontId="87" fillId="32" borderId="33" xfId="46" applyFont="1" applyFill="1" applyBorder="1" applyAlignment="1" applyProtection="1">
      <alignment vertical="center" wrapText="1"/>
    </xf>
    <xf numFmtId="0" fontId="4" fillId="32" borderId="34" xfId="171" applyFont="1" applyFill="1" applyBorder="1" applyAlignment="1" applyProtection="1">
      <alignment horizontal="center" vertical="center"/>
    </xf>
    <xf numFmtId="0" fontId="4" fillId="32" borderId="47" xfId="171" applyFont="1" applyFill="1" applyBorder="1" applyAlignment="1" applyProtection="1">
      <alignment horizontal="center" vertical="center"/>
    </xf>
    <xf numFmtId="0" fontId="4" fillId="32" borderId="39" xfId="171" applyFont="1" applyFill="1" applyBorder="1" applyAlignment="1" applyProtection="1">
      <alignment horizontal="center" vertical="center"/>
    </xf>
    <xf numFmtId="0" fontId="7" fillId="32" borderId="34" xfId="171" applyFont="1" applyFill="1" applyBorder="1" applyAlignment="1" applyProtection="1">
      <alignment horizontal="center" vertical="center"/>
    </xf>
    <xf numFmtId="0" fontId="7" fillId="32" borderId="39" xfId="171" applyFont="1" applyFill="1" applyBorder="1" applyAlignment="1" applyProtection="1">
      <alignment horizontal="center" vertical="center"/>
    </xf>
    <xf numFmtId="0" fontId="19" fillId="32" borderId="37" xfId="171" applyFont="1" applyFill="1" applyBorder="1" applyAlignment="1" applyProtection="1">
      <alignment horizontal="right" vertical="center"/>
    </xf>
    <xf numFmtId="0" fontId="19" fillId="32" borderId="26" xfId="171" applyFont="1" applyFill="1" applyBorder="1" applyAlignment="1" applyProtection="1">
      <alignment horizontal="right" vertical="center"/>
    </xf>
    <xf numFmtId="0" fontId="4" fillId="32" borderId="34" xfId="0" applyFont="1" applyFill="1" applyBorder="1" applyAlignment="1" applyProtection="1">
      <alignment horizontal="center" vertical="center"/>
    </xf>
    <xf numFmtId="0" fontId="4" fillId="32" borderId="47" xfId="0" applyFont="1" applyFill="1" applyBorder="1" applyAlignment="1" applyProtection="1">
      <alignment horizontal="center" vertical="center"/>
    </xf>
    <xf numFmtId="0" fontId="4" fillId="32" borderId="39" xfId="0" applyFont="1" applyFill="1" applyBorder="1" applyAlignment="1" applyProtection="1">
      <alignment horizontal="center" vertical="center"/>
    </xf>
    <xf numFmtId="0" fontId="6" fillId="32" borderId="0" xfId="171" applyFont="1" applyFill="1" applyAlignment="1" applyProtection="1">
      <alignment horizontal="left" vertical="center" wrapText="1"/>
    </xf>
    <xf numFmtId="10" fontId="3" fillId="32" borderId="92" xfId="121" applyNumberFormat="1" applyFill="1" applyBorder="1" applyAlignment="1" applyProtection="1">
      <alignment horizontal="center" vertical="center"/>
    </xf>
    <xf numFmtId="10" fontId="3" fillId="32" borderId="77" xfId="121" applyNumberFormat="1" applyFill="1" applyBorder="1" applyAlignment="1" applyProtection="1">
      <alignment horizontal="center" vertical="center"/>
    </xf>
    <xf numFmtId="10" fontId="3" fillId="32" borderId="104" xfId="121" applyNumberFormat="1" applyFill="1" applyBorder="1" applyAlignment="1" applyProtection="1">
      <alignment horizontal="center" vertical="center"/>
    </xf>
    <xf numFmtId="0" fontId="7" fillId="39" borderId="34" xfId="0" applyFont="1" applyFill="1" applyBorder="1" applyAlignment="1" applyProtection="1">
      <alignment horizontal="center" vertical="center"/>
    </xf>
    <xf numFmtId="0" fontId="7" fillId="39" borderId="47" xfId="0" applyFont="1" applyFill="1" applyBorder="1" applyAlignment="1" applyProtection="1">
      <alignment horizontal="center" vertical="center"/>
    </xf>
    <xf numFmtId="0" fontId="7" fillId="39" borderId="39" xfId="0" applyFont="1" applyFill="1" applyBorder="1" applyAlignment="1" applyProtection="1">
      <alignment horizontal="center" vertical="center"/>
    </xf>
    <xf numFmtId="0" fontId="0" fillId="32" borderId="0" xfId="0" applyFill="1" applyAlignment="1" applyProtection="1">
      <alignment horizontal="left" vertical="top" wrapText="1"/>
    </xf>
    <xf numFmtId="0" fontId="6" fillId="32" borderId="0" xfId="0" quotePrefix="1" applyFont="1" applyFill="1" applyAlignment="1" applyProtection="1">
      <alignment horizontal="left" vertical="top" wrapText="1"/>
    </xf>
    <xf numFmtId="0" fontId="4" fillId="32" borderId="34" xfId="0" applyFont="1" applyFill="1" applyBorder="1" applyAlignment="1">
      <alignment horizontal="center" vertical="center"/>
    </xf>
    <xf numFmtId="0" fontId="4" fillId="32" borderId="47" xfId="0" applyFont="1" applyFill="1" applyBorder="1" applyAlignment="1">
      <alignment horizontal="center" vertical="center"/>
    </xf>
    <xf numFmtId="0" fontId="4" fillId="32" borderId="39" xfId="0" applyFont="1" applyFill="1" applyBorder="1" applyAlignment="1">
      <alignment horizontal="center" vertical="center"/>
    </xf>
    <xf numFmtId="0" fontId="3" fillId="32" borderId="14" xfId="0" applyFont="1" applyFill="1" applyBorder="1" applyAlignment="1">
      <alignment horizontal="left" vertical="center"/>
    </xf>
    <xf numFmtId="0" fontId="7" fillId="32" borderId="34" xfId="0" applyFont="1" applyFill="1" applyBorder="1" applyAlignment="1">
      <alignment horizontal="left" vertical="center"/>
    </xf>
    <xf numFmtId="0" fontId="7" fillId="32" borderId="39" xfId="0" applyFont="1" applyFill="1" applyBorder="1" applyAlignment="1">
      <alignment horizontal="left" vertical="center"/>
    </xf>
    <xf numFmtId="0" fontId="7" fillId="32" borderId="92" xfId="0" applyFont="1" applyFill="1" applyBorder="1" applyAlignment="1">
      <alignment horizontal="center" vertical="center"/>
    </xf>
    <xf numFmtId="0" fontId="7" fillId="32" borderId="104" xfId="0" applyFont="1" applyFill="1" applyBorder="1" applyAlignment="1">
      <alignment horizontal="center" vertical="center"/>
    </xf>
    <xf numFmtId="0" fontId="7" fillId="32" borderId="109" xfId="0" applyFont="1" applyFill="1" applyBorder="1" applyAlignment="1">
      <alignment horizontal="left" vertical="center" wrapText="1"/>
    </xf>
    <xf numFmtId="0" fontId="7" fillId="32" borderId="62" xfId="0" applyFont="1" applyFill="1" applyBorder="1" applyAlignment="1">
      <alignment horizontal="left" vertical="center" wrapText="1"/>
    </xf>
    <xf numFmtId="0" fontId="7" fillId="32" borderId="14" xfId="0" applyFont="1" applyFill="1" applyBorder="1" applyAlignment="1">
      <alignment horizontal="left" vertical="center" wrapText="1"/>
    </xf>
    <xf numFmtId="0" fontId="7" fillId="32" borderId="40" xfId="0" applyFont="1" applyFill="1" applyBorder="1" applyAlignment="1">
      <alignment horizontal="left" vertical="center" wrapText="1"/>
    </xf>
    <xf numFmtId="0" fontId="7" fillId="32" borderId="51" xfId="0" applyFont="1" applyFill="1" applyBorder="1" applyAlignment="1">
      <alignment horizontal="left" vertical="center" wrapText="1"/>
    </xf>
    <xf numFmtId="0" fontId="7" fillId="32" borderId="52" xfId="0" applyFont="1" applyFill="1" applyBorder="1" applyAlignment="1">
      <alignment horizontal="left" vertical="center" wrapText="1"/>
    </xf>
    <xf numFmtId="0" fontId="3" fillId="32" borderId="14" xfId="0" applyFont="1" applyFill="1" applyBorder="1" applyAlignment="1">
      <alignment horizontal="left" vertical="center" wrapText="1"/>
    </xf>
  </cellXfs>
  <cellStyles count="195">
    <cellStyle name="_x000d__x000a_JournalTemplate=C:\COMFO\CTALK\JOURSTD.TPL_x000d__x000a_LbStateAddress=3 3 0 251 1 89 2 311_x000d__x000a_LbStateJou" xfId="1" xr:uid="{00000000-0005-0000-0000-000000000000}"/>
    <cellStyle name="Bad" xfId="2" xr:uid="{00000000-0005-0000-0000-000001000000}"/>
    <cellStyle name="Calculation" xfId="3" xr:uid="{00000000-0005-0000-0000-000002000000}"/>
    <cellStyle name="Check Cell" xfId="4" xr:uid="{00000000-0005-0000-0000-000003000000}"/>
    <cellStyle name="Comma 2" xfId="5" xr:uid="{00000000-0005-0000-0000-000004000000}"/>
    <cellStyle name="Euro" xfId="6" xr:uid="{00000000-0005-0000-0000-000005000000}"/>
    <cellStyle name="Explanatory Text" xfId="7" xr:uid="{00000000-0005-0000-0000-000006000000}"/>
    <cellStyle name="Good" xfId="8" xr:uid="{00000000-0005-0000-0000-000007000000}"/>
    <cellStyle name="Heading 1" xfId="9" xr:uid="{00000000-0005-0000-0000-000008000000}"/>
    <cellStyle name="Heading 2" xfId="10" xr:uid="{00000000-0005-0000-0000-000009000000}"/>
    <cellStyle name="Heading 3" xfId="11" xr:uid="{00000000-0005-0000-0000-00000A000000}"/>
    <cellStyle name="Heading 4" xfId="12" xr:uid="{00000000-0005-0000-0000-00000B000000}"/>
    <cellStyle name="Hyperlink" xfId="13" builtinId="8"/>
    <cellStyle name="Input" xfId="14" xr:uid="{00000000-0005-0000-0000-00000D000000}"/>
    <cellStyle name="Komma 2" xfId="15" xr:uid="{00000000-0005-0000-0000-00000E000000}"/>
    <cellStyle name="Komma 3" xfId="16" xr:uid="{00000000-0005-0000-0000-00000F000000}"/>
    <cellStyle name="Linked Cell" xfId="17" xr:uid="{00000000-0005-0000-0000-000010000000}"/>
    <cellStyle name="Milliers 2" xfId="18" xr:uid="{00000000-0005-0000-0000-000011000000}"/>
    <cellStyle name="Milliers 5" xfId="19" xr:uid="{00000000-0005-0000-0000-000012000000}"/>
    <cellStyle name="Milliers 8" xfId="20" xr:uid="{00000000-0005-0000-0000-000013000000}"/>
    <cellStyle name="Neutral" xfId="21" xr:uid="{00000000-0005-0000-0000-000014000000}"/>
    <cellStyle name="Normal 10" xfId="22" xr:uid="{00000000-0005-0000-0000-000015000000}"/>
    <cellStyle name="Normal 13" xfId="23" xr:uid="{00000000-0005-0000-0000-000016000000}"/>
    <cellStyle name="Normal 14" xfId="24" xr:uid="{00000000-0005-0000-0000-000017000000}"/>
    <cellStyle name="Normal 15" xfId="25" xr:uid="{00000000-0005-0000-0000-000018000000}"/>
    <cellStyle name="Normal 16" xfId="26" xr:uid="{00000000-0005-0000-0000-000019000000}"/>
    <cellStyle name="Normal 17" xfId="27" xr:uid="{00000000-0005-0000-0000-00001A000000}"/>
    <cellStyle name="Normal 18" xfId="28" xr:uid="{00000000-0005-0000-0000-00001B000000}"/>
    <cellStyle name="Normal 19" xfId="29" xr:uid="{00000000-0005-0000-0000-00001C000000}"/>
    <cellStyle name="Normal 2" xfId="30" xr:uid="{00000000-0005-0000-0000-00001D000000}"/>
    <cellStyle name="Normal 2 11" xfId="31" xr:uid="{00000000-0005-0000-0000-00001E000000}"/>
    <cellStyle name="Normal 2 12" xfId="32" xr:uid="{00000000-0005-0000-0000-00001F000000}"/>
    <cellStyle name="Normal 2 13" xfId="33" xr:uid="{00000000-0005-0000-0000-000020000000}"/>
    <cellStyle name="Normal 2 2" xfId="34" xr:uid="{00000000-0005-0000-0000-000021000000}"/>
    <cellStyle name="Normal 2 2 2" xfId="35" xr:uid="{00000000-0005-0000-0000-000022000000}"/>
    <cellStyle name="Normal 20" xfId="36" xr:uid="{00000000-0005-0000-0000-000023000000}"/>
    <cellStyle name="Normal 21" xfId="37" xr:uid="{00000000-0005-0000-0000-000024000000}"/>
    <cellStyle name="Normal 22" xfId="38" xr:uid="{00000000-0005-0000-0000-000025000000}"/>
    <cellStyle name="Normal 23" xfId="39" xr:uid="{00000000-0005-0000-0000-000026000000}"/>
    <cellStyle name="Normal 24" xfId="40" xr:uid="{00000000-0005-0000-0000-000027000000}"/>
    <cellStyle name="Normal 25" xfId="41" xr:uid="{00000000-0005-0000-0000-000028000000}"/>
    <cellStyle name="Normal 26" xfId="42" xr:uid="{00000000-0005-0000-0000-000029000000}"/>
    <cellStyle name="Normal 27" xfId="43" xr:uid="{00000000-0005-0000-0000-00002A000000}"/>
    <cellStyle name="Normal 28" xfId="44" xr:uid="{00000000-0005-0000-0000-00002B000000}"/>
    <cellStyle name="Normal 29" xfId="45" xr:uid="{00000000-0005-0000-0000-00002C000000}"/>
    <cellStyle name="Normal 3" xfId="46" xr:uid="{00000000-0005-0000-0000-00002D000000}"/>
    <cellStyle name="Normal 3 2" xfId="47" xr:uid="{00000000-0005-0000-0000-00002E000000}"/>
    <cellStyle name="Normal 3 3" xfId="48" xr:uid="{00000000-0005-0000-0000-00002F000000}"/>
    <cellStyle name="Normal 30" xfId="49" xr:uid="{00000000-0005-0000-0000-000030000000}"/>
    <cellStyle name="Normal 31" xfId="50" xr:uid="{00000000-0005-0000-0000-000031000000}"/>
    <cellStyle name="Normal 32" xfId="51" xr:uid="{00000000-0005-0000-0000-000032000000}"/>
    <cellStyle name="Normal 33" xfId="52" xr:uid="{00000000-0005-0000-0000-000033000000}"/>
    <cellStyle name="Normal 34" xfId="53" xr:uid="{00000000-0005-0000-0000-000034000000}"/>
    <cellStyle name="Normal 35" xfId="54" xr:uid="{00000000-0005-0000-0000-000035000000}"/>
    <cellStyle name="Normal 36" xfId="55" xr:uid="{00000000-0005-0000-0000-000036000000}"/>
    <cellStyle name="Normal 37" xfId="56" xr:uid="{00000000-0005-0000-0000-000037000000}"/>
    <cellStyle name="Normal 38" xfId="57" xr:uid="{00000000-0005-0000-0000-000038000000}"/>
    <cellStyle name="Normal 39" xfId="58" xr:uid="{00000000-0005-0000-0000-000039000000}"/>
    <cellStyle name="Normal 4" xfId="59" xr:uid="{00000000-0005-0000-0000-00003A000000}"/>
    <cellStyle name="Normal 40" xfId="60" xr:uid="{00000000-0005-0000-0000-00003B000000}"/>
    <cellStyle name="Normal 41" xfId="61" xr:uid="{00000000-0005-0000-0000-00003C000000}"/>
    <cellStyle name="Normal 42" xfId="62" xr:uid="{00000000-0005-0000-0000-00003D000000}"/>
    <cellStyle name="Normal 43" xfId="63" xr:uid="{00000000-0005-0000-0000-00003E000000}"/>
    <cellStyle name="Normal 44" xfId="64" xr:uid="{00000000-0005-0000-0000-00003F000000}"/>
    <cellStyle name="Normal 45" xfId="65" xr:uid="{00000000-0005-0000-0000-000040000000}"/>
    <cellStyle name="Normal 46" xfId="66" xr:uid="{00000000-0005-0000-0000-000041000000}"/>
    <cellStyle name="Normal 47" xfId="67" xr:uid="{00000000-0005-0000-0000-000042000000}"/>
    <cellStyle name="Normal 48" xfId="68" xr:uid="{00000000-0005-0000-0000-000043000000}"/>
    <cellStyle name="Normal 49" xfId="69" xr:uid="{00000000-0005-0000-0000-000044000000}"/>
    <cellStyle name="Normal 50" xfId="70" xr:uid="{00000000-0005-0000-0000-000045000000}"/>
    <cellStyle name="Normal 51" xfId="71" xr:uid="{00000000-0005-0000-0000-000046000000}"/>
    <cellStyle name="Normal 52" xfId="72" xr:uid="{00000000-0005-0000-0000-000047000000}"/>
    <cellStyle name="Normal 53" xfId="73" xr:uid="{00000000-0005-0000-0000-000048000000}"/>
    <cellStyle name="Normal 54" xfId="74" xr:uid="{00000000-0005-0000-0000-000049000000}"/>
    <cellStyle name="Normal 56" xfId="75" xr:uid="{00000000-0005-0000-0000-00004A000000}"/>
    <cellStyle name="Normal 57" xfId="76" xr:uid="{00000000-0005-0000-0000-00004B000000}"/>
    <cellStyle name="Normal 58" xfId="77" xr:uid="{00000000-0005-0000-0000-00004C000000}"/>
    <cellStyle name="Normal 59" xfId="78" xr:uid="{00000000-0005-0000-0000-00004D000000}"/>
    <cellStyle name="Normal 60" xfId="79" xr:uid="{00000000-0005-0000-0000-00004E000000}"/>
    <cellStyle name="Normal 61" xfId="80" xr:uid="{00000000-0005-0000-0000-00004F000000}"/>
    <cellStyle name="Normal 62" xfId="81" xr:uid="{00000000-0005-0000-0000-000050000000}"/>
    <cellStyle name="Normal 63" xfId="82" xr:uid="{00000000-0005-0000-0000-000051000000}"/>
    <cellStyle name="Normal 64" xfId="83" xr:uid="{00000000-0005-0000-0000-000052000000}"/>
    <cellStyle name="Normal 65" xfId="84" xr:uid="{00000000-0005-0000-0000-000053000000}"/>
    <cellStyle name="Normal 66" xfId="85" xr:uid="{00000000-0005-0000-0000-000054000000}"/>
    <cellStyle name="Normal 67" xfId="86" xr:uid="{00000000-0005-0000-0000-000055000000}"/>
    <cellStyle name="Normal 68" xfId="87" xr:uid="{00000000-0005-0000-0000-000056000000}"/>
    <cellStyle name="Normal 69" xfId="88" xr:uid="{00000000-0005-0000-0000-000057000000}"/>
    <cellStyle name="Normal 70" xfId="89" xr:uid="{00000000-0005-0000-0000-000058000000}"/>
    <cellStyle name="Normal 71" xfId="90" xr:uid="{00000000-0005-0000-0000-000059000000}"/>
    <cellStyle name="Normal 72" xfId="91" xr:uid="{00000000-0005-0000-0000-00005A000000}"/>
    <cellStyle name="Normal 73" xfId="92" xr:uid="{00000000-0005-0000-0000-00005B000000}"/>
    <cellStyle name="Normal 74" xfId="93" xr:uid="{00000000-0005-0000-0000-00005C000000}"/>
    <cellStyle name="Normal 75" xfId="94" xr:uid="{00000000-0005-0000-0000-00005D000000}"/>
    <cellStyle name="Normal 76" xfId="95" xr:uid="{00000000-0005-0000-0000-00005E000000}"/>
    <cellStyle name="Normal 77" xfId="96" xr:uid="{00000000-0005-0000-0000-00005F000000}"/>
    <cellStyle name="Normal 78" xfId="97" xr:uid="{00000000-0005-0000-0000-000060000000}"/>
    <cellStyle name="Normal 79" xfId="98" xr:uid="{00000000-0005-0000-0000-000061000000}"/>
    <cellStyle name="Normal 80" xfId="99" xr:uid="{00000000-0005-0000-0000-000062000000}"/>
    <cellStyle name="Normal 81" xfId="100" xr:uid="{00000000-0005-0000-0000-000063000000}"/>
    <cellStyle name="Normal 82" xfId="101" xr:uid="{00000000-0005-0000-0000-000064000000}"/>
    <cellStyle name="Normal 83" xfId="102" xr:uid="{00000000-0005-0000-0000-000065000000}"/>
    <cellStyle name="Normal 84" xfId="103" xr:uid="{00000000-0005-0000-0000-000066000000}"/>
    <cellStyle name="Normal 85" xfId="104" xr:uid="{00000000-0005-0000-0000-000067000000}"/>
    <cellStyle name="Normal 86" xfId="105" xr:uid="{00000000-0005-0000-0000-000068000000}"/>
    <cellStyle name="Normal 87" xfId="106" xr:uid="{00000000-0005-0000-0000-000069000000}"/>
    <cellStyle name="Normal 88" xfId="107" xr:uid="{00000000-0005-0000-0000-00006A000000}"/>
    <cellStyle name="Normal 89" xfId="108" xr:uid="{00000000-0005-0000-0000-00006B000000}"/>
    <cellStyle name="Normal 9" xfId="109" xr:uid="{00000000-0005-0000-0000-00006C000000}"/>
    <cellStyle name="Normal 90" xfId="110" xr:uid="{00000000-0005-0000-0000-00006D000000}"/>
    <cellStyle name="Normal 91" xfId="111" xr:uid="{00000000-0005-0000-0000-00006E000000}"/>
    <cellStyle name="Normal 92" xfId="112" xr:uid="{00000000-0005-0000-0000-00006F000000}"/>
    <cellStyle name="Normal 93" xfId="113" xr:uid="{00000000-0005-0000-0000-000070000000}"/>
    <cellStyle name="Normal 94" xfId="114" xr:uid="{00000000-0005-0000-0000-000071000000}"/>
    <cellStyle name="Normal 95 2" xfId="115" xr:uid="{00000000-0005-0000-0000-000072000000}"/>
    <cellStyle name="Normal_IMEA" xfId="116" xr:uid="{00000000-0005-0000-0000-000073000000}"/>
    <cellStyle name="Note" xfId="117" xr:uid="{00000000-0005-0000-0000-000074000000}"/>
    <cellStyle name="Output" xfId="118" xr:uid="{00000000-0005-0000-0000-000075000000}"/>
    <cellStyle name="Percent 2" xfId="119" xr:uid="{00000000-0005-0000-0000-000076000000}"/>
    <cellStyle name="Pourcentage 2" xfId="120" xr:uid="{00000000-0005-0000-0000-000077000000}"/>
    <cellStyle name="Procent" xfId="121" builtinId="5"/>
    <cellStyle name="Procent 2" xfId="122" xr:uid="{00000000-0005-0000-0000-000079000000}"/>
    <cellStyle name="Procent 3" xfId="123" xr:uid="{00000000-0005-0000-0000-00007A000000}"/>
    <cellStyle name="Procent 4" xfId="124" xr:uid="{00000000-0005-0000-0000-00007B000000}"/>
    <cellStyle name="Procent 5" xfId="125" xr:uid="{00000000-0005-0000-0000-00007C000000}"/>
    <cellStyle name="Procent 6" xfId="126" xr:uid="{00000000-0005-0000-0000-00007D000000}"/>
    <cellStyle name="SAPBEXaggData" xfId="127" xr:uid="{00000000-0005-0000-0000-00007E000000}"/>
    <cellStyle name="SAPBEXaggDataEmph" xfId="128" xr:uid="{00000000-0005-0000-0000-00007F000000}"/>
    <cellStyle name="SAPBEXaggItem" xfId="129" xr:uid="{00000000-0005-0000-0000-000080000000}"/>
    <cellStyle name="SAPBEXaggItemX" xfId="130" xr:uid="{00000000-0005-0000-0000-000081000000}"/>
    <cellStyle name="SAPBEXchaText" xfId="131" xr:uid="{00000000-0005-0000-0000-000082000000}"/>
    <cellStyle name="SAPBEXchaText 2" xfId="132" xr:uid="{00000000-0005-0000-0000-000083000000}"/>
    <cellStyle name="SAPBEXexcBad7" xfId="133" xr:uid="{00000000-0005-0000-0000-000084000000}"/>
    <cellStyle name="SAPBEXexcBad8" xfId="134" xr:uid="{00000000-0005-0000-0000-000085000000}"/>
    <cellStyle name="SAPBEXexcBad9" xfId="135" xr:uid="{00000000-0005-0000-0000-000086000000}"/>
    <cellStyle name="SAPBEXexcCritical4" xfId="136" xr:uid="{00000000-0005-0000-0000-000087000000}"/>
    <cellStyle name="SAPBEXexcCritical5" xfId="137" xr:uid="{00000000-0005-0000-0000-000088000000}"/>
    <cellStyle name="SAPBEXexcCritical6" xfId="138" xr:uid="{00000000-0005-0000-0000-000089000000}"/>
    <cellStyle name="SAPBEXexcGood1" xfId="139" xr:uid="{00000000-0005-0000-0000-00008A000000}"/>
    <cellStyle name="SAPBEXexcGood2" xfId="140" xr:uid="{00000000-0005-0000-0000-00008B000000}"/>
    <cellStyle name="SAPBEXexcGood3" xfId="141" xr:uid="{00000000-0005-0000-0000-00008C000000}"/>
    <cellStyle name="SAPBEXfilterDrill" xfId="142" xr:uid="{00000000-0005-0000-0000-00008D000000}"/>
    <cellStyle name="SAPBEXfilterItem" xfId="143" xr:uid="{00000000-0005-0000-0000-00008E000000}"/>
    <cellStyle name="SAPBEXfilterText" xfId="144" xr:uid="{00000000-0005-0000-0000-00008F000000}"/>
    <cellStyle name="SAPBEXformats" xfId="145" xr:uid="{00000000-0005-0000-0000-000090000000}"/>
    <cellStyle name="SAPBEXheaderItem" xfId="146" xr:uid="{00000000-0005-0000-0000-000091000000}"/>
    <cellStyle name="SAPBEXheaderText" xfId="147" xr:uid="{00000000-0005-0000-0000-000092000000}"/>
    <cellStyle name="SAPBEXHLevel0" xfId="148" xr:uid="{00000000-0005-0000-0000-000093000000}"/>
    <cellStyle name="SAPBEXHLevel0X" xfId="149" xr:uid="{00000000-0005-0000-0000-000094000000}"/>
    <cellStyle name="SAPBEXHLevel1" xfId="150" xr:uid="{00000000-0005-0000-0000-000095000000}"/>
    <cellStyle name="SAPBEXHLevel1X" xfId="151" xr:uid="{00000000-0005-0000-0000-000096000000}"/>
    <cellStyle name="SAPBEXHLevel2" xfId="152" xr:uid="{00000000-0005-0000-0000-000097000000}"/>
    <cellStyle name="SAPBEXHLevel2X" xfId="153" xr:uid="{00000000-0005-0000-0000-000098000000}"/>
    <cellStyle name="SAPBEXHLevel3" xfId="154" xr:uid="{00000000-0005-0000-0000-000099000000}"/>
    <cellStyle name="SAPBEXHLevel3X" xfId="155" xr:uid="{00000000-0005-0000-0000-00009A000000}"/>
    <cellStyle name="SAPBEXinputData" xfId="156" xr:uid="{00000000-0005-0000-0000-00009B000000}"/>
    <cellStyle name="SAPBEXresData" xfId="157" xr:uid="{00000000-0005-0000-0000-00009C000000}"/>
    <cellStyle name="SAPBEXresDataEmph" xfId="158" xr:uid="{00000000-0005-0000-0000-00009D000000}"/>
    <cellStyle name="SAPBEXresItem" xfId="159" xr:uid="{00000000-0005-0000-0000-00009E000000}"/>
    <cellStyle name="SAPBEXresItemX" xfId="160" xr:uid="{00000000-0005-0000-0000-00009F000000}"/>
    <cellStyle name="SAPBEXstdData" xfId="161" xr:uid="{00000000-0005-0000-0000-0000A0000000}"/>
    <cellStyle name="SAPBEXstdDataEmph" xfId="162" xr:uid="{00000000-0005-0000-0000-0000A1000000}"/>
    <cellStyle name="SAPBEXstdItem" xfId="163" xr:uid="{00000000-0005-0000-0000-0000A2000000}"/>
    <cellStyle name="SAPBEXstdItem 2" xfId="164" xr:uid="{00000000-0005-0000-0000-0000A3000000}"/>
    <cellStyle name="SAPBEXstdItemX" xfId="165" xr:uid="{00000000-0005-0000-0000-0000A4000000}"/>
    <cellStyle name="SAPBEXtitle" xfId="166" xr:uid="{00000000-0005-0000-0000-0000A5000000}"/>
    <cellStyle name="SAPBEXundefined" xfId="167" xr:uid="{00000000-0005-0000-0000-0000A6000000}"/>
    <cellStyle name="Sheet Title" xfId="168" xr:uid="{00000000-0005-0000-0000-0000A7000000}"/>
    <cellStyle name="Standaard" xfId="0" builtinId="0"/>
    <cellStyle name="Standaard 2" xfId="169" xr:uid="{00000000-0005-0000-0000-0000A9000000}"/>
    <cellStyle name="Standaard 2 2" xfId="170" xr:uid="{00000000-0005-0000-0000-0000AA000000}"/>
    <cellStyle name="Standaard 2 3" xfId="171" xr:uid="{00000000-0005-0000-0000-0000AB000000}"/>
    <cellStyle name="Standaard 2 4" xfId="172" xr:uid="{00000000-0005-0000-0000-0000AC000000}"/>
    <cellStyle name="Standaard 2_B2009_doorvervoer ELEK_MATRIX_versie DEF" xfId="173" xr:uid="{00000000-0005-0000-0000-0000AD000000}"/>
    <cellStyle name="Standaard 3" xfId="174" xr:uid="{00000000-0005-0000-0000-0000AE000000}"/>
    <cellStyle name="Standaard 3 2" xfId="175" xr:uid="{00000000-0005-0000-0000-0000AF000000}"/>
    <cellStyle name="Standaard 3 3" xfId="176" xr:uid="{00000000-0005-0000-0000-0000B0000000}"/>
    <cellStyle name="Standaard 4" xfId="177" xr:uid="{00000000-0005-0000-0000-0000B1000000}"/>
    <cellStyle name="Standaard 4 2" xfId="178" xr:uid="{00000000-0005-0000-0000-0000B2000000}"/>
    <cellStyle name="Standaard 4_B2009_doorvervoer ELEK_MATRIX_versie DEF" xfId="179" xr:uid="{00000000-0005-0000-0000-0000B3000000}"/>
    <cellStyle name="Standaard 5" xfId="180" xr:uid="{00000000-0005-0000-0000-0000B4000000}"/>
    <cellStyle name="Standaard 6" xfId="181" xr:uid="{00000000-0005-0000-0000-0000B5000000}"/>
    <cellStyle name="Standaard 7" xfId="182" xr:uid="{00000000-0005-0000-0000-0000B6000000}"/>
    <cellStyle name="Standaard 7 2" xfId="183" xr:uid="{00000000-0005-0000-0000-0000B7000000}"/>
    <cellStyle name="Standaard 8" xfId="184" xr:uid="{00000000-0005-0000-0000-0000B8000000}"/>
    <cellStyle name="Standaard_20100727 Rekenmodel NE5R v1.9" xfId="185" xr:uid="{00000000-0005-0000-0000-0000B9000000}"/>
    <cellStyle name="Standaard_Balans IL-Glob. PLAU" xfId="186" xr:uid="{00000000-0005-0000-0000-0000BA000000}"/>
    <cellStyle name="Standaard_Balans IL-Glob. PLAU 2" xfId="187" xr:uid="{00000000-0005-0000-0000-0000BB000000}"/>
    <cellStyle name="Stijl 1" xfId="188" xr:uid="{00000000-0005-0000-0000-0000BC000000}"/>
    <cellStyle name="Style 1" xfId="189" xr:uid="{00000000-0005-0000-0000-0000BD000000}"/>
    <cellStyle name="Title" xfId="190" xr:uid="{00000000-0005-0000-0000-0000BE000000}"/>
    <cellStyle name="Total" xfId="191" xr:uid="{00000000-0005-0000-0000-0000BF000000}"/>
    <cellStyle name="Valuta" xfId="194" builtinId="4"/>
    <cellStyle name="Valuta 2" xfId="192" xr:uid="{00000000-0005-0000-0000-0000C0000000}"/>
    <cellStyle name="Warning Text" xfId="193" xr:uid="{00000000-0005-0000-0000-0000C1000000}"/>
  </cellStyles>
  <dxfs count="62">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xdr:colOff>
      <xdr:row>37</xdr:row>
      <xdr:rowOff>6350</xdr:rowOff>
    </xdr:from>
    <xdr:to>
      <xdr:col>16</xdr:col>
      <xdr:colOff>119063</xdr:colOff>
      <xdr:row>47</xdr:row>
      <xdr:rowOff>38100</xdr:rowOff>
    </xdr:to>
    <xdr:sp macro="" textlink="">
      <xdr:nvSpPr>
        <xdr:cNvPr id="47254" name="AutoShape 2">
          <a:extLst>
            <a:ext uri="{FF2B5EF4-FFF2-40B4-BE49-F238E27FC236}">
              <a16:creationId xmlns:a16="http://schemas.microsoft.com/office/drawing/2014/main" id="{29286435-CF18-413D-B605-60ECEF42A1D4}"/>
            </a:ext>
          </a:extLst>
        </xdr:cNvPr>
        <xdr:cNvSpPr>
          <a:spLocks/>
        </xdr:cNvSpPr>
      </xdr:nvSpPr>
      <xdr:spPr bwMode="auto">
        <a:xfrm>
          <a:off x="17604581" y="6792913"/>
          <a:ext cx="100013" cy="1698625"/>
        </a:xfrm>
        <a:prstGeom prst="rightBrace">
          <a:avLst>
            <a:gd name="adj1" fmla="val 18566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34</xdr:row>
      <xdr:rowOff>6350</xdr:rowOff>
    </xdr:from>
    <xdr:to>
      <xdr:col>13</xdr:col>
      <xdr:colOff>130968</xdr:colOff>
      <xdr:row>41</xdr:row>
      <xdr:rowOff>38100</xdr:rowOff>
    </xdr:to>
    <xdr:sp macro="" textlink="">
      <xdr:nvSpPr>
        <xdr:cNvPr id="36226" name="AutoShape 2">
          <a:extLst>
            <a:ext uri="{FF2B5EF4-FFF2-40B4-BE49-F238E27FC236}">
              <a16:creationId xmlns:a16="http://schemas.microsoft.com/office/drawing/2014/main" id="{C12AC74D-D8F4-47A0-9DD4-7A0A922EB19A}"/>
            </a:ext>
          </a:extLst>
        </xdr:cNvPr>
        <xdr:cNvSpPr>
          <a:spLocks/>
        </xdr:cNvSpPr>
      </xdr:nvSpPr>
      <xdr:spPr bwMode="auto">
        <a:xfrm>
          <a:off x="23152894" y="6423819"/>
          <a:ext cx="111918" cy="1198562"/>
        </a:xfrm>
        <a:prstGeom prst="rightBrace">
          <a:avLst>
            <a:gd name="adj1" fmla="val 18566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19050</xdr:colOff>
      <xdr:row>69</xdr:row>
      <xdr:rowOff>6350</xdr:rowOff>
    </xdr:from>
    <xdr:to>
      <xdr:col>16</xdr:col>
      <xdr:colOff>130968</xdr:colOff>
      <xdr:row>79</xdr:row>
      <xdr:rowOff>38100</xdr:rowOff>
    </xdr:to>
    <xdr:sp macro="" textlink="">
      <xdr:nvSpPr>
        <xdr:cNvPr id="48278" name="AutoShape 2">
          <a:extLst>
            <a:ext uri="{FF2B5EF4-FFF2-40B4-BE49-F238E27FC236}">
              <a16:creationId xmlns:a16="http://schemas.microsoft.com/office/drawing/2014/main" id="{262EECD2-220A-4FE4-B017-619C16A3C7C0}"/>
            </a:ext>
          </a:extLst>
        </xdr:cNvPr>
        <xdr:cNvSpPr>
          <a:spLocks/>
        </xdr:cNvSpPr>
      </xdr:nvSpPr>
      <xdr:spPr bwMode="auto">
        <a:xfrm>
          <a:off x="18378488" y="22187694"/>
          <a:ext cx="111918" cy="1698625"/>
        </a:xfrm>
        <a:prstGeom prst="rightBrace">
          <a:avLst>
            <a:gd name="adj1" fmla="val 19098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94</xdr:row>
      <xdr:rowOff>6350</xdr:rowOff>
    </xdr:from>
    <xdr:to>
      <xdr:col>14</xdr:col>
      <xdr:colOff>130968</xdr:colOff>
      <xdr:row>102</xdr:row>
      <xdr:rowOff>38100</xdr:rowOff>
    </xdr:to>
    <xdr:sp macro="" textlink="">
      <xdr:nvSpPr>
        <xdr:cNvPr id="39288" name="AutoShape 2">
          <a:extLst>
            <a:ext uri="{FF2B5EF4-FFF2-40B4-BE49-F238E27FC236}">
              <a16:creationId xmlns:a16="http://schemas.microsoft.com/office/drawing/2014/main" id="{6493A4A7-2CF1-4C69-90B0-C290086BEC5A}"/>
            </a:ext>
          </a:extLst>
        </xdr:cNvPr>
        <xdr:cNvSpPr>
          <a:spLocks/>
        </xdr:cNvSpPr>
      </xdr:nvSpPr>
      <xdr:spPr bwMode="auto">
        <a:xfrm>
          <a:off x="17235488" y="32022256"/>
          <a:ext cx="111918" cy="1365250"/>
        </a:xfrm>
        <a:prstGeom prst="rightBrace">
          <a:avLst>
            <a:gd name="adj1" fmla="val 129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19050</xdr:colOff>
      <xdr:row>33</xdr:row>
      <xdr:rowOff>6350</xdr:rowOff>
    </xdr:from>
    <xdr:to>
      <xdr:col>14</xdr:col>
      <xdr:colOff>130968</xdr:colOff>
      <xdr:row>41</xdr:row>
      <xdr:rowOff>38100</xdr:rowOff>
    </xdr:to>
    <xdr:sp macro="" textlink="">
      <xdr:nvSpPr>
        <xdr:cNvPr id="42340" name="AutoShape 2">
          <a:extLst>
            <a:ext uri="{FF2B5EF4-FFF2-40B4-BE49-F238E27FC236}">
              <a16:creationId xmlns:a16="http://schemas.microsoft.com/office/drawing/2014/main" id="{611A36E6-7A7A-4918-9601-5B46D5C48ECF}"/>
            </a:ext>
          </a:extLst>
        </xdr:cNvPr>
        <xdr:cNvSpPr>
          <a:spLocks/>
        </xdr:cNvSpPr>
      </xdr:nvSpPr>
      <xdr:spPr bwMode="auto">
        <a:xfrm>
          <a:off x="20283488" y="5983288"/>
          <a:ext cx="111918" cy="1365250"/>
        </a:xfrm>
        <a:prstGeom prst="rightBrace">
          <a:avLst>
            <a:gd name="adj1" fmla="val 129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xdr:colOff>
      <xdr:row>29</xdr:row>
      <xdr:rowOff>0</xdr:rowOff>
    </xdr:from>
    <xdr:to>
      <xdr:col>10</xdr:col>
      <xdr:colOff>130968</xdr:colOff>
      <xdr:row>33</xdr:row>
      <xdr:rowOff>38100</xdr:rowOff>
    </xdr:to>
    <xdr:sp macro="" textlink="">
      <xdr:nvSpPr>
        <xdr:cNvPr id="2" name="AutoShape 2">
          <a:extLst>
            <a:ext uri="{FF2B5EF4-FFF2-40B4-BE49-F238E27FC236}">
              <a16:creationId xmlns:a16="http://schemas.microsoft.com/office/drawing/2014/main" id="{65D00904-DBC9-4330-81C7-AADEC92BCC31}"/>
            </a:ext>
          </a:extLst>
        </xdr:cNvPr>
        <xdr:cNvSpPr>
          <a:spLocks/>
        </xdr:cNvSpPr>
      </xdr:nvSpPr>
      <xdr:spPr bwMode="auto">
        <a:xfrm>
          <a:off x="20783550" y="5867400"/>
          <a:ext cx="111918" cy="1323975"/>
        </a:xfrm>
        <a:prstGeom prst="rightBrace">
          <a:avLst>
            <a:gd name="adj1" fmla="val 129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enters\OP\OP_EV\CREG\Dossier%202007\Nacalculatie\Nacalc20080215\Documents%20and%20Settings\htulpinck\Local%20Settings\Temporary%20Internet%20Files\OLK39B\Tariefvoorstel%20aansluitingen%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Centers/OP/OP_EV/CREG/Dossier%202007/Nacalculatie/Nacalc20080215/Documents%20and%20Settings/htulpinck/Local%20Settings/Temporary%20Internet%20Files/OLK39B/Tariefvoorstel%20aansluitingen%202005"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NT/Profiles/gck162/Temporary%20Internet%20Files/OLK262/Comparaison%20Article%2018%20par%20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Q67"/>
  <sheetViews>
    <sheetView showGridLines="0" tabSelected="1" zoomScaleNormal="100" workbookViewId="0">
      <selection activeCell="C10" sqref="C10:F10"/>
    </sheetView>
  </sheetViews>
  <sheetFormatPr defaultColWidth="8.81640625" defaultRowHeight="12.5" x14ac:dyDescent="0.25"/>
  <cols>
    <col min="1" max="1" width="10.7265625" style="3" bestFit="1" customWidth="1"/>
    <col min="2" max="2" width="36.26953125" style="3" customWidth="1"/>
    <col min="3" max="3" width="11.54296875" style="3" customWidth="1"/>
    <col min="4" max="4" width="14" style="3" customWidth="1"/>
    <col min="5" max="6" width="8.81640625" style="3"/>
    <col min="7" max="7" width="10.7265625" style="3" bestFit="1" customWidth="1"/>
    <col min="8" max="14" width="8.81640625" style="3"/>
    <col min="15" max="15" width="10.1796875" style="3" bestFit="1" customWidth="1"/>
    <col min="16" max="17" width="10.1796875" style="3" customWidth="1"/>
    <col min="18" max="16384" width="8.81640625" style="3"/>
  </cols>
  <sheetData>
    <row r="1" spans="1:17" ht="13" x14ac:dyDescent="0.3">
      <c r="B1" s="4"/>
      <c r="C1" s="5"/>
      <c r="O1" s="126"/>
    </row>
    <row r="2" spans="1:17" ht="25" x14ac:dyDescent="0.5">
      <c r="A2" s="709"/>
      <c r="B2" s="710" t="s">
        <v>364</v>
      </c>
      <c r="C2" s="711"/>
      <c r="D2" s="711"/>
      <c r="E2" s="711"/>
      <c r="F2" s="709"/>
      <c r="G2" s="709"/>
      <c r="H2" s="709"/>
      <c r="I2" s="709"/>
      <c r="J2" s="709"/>
      <c r="K2" s="709"/>
      <c r="L2" s="709"/>
      <c r="M2" s="709"/>
      <c r="N2" s="709"/>
      <c r="O2" s="712"/>
      <c r="P2" s="709"/>
      <c r="Q2" s="724"/>
    </row>
    <row r="3" spans="1:17" ht="13" x14ac:dyDescent="0.3">
      <c r="B3" s="4"/>
      <c r="C3" s="5"/>
    </row>
    <row r="4" spans="1:17" ht="13" x14ac:dyDescent="0.3">
      <c r="B4" s="4"/>
      <c r="C4" s="5"/>
    </row>
    <row r="5" spans="1:17" ht="13" x14ac:dyDescent="0.3">
      <c r="B5" s="4"/>
      <c r="C5" s="6"/>
    </row>
    <row r="6" spans="1:17" ht="13.5" thickBot="1" x14ac:dyDescent="0.35">
      <c r="B6" s="4"/>
      <c r="C6" s="5"/>
    </row>
    <row r="7" spans="1:17" ht="13.5" thickBot="1" x14ac:dyDescent="0.35">
      <c r="B7" s="4" t="s">
        <v>10</v>
      </c>
      <c r="C7" s="1133" t="s">
        <v>426</v>
      </c>
      <c r="D7" s="1134"/>
      <c r="E7" s="1134"/>
      <c r="F7" s="1135"/>
    </row>
    <row r="8" spans="1:17" ht="13.5" thickBot="1" x14ac:dyDescent="0.35">
      <c r="B8" s="4" t="s">
        <v>11</v>
      </c>
      <c r="C8" s="1133"/>
      <c r="D8" s="1134"/>
      <c r="E8" s="1134"/>
      <c r="F8" s="1135"/>
    </row>
    <row r="9" spans="1:17" s="7" customFormat="1" ht="13.5" thickBot="1" x14ac:dyDescent="0.35">
      <c r="B9" s="8"/>
      <c r="C9" s="9"/>
      <c r="D9" s="9"/>
      <c r="E9" s="9"/>
      <c r="F9" s="9"/>
    </row>
    <row r="10" spans="1:17" ht="13.5" thickBot="1" x14ac:dyDescent="0.35">
      <c r="B10" s="4" t="s">
        <v>177</v>
      </c>
      <c r="C10" s="1136" t="s">
        <v>456</v>
      </c>
      <c r="D10" s="1137"/>
      <c r="E10" s="1137"/>
      <c r="F10" s="1138"/>
    </row>
    <row r="11" spans="1:17" ht="13" x14ac:dyDescent="0.3">
      <c r="B11" s="4"/>
      <c r="C11" s="5"/>
    </row>
    <row r="12" spans="1:17" ht="13.5" thickBot="1" x14ac:dyDescent="0.35">
      <c r="B12" s="4"/>
      <c r="C12" s="5"/>
    </row>
    <row r="13" spans="1:17" ht="13.5" thickBot="1" x14ac:dyDescent="0.35">
      <c r="B13" s="10" t="s">
        <v>12</v>
      </c>
      <c r="C13" s="4"/>
      <c r="D13" s="10" t="s">
        <v>13</v>
      </c>
      <c r="E13" s="159">
        <v>2021</v>
      </c>
    </row>
    <row r="14" spans="1:17" ht="13.5" thickBot="1" x14ac:dyDescent="0.35">
      <c r="B14" s="10"/>
      <c r="C14" s="4"/>
      <c r="D14" s="10" t="s">
        <v>14</v>
      </c>
      <c r="E14" s="159">
        <v>2024</v>
      </c>
    </row>
    <row r="15" spans="1:17" ht="13.5" thickBot="1" x14ac:dyDescent="0.35">
      <c r="B15" s="11"/>
      <c r="C15" s="5"/>
    </row>
    <row r="16" spans="1:17" s="12" customFormat="1" ht="13.5" thickBot="1" x14ac:dyDescent="0.35">
      <c r="B16" s="10" t="s">
        <v>105</v>
      </c>
      <c r="E16" s="159">
        <v>2021</v>
      </c>
      <c r="F16" s="983" t="s">
        <v>455</v>
      </c>
      <c r="G16" s="3"/>
      <c r="H16" s="3"/>
      <c r="I16" s="3"/>
      <c r="J16" s="13"/>
      <c r="K16" s="13"/>
      <c r="L16" s="13"/>
      <c r="M16" s="13"/>
      <c r="N16" s="13"/>
      <c r="O16" s="13"/>
      <c r="P16" s="13"/>
    </row>
    <row r="17" spans="1:12" ht="13" x14ac:dyDescent="0.3">
      <c r="B17" s="14"/>
      <c r="C17" s="15"/>
    </row>
    <row r="19" spans="1:12" s="7" customFormat="1" ht="13" x14ac:dyDescent="0.3">
      <c r="A19" s="1130" t="s">
        <v>363</v>
      </c>
      <c r="B19" s="1131"/>
      <c r="C19" s="1131"/>
      <c r="D19" s="1131"/>
      <c r="E19" s="1131"/>
      <c r="F19" s="1131"/>
      <c r="G19" s="1131"/>
      <c r="H19" s="1131"/>
      <c r="I19" s="1132"/>
    </row>
    <row r="20" spans="1:12" ht="14" x14ac:dyDescent="0.3">
      <c r="A20" s="16"/>
    </row>
    <row r="21" spans="1:12" ht="152.5" customHeight="1" x14ac:dyDescent="0.25">
      <c r="A21" s="1139" t="s">
        <v>378</v>
      </c>
      <c r="B21" s="1139"/>
      <c r="C21" s="1139"/>
      <c r="D21" s="1139"/>
      <c r="E21" s="1139"/>
      <c r="F21" s="1139"/>
      <c r="G21" s="1139"/>
      <c r="H21" s="1139"/>
      <c r="I21" s="1139"/>
    </row>
    <row r="22" spans="1:12" s="18" customFormat="1" x14ac:dyDescent="0.25"/>
    <row r="23" spans="1:12" s="7" customFormat="1" ht="13" x14ac:dyDescent="0.3">
      <c r="A23" s="1130" t="s">
        <v>383</v>
      </c>
      <c r="B23" s="1131"/>
      <c r="C23" s="1131"/>
      <c r="D23" s="1131"/>
      <c r="E23" s="1131"/>
      <c r="F23" s="1131"/>
      <c r="G23" s="1131"/>
      <c r="H23" s="1131"/>
      <c r="I23" s="1132"/>
    </row>
    <row r="24" spans="1:12" s="17" customFormat="1" x14ac:dyDescent="0.25">
      <c r="A24" s="19"/>
      <c r="B24" s="19"/>
      <c r="C24" s="3"/>
      <c r="D24" s="3"/>
      <c r="E24" s="3"/>
      <c r="F24" s="3"/>
      <c r="G24" s="3"/>
      <c r="H24" s="3"/>
      <c r="I24" s="3"/>
      <c r="J24" s="3"/>
      <c r="K24" s="3"/>
      <c r="L24" s="3"/>
    </row>
    <row r="25" spans="1:12" x14ac:dyDescent="0.25">
      <c r="A25" s="19"/>
      <c r="B25" s="20"/>
      <c r="C25" s="21"/>
      <c r="D25" s="22" t="s">
        <v>61</v>
      </c>
      <c r="E25" s="21"/>
      <c r="F25" s="21"/>
      <c r="G25" s="21"/>
      <c r="H25" s="21"/>
      <c r="I25" s="21"/>
      <c r="J25" s="21"/>
    </row>
    <row r="26" spans="1:12" x14ac:dyDescent="0.25">
      <c r="A26" s="19"/>
      <c r="B26" s="23"/>
      <c r="C26" s="21"/>
      <c r="D26" s="22"/>
      <c r="E26" s="21"/>
      <c r="F26" s="21"/>
      <c r="G26" s="21"/>
      <c r="H26" s="21"/>
      <c r="I26" s="21"/>
      <c r="J26" s="21"/>
    </row>
    <row r="27" spans="1:12" ht="15" customHeight="1" x14ac:dyDescent="0.25">
      <c r="A27" s="19"/>
      <c r="B27" s="24"/>
      <c r="C27" s="25"/>
      <c r="D27" s="22" t="s">
        <v>36</v>
      </c>
      <c r="E27" s="26"/>
      <c r="F27" s="26"/>
      <c r="G27" s="26"/>
      <c r="H27" s="21"/>
      <c r="I27" s="21"/>
      <c r="J27" s="21"/>
    </row>
    <row r="28" spans="1:12" x14ac:dyDescent="0.25">
      <c r="A28" s="19"/>
      <c r="B28" s="27"/>
      <c r="C28" s="21"/>
      <c r="D28" s="22"/>
      <c r="E28" s="21"/>
      <c r="F28" s="21"/>
      <c r="G28" s="21"/>
      <c r="H28" s="21"/>
      <c r="I28" s="21"/>
      <c r="J28" s="21"/>
    </row>
    <row r="29" spans="1:12" x14ac:dyDescent="0.25">
      <c r="A29" s="19"/>
      <c r="B29" s="28"/>
      <c r="C29" s="21"/>
      <c r="D29" s="22" t="s">
        <v>62</v>
      </c>
      <c r="E29" s="21"/>
      <c r="F29" s="21"/>
      <c r="G29" s="21"/>
      <c r="H29" s="21"/>
      <c r="I29" s="21"/>
      <c r="J29" s="21"/>
    </row>
    <row r="30" spans="1:12" x14ac:dyDescent="0.25">
      <c r="A30" s="19"/>
      <c r="B30" s="29"/>
      <c r="C30" s="21"/>
      <c r="D30" s="22"/>
      <c r="E30" s="21"/>
      <c r="F30" s="21"/>
      <c r="G30" s="21"/>
      <c r="H30" s="21"/>
      <c r="I30" s="21"/>
      <c r="J30" s="21"/>
    </row>
    <row r="31" spans="1:12" ht="12.75" customHeight="1" x14ac:dyDescent="0.25">
      <c r="A31" s="19"/>
      <c r="B31" s="30"/>
      <c r="C31" s="21"/>
      <c r="D31" s="22" t="s">
        <v>379</v>
      </c>
      <c r="E31" s="31"/>
      <c r="F31" s="31"/>
      <c r="G31" s="31"/>
      <c r="H31" s="31"/>
      <c r="I31" s="31"/>
      <c r="J31" s="31"/>
      <c r="K31" s="32"/>
    </row>
    <row r="32" spans="1:12" x14ac:dyDescent="0.25">
      <c r="A32" s="19"/>
      <c r="B32" s="19"/>
      <c r="D32" s="33"/>
    </row>
    <row r="33" spans="1:9" s="7" customFormat="1" ht="13.5" thickBot="1" x14ac:dyDescent="0.35">
      <c r="A33" s="1130" t="s">
        <v>384</v>
      </c>
      <c r="B33" s="1131"/>
      <c r="C33" s="1131"/>
      <c r="D33" s="1131"/>
      <c r="E33" s="1131"/>
      <c r="F33" s="1131"/>
      <c r="G33" s="1131"/>
      <c r="H33" s="1131"/>
      <c r="I33" s="1132"/>
    </row>
    <row r="34" spans="1:9" s="7" customFormat="1" ht="13" x14ac:dyDescent="0.3">
      <c r="A34" s="198"/>
    </row>
    <row r="35" spans="1:9" s="7" customFormat="1" ht="13" x14ac:dyDescent="0.3">
      <c r="A35" s="715" t="s">
        <v>366</v>
      </c>
    </row>
    <row r="36" spans="1:9" s="7" customFormat="1" ht="7" customHeight="1" x14ac:dyDescent="0.3">
      <c r="A36" s="715"/>
    </row>
    <row r="37" spans="1:9" s="7" customFormat="1" x14ac:dyDescent="0.25">
      <c r="A37" s="716" t="str">
        <f>+'T1'!B1</f>
        <v>TABEL 1: Resultatenrekening (algemene boekhouding) voor boekjaar 2021 (waarden boekhouding)</v>
      </c>
      <c r="B37" s="716"/>
      <c r="C37" s="718"/>
      <c r="D37" s="718"/>
      <c r="E37" s="718"/>
    </row>
    <row r="38" spans="1:9" s="7" customFormat="1" x14ac:dyDescent="0.25">
      <c r="A38" s="716" t="str">
        <f>+'T2 - Overzicht'!A1</f>
        <v>TABEL 2: Algemeen overzicht exogene kosten</v>
      </c>
      <c r="B38" s="716"/>
      <c r="C38" s="719"/>
      <c r="D38" s="719"/>
      <c r="E38" s="719"/>
      <c r="F38" s="713"/>
      <c r="G38" s="1"/>
    </row>
    <row r="39" spans="1:9" s="7" customFormat="1" x14ac:dyDescent="0.25">
      <c r="A39" s="716" t="str">
        <f>+'T3'!A1</f>
        <v>TABEL 3: Detail inzake samenstelling exogene kosten</v>
      </c>
      <c r="B39" s="716"/>
      <c r="C39" s="719"/>
      <c r="D39" s="720"/>
      <c r="E39" s="720"/>
    </row>
    <row r="40" spans="1:9" x14ac:dyDescent="0.25">
      <c r="A40" s="716" t="str">
        <f>+T4A!A1</f>
        <v>TABEL 4A: Opvolging regulatoir saldo inzake exogene kosten m.b.t. distributie</v>
      </c>
      <c r="B40" s="716"/>
      <c r="C40" s="716"/>
      <c r="D40" s="716"/>
      <c r="E40" s="717"/>
    </row>
    <row r="41" spans="1:9" x14ac:dyDescent="0.25">
      <c r="A41" s="716" t="str">
        <f>+T4B!A1</f>
        <v>TABEL 4B: Overzicht regulatoir saldo inzake exogene kosten m.b.t. distributie per tariefcomponent</v>
      </c>
      <c r="B41" s="716"/>
      <c r="C41" s="716"/>
      <c r="D41" s="716"/>
      <c r="E41" s="716"/>
    </row>
    <row r="42" spans="1:9" x14ac:dyDescent="0.25">
      <c r="A42" s="716" t="str">
        <f>+T4C!A1</f>
        <v>TABEL 4C: Opvolging regulatoir saldo inzake exogene kosten m.b.t. transmissie (exclusief federale bijdrage elektriciteit)</v>
      </c>
      <c r="B42" s="716"/>
      <c r="C42" s="716"/>
      <c r="D42" s="716"/>
      <c r="E42" s="716"/>
      <c r="F42" s="714"/>
      <c r="G42" s="714"/>
    </row>
    <row r="43" spans="1:9" x14ac:dyDescent="0.25">
      <c r="A43" s="716" t="str">
        <f>+T5A!A1</f>
        <v>TABEL 5A: Opvolging regulatoir saldo inzake volumerisico endogeen budget</v>
      </c>
      <c r="B43" s="716"/>
      <c r="C43" s="716"/>
      <c r="D43" s="716"/>
      <c r="E43" s="717"/>
    </row>
    <row r="44" spans="1:9" x14ac:dyDescent="0.25">
      <c r="A44" s="716" t="str">
        <f>+T5B!A1</f>
        <v>TABEL 5B: Overzicht regulatoir saldo inzake volumerisico endogeen budget per tariefcomponent</v>
      </c>
      <c r="B44" s="716"/>
      <c r="C44" s="716"/>
      <c r="D44" s="716"/>
      <c r="E44" s="716"/>
    </row>
    <row r="45" spans="1:9" x14ac:dyDescent="0.25">
      <c r="A45" s="716" t="str">
        <f>+T5C!A1</f>
        <v>TABEL 5C: Werkelijke opbrengsten uit periodieke distributienettarieven in boekjaar 2021 (elektriciteit - afname)</v>
      </c>
      <c r="B45" s="716"/>
      <c r="C45" s="716"/>
      <c r="D45" s="716"/>
      <c r="E45" s="716"/>
      <c r="F45" s="714"/>
    </row>
    <row r="46" spans="1:9" x14ac:dyDescent="0.25">
      <c r="A46" s="716" t="str">
        <f>+T5D!A1</f>
        <v>TABEL 5D: Werkelijke opbrengsten uit periodieke distributienettarieven in boekjaar 2021 (elektriciteit-injectie)</v>
      </c>
      <c r="B46" s="716"/>
      <c r="C46" s="716"/>
      <c r="D46" s="716"/>
      <c r="E46" s="716"/>
      <c r="F46" s="714"/>
    </row>
    <row r="47" spans="1:9" x14ac:dyDescent="0.25">
      <c r="A47" s="716" t="str">
        <f>+T5E!A1</f>
        <v>TABEL 5E: Werkelijke opbrengsten uit periodieke distributienettarieven in boekjaar 2021 (gas - afname)</v>
      </c>
      <c r="B47" s="716"/>
      <c r="C47" s="716"/>
      <c r="D47" s="716"/>
      <c r="E47" s="716"/>
      <c r="F47" s="714"/>
    </row>
    <row r="48" spans="1:9" x14ac:dyDescent="0.25">
      <c r="A48" s="716" t="str">
        <f>+T5F!A1</f>
        <v>TABEL 5F: Werkelijke opbrengsten uit periodieke distributienettarieven in boekjaar 2021 (gas - injectie)</v>
      </c>
      <c r="B48" s="716"/>
      <c r="C48" s="716"/>
      <c r="D48" s="716"/>
      <c r="E48" s="716"/>
      <c r="F48" s="714"/>
    </row>
    <row r="49" spans="1:7" x14ac:dyDescent="0.25">
      <c r="A49" s="716" t="str">
        <f>+T6A!A1</f>
        <v>TABEL 6A: Opvolging regulatoir saldo inzake herindexering van het budget voor endogene kosten</v>
      </c>
      <c r="B49" s="716"/>
      <c r="C49" s="716"/>
      <c r="D49" s="716"/>
      <c r="E49" s="716"/>
    </row>
    <row r="50" spans="1:7" x14ac:dyDescent="0.25">
      <c r="A50" s="716" t="str">
        <f>+T6B!A1</f>
        <v>TABEL 6B: Overzicht regulatoir saldo inzake herindexering van het budget voor endogene kosten per tariefcomponent</v>
      </c>
      <c r="B50" s="716"/>
      <c r="C50" s="716"/>
      <c r="D50" s="716"/>
      <c r="E50" s="716"/>
      <c r="F50" s="714"/>
      <c r="G50" s="714"/>
    </row>
    <row r="51" spans="1:7" x14ac:dyDescent="0.25">
      <c r="A51" s="716" t="str">
        <f>+'T7'!A1:L1</f>
        <v>TABEL 7: Opvolging regulatoir saldo inzake vennootschapsbelasting</v>
      </c>
      <c r="B51" s="716"/>
      <c r="C51" s="716"/>
      <c r="D51" s="717"/>
      <c r="E51" s="717"/>
    </row>
    <row r="52" spans="1:7" x14ac:dyDescent="0.25">
      <c r="A52" s="716" t="str">
        <f>+'T8'!A1:H1</f>
        <v>TABEL 8: Opvolging regulatoir saldo inzake herwaarderingsmeerwaarden</v>
      </c>
      <c r="B52" s="716"/>
      <c r="C52" s="716"/>
      <c r="D52" s="717"/>
      <c r="E52" s="717"/>
    </row>
    <row r="53" spans="1:7" x14ac:dyDescent="0.25">
      <c r="A53" s="717"/>
      <c r="B53" s="717"/>
      <c r="C53" s="717"/>
      <c r="D53" s="717"/>
      <c r="E53" s="717"/>
    </row>
    <row r="54" spans="1:7" s="7" customFormat="1" ht="13" x14ac:dyDescent="0.3">
      <c r="A54" s="715" t="s">
        <v>367</v>
      </c>
    </row>
    <row r="55" spans="1:7" s="7" customFormat="1" ht="7" customHeight="1" x14ac:dyDescent="0.3">
      <c r="A55" s="715"/>
    </row>
    <row r="56" spans="1:7" x14ac:dyDescent="0.25">
      <c r="A56" s="716" t="str">
        <f>+'T9 - Overzicht'!A1:L1</f>
        <v>TABEL 9: Algemeen overzicht aanvullende endogene termen</v>
      </c>
      <c r="B56" s="714"/>
      <c r="C56" s="714"/>
      <c r="D56" s="717"/>
      <c r="E56" s="717"/>
    </row>
    <row r="57" spans="1:7" x14ac:dyDescent="0.25">
      <c r="A57" s="716" t="str">
        <f>+'T10'!A1:K1</f>
        <v>TABEL 10: Fiscaal niet-aftrekbare afschrijvingen op herwaarderingsmeerwaarden</v>
      </c>
      <c r="B57" s="716"/>
      <c r="C57" s="716"/>
      <c r="D57" s="716"/>
      <c r="E57" s="717"/>
    </row>
    <row r="58" spans="1:7" x14ac:dyDescent="0.25">
      <c r="A58" s="716" t="str">
        <f>+'T11'!A1:D1</f>
        <v>TABEL 11: Fiscaal niet-aftrekbare heffing volgens het Decreet houdende het Grootschalig Referentiebestand</v>
      </c>
      <c r="B58" s="714"/>
      <c r="C58" s="714"/>
      <c r="D58" s="714"/>
      <c r="E58" s="714"/>
      <c r="F58" s="714"/>
    </row>
    <row r="59" spans="1:7" x14ac:dyDescent="0.25">
      <c r="A59" s="716" t="str">
        <f>+'T12'!A1:K1</f>
        <v>TABEL 12: Notionele intrestaftrek</v>
      </c>
      <c r="B59" s="716"/>
      <c r="C59" s="717"/>
      <c r="D59" s="717"/>
      <c r="E59" s="717"/>
    </row>
    <row r="60" spans="1:7" x14ac:dyDescent="0.25">
      <c r="A60" s="716" t="str">
        <f>+T13A!A1</f>
        <v>TABEL 13A: Afschrijvingen van de meerwaarde op basis van de historische indexatie (materiële vaste activa) - elektriciteit</v>
      </c>
      <c r="B60" s="716"/>
      <c r="C60" s="716"/>
      <c r="D60" s="716"/>
      <c r="E60" s="716"/>
      <c r="F60" s="714"/>
      <c r="G60" s="714"/>
    </row>
    <row r="61" spans="1:7" x14ac:dyDescent="0.25">
      <c r="A61" s="716" t="str">
        <f>+T13B!A1</f>
        <v>TABEL 13B: Afschrijvingen van de meerwaarde op basis van de iRAB (materiële vaste activa) - elektriciteit</v>
      </c>
      <c r="B61" s="716"/>
      <c r="C61" s="716"/>
      <c r="D61" s="716"/>
      <c r="E61" s="716"/>
      <c r="F61" s="714"/>
    </row>
    <row r="62" spans="1:7" x14ac:dyDescent="0.25">
      <c r="A62" s="716" t="str">
        <f>+T13C!A1</f>
        <v>TABEL 13C: Afschrijvingen van de meerwaarde op basis van de historische indexatie (materiële vaste activa) - gas</v>
      </c>
      <c r="B62" s="716"/>
      <c r="C62" s="716"/>
      <c r="D62" s="716"/>
      <c r="E62" s="716"/>
      <c r="F62" s="714"/>
      <c r="G62" s="714"/>
    </row>
    <row r="63" spans="1:7" x14ac:dyDescent="0.25">
      <c r="A63" s="716" t="str">
        <f>+T13D!A1</f>
        <v>df</v>
      </c>
      <c r="B63" s="716"/>
      <c r="C63" s="716"/>
      <c r="D63" s="716"/>
      <c r="E63" s="716"/>
      <c r="F63" s="714"/>
    </row>
    <row r="64" spans="1:7" x14ac:dyDescent="0.25">
      <c r="A64" s="716" t="str">
        <f>+'T14'!A1:G1</f>
        <v>TABEL 14: Kapitaalkostvergoeding herwaarderingsmeerwaarden</v>
      </c>
      <c r="B64" s="716"/>
      <c r="C64" s="716"/>
      <c r="D64" s="717"/>
      <c r="E64" s="717"/>
    </row>
    <row r="65" spans="1:5" x14ac:dyDescent="0.25">
      <c r="A65" s="717"/>
      <c r="B65" s="717"/>
      <c r="C65" s="717"/>
      <c r="D65" s="717"/>
      <c r="E65" s="717"/>
    </row>
    <row r="66" spans="1:5" x14ac:dyDescent="0.25">
      <c r="A66" s="717"/>
      <c r="B66" s="717"/>
      <c r="C66" s="717"/>
      <c r="D66" s="717"/>
      <c r="E66" s="717"/>
    </row>
    <row r="67" spans="1:5" x14ac:dyDescent="0.25">
      <c r="A67" s="717"/>
      <c r="B67" s="717"/>
      <c r="C67" s="717"/>
      <c r="D67" s="717"/>
      <c r="E67" s="717"/>
    </row>
  </sheetData>
  <sheetProtection algorithmName="SHA-512" hashValue="n4jM9OCosDiViHNpL0iICTI+JSy5+I74ocYfJ+P0GcnsqV4/ZWMR59L1zVMfpzyJql3s44OSIW23Drx2jTQG0w==" saltValue="G37iy4XVDAZliMa8wttINw==" spinCount="100000" sheet="1" objects="1" scenarios="1"/>
  <customSheetViews>
    <customSheetView guid="{C8C7977F-B6BF-432B-A1A7-559450D521AF}" showGridLines="0" topLeftCell="A20">
      <selection activeCell="E53" sqref="E53"/>
      <colBreaks count="1" manualBreakCount="1">
        <brk id="17" max="1048575" man="1"/>
      </colBreaks>
      <pageMargins left="0.98425196850393704" right="0.23622047244094491" top="0.82677165354330717" bottom="0.70866141732283472" header="0.74803149606299213" footer="0.47244094488188981"/>
      <pageSetup paperSize="8" scale="90" orientation="landscape" r:id="rId1"/>
      <headerFooter alignWithMargins="0">
        <oddFooter>&amp;C&amp;P/&amp;N</oddFooter>
      </headerFooter>
    </customSheetView>
  </customSheetViews>
  <mergeCells count="7">
    <mergeCell ref="A33:I33"/>
    <mergeCell ref="A19:I19"/>
    <mergeCell ref="C7:F7"/>
    <mergeCell ref="C8:F8"/>
    <mergeCell ref="C10:F10"/>
    <mergeCell ref="A23:I23"/>
    <mergeCell ref="A21:I21"/>
  </mergeCells>
  <dataValidations count="2">
    <dataValidation type="list" allowBlank="1" showInputMessage="1" showErrorMessage="1" sqref="C10" xr:uid="{00000000-0002-0000-0000-000000000000}">
      <formula1>"elektriciteit,gas"</formula1>
    </dataValidation>
    <dataValidation type="list" allowBlank="1" showInputMessage="1" showErrorMessage="1" sqref="F16" xr:uid="{00000000-0002-0000-0000-000001000000}">
      <formula1>"ex-ante,ex-post"</formula1>
    </dataValidation>
  </dataValidations>
  <hyperlinks>
    <hyperlink ref="A37:E37" location="'T1'!A1" display="'T1'!A1" xr:uid="{CFD9507C-C1D3-48BB-9F0C-9BA1EEBD928C}"/>
    <hyperlink ref="A38:B38" location="'T2 - Overzicht'!A1" display="'T2 - Overzicht'!A1" xr:uid="{827D5F22-584C-43A9-9317-9AA70562685C}"/>
    <hyperlink ref="A39:B39" location="'T3'!A1" display="'T3'!A1" xr:uid="{4F8627D4-03F2-47B8-B80A-34EF83D9D6D0}"/>
    <hyperlink ref="A40:D40" location="T4A!A1" display="T4A!A1" xr:uid="{CC59734A-1FC0-4CCC-8B7D-4550974F8A84}"/>
    <hyperlink ref="A41:E41" location="T4B!A1" display="T4B!A1" xr:uid="{4F09AEC1-D318-4655-BF3D-9DC2312FBE05}"/>
    <hyperlink ref="A42:G42" location="T4C!A1" display="T4C!A1" xr:uid="{F98263FE-2464-4908-9DB3-2C7E0EEEDF24}"/>
    <hyperlink ref="A43:D43" location="T5A!A1" display="T5A!A1" xr:uid="{7CD12772-5130-4DCD-9E63-ECA3135C64B1}"/>
    <hyperlink ref="A44:E44" location="T5B!A1" display="T5B!A1" xr:uid="{9EEF4A80-B791-4BE0-BC95-385845028C46}"/>
    <hyperlink ref="A45:F45" location="T5C!A1" display="T5C!A1" xr:uid="{001DBD05-15C0-4ECD-B08E-488AEAF597C6}"/>
    <hyperlink ref="A46:F46" location="T5D!A1" display="T5D!A1" xr:uid="{0478B678-1CE9-4E51-9FE6-8B4C78817A20}"/>
    <hyperlink ref="A47:F47" location="T5E!A1" display="T5E!A1" xr:uid="{4859F98A-B9A9-4575-9ECF-FD869FE12C42}"/>
    <hyperlink ref="A48:F48" location="T5F!A1" display="T5F!A1" xr:uid="{057E6744-359A-48BF-BCE3-C3CD2387EEFB}"/>
    <hyperlink ref="A49:E49" location="T6A!A1" display="T6A!A1" xr:uid="{813F6AB1-5224-4D8D-B4F5-BD3D3D64B37B}"/>
    <hyperlink ref="A50:G50" location="T6B!A1" display="T6B!A1" xr:uid="{C955F57B-621D-4E51-A7C2-7FE4A45BCD29}"/>
    <hyperlink ref="A51:C51" location="'T7'!A1" display="'T7'!A1" xr:uid="{6D2CD0C1-43C2-41AE-8C73-05DD0D401966}"/>
    <hyperlink ref="A52:C52" location="'T8'!A1" display="'T8'!A1" xr:uid="{D11E9D25-AEFE-4B64-B391-FD0A9FF3535D}"/>
    <hyperlink ref="A57:D57" location="'T11'!A1" display="'T11'!A1" xr:uid="{D95468AE-8022-4E73-9FC9-172ABCA69142}"/>
    <hyperlink ref="A59:B59" location="'T12'!A1" display="'T12'!A1" xr:uid="{335F438E-29B2-455B-9D6D-C7AFDC0F1FE5}"/>
    <hyperlink ref="A60:G60" location="T13A!A1" display="T13A!A1" xr:uid="{72D6B2A5-6C19-48B4-AE80-849947BCF852}"/>
    <hyperlink ref="A61:F61" location="T13B!A1" display="T13B!A1" xr:uid="{492209BF-8E89-4355-9225-33FD2D77C871}"/>
    <hyperlink ref="A62:G62" location="T13C!A1" display="T13C!A1" xr:uid="{8355A8F5-5CD8-4000-86EF-3389ECC8CFA3}"/>
    <hyperlink ref="A63:F63" location="T13D!A1" display="T13D!A1" xr:uid="{9FE1AB3A-9435-4B75-BD5B-706A28C88930}"/>
    <hyperlink ref="A64:C64" location="'T14'!A1" display="'T14'!A1" xr:uid="{BFCD7A01-7051-4AA2-A2F4-C6A43072A89B}"/>
    <hyperlink ref="A58:F58" location="'T11'!A1" display="'T11'!A1" xr:uid="{49512694-E78C-4825-A56A-B66C27536375}"/>
    <hyperlink ref="A56:C56" location="'T9 - Overzicht'!A1" display="'T9 - Overzicht'!A1" xr:uid="{1BCB2D7B-710C-4B77-AED3-E5FA3DC194AF}"/>
    <hyperlink ref="A57" location="'T10'!A1" display="'T10'!A1" xr:uid="{485E6532-F05C-4D7C-A23A-83820FCFF805}"/>
  </hyperlinks>
  <pageMargins left="0.98425196850393704" right="0.23622047244094491" top="0.82677165354330717" bottom="0.70866141732283472" header="0.74803149606299213" footer="0.47244094488188981"/>
  <pageSetup paperSize="8" scale="61" orientation="portrait" r:id="rId2"/>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DDA4-43EA-475F-A6DE-9C650EB0F077}">
  <sheetPr published="0" codeName="Blad9"/>
  <dimension ref="A1:V683"/>
  <sheetViews>
    <sheetView zoomScale="80" zoomScaleNormal="80" workbookViewId="0">
      <selection activeCell="G228" sqref="G228"/>
    </sheetView>
  </sheetViews>
  <sheetFormatPr defaultColWidth="9.1796875" defaultRowHeight="12.5" x14ac:dyDescent="0.25"/>
  <cols>
    <col min="1" max="1" width="2.453125" style="167" customWidth="1"/>
    <col min="2" max="2" width="9.1796875" style="167"/>
    <col min="3" max="3" width="19" style="167" customWidth="1"/>
    <col min="4" max="4" width="12.81640625" style="167" customWidth="1"/>
    <col min="5" max="5" width="24.26953125" style="167" customWidth="1"/>
    <col min="6" max="6" width="9.453125" style="167" customWidth="1"/>
    <col min="7" max="16" width="25.7265625" style="167" customWidth="1"/>
    <col min="17" max="17" width="2.1796875" style="209" customWidth="1"/>
    <col min="18" max="18" width="25.7265625" style="167" customWidth="1"/>
    <col min="19" max="16384" width="9.1796875" style="167"/>
  </cols>
  <sheetData>
    <row r="1" spans="1:22" ht="25.5" customHeight="1" thickBot="1" x14ac:dyDescent="0.3">
      <c r="A1" s="1160" t="s">
        <v>251</v>
      </c>
      <c r="B1" s="1161"/>
      <c r="C1" s="1161"/>
      <c r="D1" s="1161"/>
      <c r="E1" s="1161"/>
      <c r="F1" s="1161"/>
      <c r="G1" s="1161"/>
      <c r="H1" s="1161"/>
      <c r="I1" s="1161"/>
      <c r="J1" s="1162"/>
      <c r="K1" s="292"/>
      <c r="L1" s="293"/>
      <c r="M1" s="293"/>
      <c r="N1" s="293"/>
      <c r="O1" s="293"/>
      <c r="P1" s="293"/>
      <c r="Q1" s="293"/>
      <c r="S1" s="294"/>
      <c r="T1" s="294"/>
      <c r="U1" s="294"/>
      <c r="V1" s="294"/>
    </row>
    <row r="2" spans="1:22" ht="13" x14ac:dyDescent="0.25">
      <c r="B2" s="209" t="str">
        <f>+TITELBLAD!B16</f>
        <v>Rapportering over boekjaar:</v>
      </c>
      <c r="C2" s="209"/>
      <c r="D2" s="209">
        <f>+TITELBLAD!E16</f>
        <v>2021</v>
      </c>
      <c r="E2" s="209" t="str">
        <f>+TITELBLAD!F16</f>
        <v>ex-ante</v>
      </c>
      <c r="F2" s="296"/>
      <c r="G2" s="296"/>
      <c r="H2" s="295"/>
      <c r="I2" s="234"/>
      <c r="J2" s="233"/>
      <c r="K2" s="234"/>
      <c r="L2" s="234"/>
      <c r="M2" s="234"/>
      <c r="N2" s="234"/>
      <c r="O2" s="234"/>
      <c r="P2" s="234"/>
      <c r="Q2" s="296"/>
      <c r="R2" s="234"/>
    </row>
    <row r="3" spans="1:22" ht="13.5" thickBot="1" x14ac:dyDescent="0.3">
      <c r="B3" s="297" t="s">
        <v>15</v>
      </c>
      <c r="H3" s="241"/>
      <c r="I3" s="233"/>
      <c r="J3" s="233"/>
      <c r="K3" s="234"/>
      <c r="L3" s="234"/>
      <c r="M3" s="234"/>
      <c r="N3" s="234"/>
      <c r="O3" s="234"/>
      <c r="P3" s="234"/>
      <c r="Q3" s="296"/>
      <c r="R3" s="234"/>
    </row>
    <row r="4" spans="1:22" ht="13.5" thickBot="1" x14ac:dyDescent="0.3">
      <c r="B4" s="1176" t="str">
        <f>+TITELBLAD!C7</f>
        <v>NAAM DNB</v>
      </c>
      <c r="C4" s="1177"/>
      <c r="D4" s="1177"/>
      <c r="E4" s="1178"/>
      <c r="H4" s="241"/>
      <c r="I4" s="233"/>
      <c r="J4" s="233"/>
      <c r="K4" s="234"/>
      <c r="L4" s="234"/>
      <c r="M4" s="234"/>
      <c r="N4" s="234"/>
      <c r="O4" s="234"/>
      <c r="P4" s="234"/>
      <c r="Q4" s="296"/>
      <c r="R4" s="234"/>
    </row>
    <row r="5" spans="1:22" ht="13" x14ac:dyDescent="0.25">
      <c r="H5" s="241"/>
      <c r="I5" s="233"/>
      <c r="J5" s="233"/>
      <c r="K5" s="234"/>
      <c r="L5" s="234"/>
      <c r="M5" s="234"/>
      <c r="N5" s="234"/>
      <c r="O5" s="234"/>
      <c r="P5" s="234"/>
      <c r="Q5" s="296"/>
      <c r="R5" s="234"/>
    </row>
    <row r="6" spans="1:22" ht="13.5" thickBot="1" x14ac:dyDescent="0.3">
      <c r="B6" s="297" t="s">
        <v>16</v>
      </c>
      <c r="H6" s="241"/>
      <c r="I6" s="233"/>
      <c r="J6" s="233"/>
      <c r="K6" s="234"/>
      <c r="L6" s="234"/>
      <c r="M6" s="234"/>
      <c r="N6" s="234"/>
      <c r="O6" s="234"/>
      <c r="P6" s="234"/>
      <c r="Q6" s="296"/>
      <c r="R6" s="234"/>
    </row>
    <row r="7" spans="1:22" ht="13.5" thickBot="1" x14ac:dyDescent="0.3">
      <c r="B7" s="1179" t="str">
        <f>+TITELBLAD!C10</f>
        <v>elektriciteit</v>
      </c>
      <c r="C7" s="1180"/>
      <c r="D7" s="1180"/>
      <c r="E7" s="1181"/>
      <c r="H7" s="241"/>
      <c r="I7" s="233"/>
      <c r="J7" s="233"/>
      <c r="K7" s="234"/>
      <c r="L7" s="234"/>
      <c r="M7" s="234"/>
      <c r="N7" s="234"/>
      <c r="O7" s="234"/>
      <c r="P7" s="234"/>
      <c r="Q7" s="296"/>
      <c r="R7" s="234"/>
    </row>
    <row r="8" spans="1:22" ht="13" x14ac:dyDescent="0.25">
      <c r="H8" s="241"/>
      <c r="I8" s="233"/>
      <c r="J8" s="233"/>
      <c r="K8" s="234"/>
      <c r="L8" s="234"/>
      <c r="M8" s="234"/>
      <c r="N8" s="234"/>
      <c r="O8" s="234"/>
      <c r="P8" s="234"/>
      <c r="Q8" s="296"/>
      <c r="R8" s="234"/>
    </row>
    <row r="9" spans="1:22" x14ac:dyDescent="0.25">
      <c r="K9" s="296"/>
      <c r="L9" s="296"/>
      <c r="M9" s="296"/>
      <c r="N9" s="296"/>
      <c r="O9" s="296"/>
      <c r="P9" s="296"/>
      <c r="Q9" s="296"/>
      <c r="R9" s="296"/>
    </row>
    <row r="10" spans="1:22" x14ac:dyDescent="0.25">
      <c r="K10" s="296"/>
      <c r="L10" s="296"/>
      <c r="M10" s="296"/>
      <c r="N10" s="296"/>
      <c r="O10" s="296"/>
      <c r="P10" s="296"/>
      <c r="Q10" s="296"/>
      <c r="R10" s="296"/>
    </row>
    <row r="11" spans="1:22" x14ac:dyDescent="0.3">
      <c r="G11" s="124" t="s">
        <v>165</v>
      </c>
      <c r="H11" s="299"/>
      <c r="I11" s="300"/>
      <c r="K11" s="296"/>
      <c r="L11" s="296"/>
      <c r="M11" s="296"/>
      <c r="N11" s="296"/>
      <c r="O11" s="296"/>
      <c r="P11" s="296"/>
      <c r="Q11" s="296"/>
      <c r="R11" s="296"/>
    </row>
    <row r="12" spans="1:22" x14ac:dyDescent="0.3">
      <c r="G12" s="92" t="s">
        <v>126</v>
      </c>
      <c r="H12" s="299"/>
      <c r="I12" s="300"/>
    </row>
    <row r="13" spans="1:22" ht="60" customHeight="1" x14ac:dyDescent="0.25">
      <c r="B13" s="1231" t="s">
        <v>247</v>
      </c>
      <c r="C13" s="1232"/>
      <c r="D13" s="1232"/>
      <c r="E13" s="1233"/>
      <c r="F13" s="168"/>
      <c r="G13" s="166">
        <v>2015</v>
      </c>
      <c r="H13" s="166">
        <f>+G13+1</f>
        <v>2016</v>
      </c>
      <c r="I13" s="166">
        <f>+H13+1</f>
        <v>2017</v>
      </c>
      <c r="J13" s="166">
        <f>+I13+1</f>
        <v>2018</v>
      </c>
      <c r="K13" s="166">
        <f>+J13+1</f>
        <v>2019</v>
      </c>
      <c r="L13" s="166">
        <f t="shared" ref="L13:P13" si="0">+K13+1</f>
        <v>2020</v>
      </c>
      <c r="M13" s="166">
        <f t="shared" si="0"/>
        <v>2021</v>
      </c>
      <c r="N13" s="837">
        <f t="shared" si="0"/>
        <v>2022</v>
      </c>
      <c r="O13" s="837">
        <f t="shared" si="0"/>
        <v>2023</v>
      </c>
      <c r="P13" s="837">
        <f t="shared" si="0"/>
        <v>2024</v>
      </c>
      <c r="R13" s="166" t="s">
        <v>20</v>
      </c>
    </row>
    <row r="14" spans="1:22" s="301" customFormat="1" ht="12" customHeight="1" x14ac:dyDescent="0.25">
      <c r="B14" s="302"/>
      <c r="C14" s="302"/>
      <c r="D14" s="302"/>
      <c r="E14" s="302"/>
      <c r="F14" s="303"/>
      <c r="G14" s="304"/>
      <c r="H14" s="228"/>
      <c r="I14" s="228"/>
      <c r="N14" s="838"/>
      <c r="O14" s="838"/>
      <c r="P14" s="838"/>
      <c r="Q14" s="305"/>
    </row>
    <row r="15" spans="1:22" ht="28.5" customHeight="1" x14ac:dyDescent="0.25">
      <c r="B15" s="1261" t="s">
        <v>240</v>
      </c>
      <c r="C15" s="1261"/>
      <c r="D15" s="1261"/>
      <c r="E15" s="1261"/>
      <c r="F15" s="168"/>
      <c r="G15" s="255">
        <f>+T5A!C27</f>
        <v>0</v>
      </c>
      <c r="H15" s="255">
        <f>+T5A!D27</f>
        <v>0</v>
      </c>
      <c r="I15" s="255">
        <f>+T5A!E27</f>
        <v>0</v>
      </c>
      <c r="J15" s="255">
        <f>+T5A!F27</f>
        <v>0</v>
      </c>
      <c r="K15" s="255">
        <f>+T5A!G27</f>
        <v>0</v>
      </c>
      <c r="L15" s="255">
        <f>+T5A!H27</f>
        <v>0</v>
      </c>
      <c r="M15" s="255">
        <f>+T5A!I27</f>
        <v>0</v>
      </c>
      <c r="N15" s="565">
        <f>+T5A!J27</f>
        <v>0</v>
      </c>
      <c r="O15" s="565">
        <f>+T5A!K27</f>
        <v>0</v>
      </c>
      <c r="P15" s="565">
        <f>+T5A!L27</f>
        <v>0</v>
      </c>
      <c r="R15" s="991">
        <f>SUM(G15:P15)</f>
        <v>0</v>
      </c>
    </row>
    <row r="16" spans="1:22" ht="26.25" customHeight="1" x14ac:dyDescent="0.25">
      <c r="B16" s="1261" t="s">
        <v>66</v>
      </c>
      <c r="C16" s="1261"/>
      <c r="D16" s="1261"/>
      <c r="E16" s="1261"/>
      <c r="F16" s="168"/>
      <c r="G16" s="255">
        <f>+T5A!C28</f>
        <v>0</v>
      </c>
      <c r="H16" s="255">
        <f>+T5A!D28</f>
        <v>0</v>
      </c>
      <c r="I16" s="255">
        <f>+T5A!E28</f>
        <v>0</v>
      </c>
      <c r="J16" s="255">
        <f>+T5A!F28</f>
        <v>0</v>
      </c>
      <c r="K16" s="255">
        <f>+T5A!G28</f>
        <v>0</v>
      </c>
      <c r="L16" s="255">
        <f>+T5A!H28</f>
        <v>0</v>
      </c>
      <c r="M16" s="255">
        <f>+T5A!I28</f>
        <v>0</v>
      </c>
      <c r="N16" s="565">
        <f>+T5A!J28</f>
        <v>0</v>
      </c>
      <c r="O16" s="565">
        <f>+T5A!K28</f>
        <v>0</v>
      </c>
      <c r="P16" s="565">
        <f>+T5A!L28</f>
        <v>0</v>
      </c>
      <c r="R16" s="991">
        <f t="shared" ref="R16:R21" si="1">SUM(G16:P16)</f>
        <v>0</v>
      </c>
    </row>
    <row r="17" spans="2:18" ht="27.75" customHeight="1" x14ac:dyDescent="0.25">
      <c r="B17" s="1261" t="s">
        <v>205</v>
      </c>
      <c r="C17" s="1261"/>
      <c r="D17" s="1261"/>
      <c r="E17" s="1261"/>
      <c r="F17" s="168"/>
      <c r="G17" s="565"/>
      <c r="H17" s="565"/>
      <c r="I17" s="565"/>
      <c r="J17" s="565"/>
      <c r="K17" s="565"/>
      <c r="L17" s="565"/>
      <c r="M17" s="565"/>
      <c r="N17" s="565"/>
      <c r="O17" s="565"/>
      <c r="P17" s="565"/>
      <c r="R17" s="994"/>
    </row>
    <row r="18" spans="2:18" ht="24.75" customHeight="1" x14ac:dyDescent="0.25">
      <c r="B18" s="1261" t="s">
        <v>67</v>
      </c>
      <c r="C18" s="1261"/>
      <c r="D18" s="1261"/>
      <c r="E18" s="1261"/>
      <c r="F18" s="168"/>
      <c r="G18" s="255">
        <f>+T5A!C30</f>
        <v>0</v>
      </c>
      <c r="H18" s="255">
        <f>+T5A!D30</f>
        <v>0</v>
      </c>
      <c r="I18" s="255">
        <f>+T5A!E30</f>
        <v>0</v>
      </c>
      <c r="J18" s="255">
        <f>+T5A!F30</f>
        <v>0</v>
      </c>
      <c r="K18" s="255">
        <f>+T5A!G30</f>
        <v>0</v>
      </c>
      <c r="L18" s="255">
        <f>+T5A!H30</f>
        <v>0</v>
      </c>
      <c r="M18" s="255">
        <f>+T5A!I30</f>
        <v>0</v>
      </c>
      <c r="N18" s="565">
        <f>+T5A!J30</f>
        <v>0</v>
      </c>
      <c r="O18" s="565">
        <f>+T5A!K30</f>
        <v>0</v>
      </c>
      <c r="P18" s="565">
        <f>+T5A!L30</f>
        <v>0</v>
      </c>
      <c r="R18" s="991">
        <f t="shared" si="1"/>
        <v>0</v>
      </c>
    </row>
    <row r="19" spans="2:18" ht="27" customHeight="1" x14ac:dyDescent="0.25">
      <c r="B19" s="1261" t="s">
        <v>119</v>
      </c>
      <c r="C19" s="1261"/>
      <c r="D19" s="1261"/>
      <c r="E19" s="1261"/>
      <c r="F19" s="168"/>
      <c r="G19" s="255">
        <f>+T5A!C31</f>
        <v>0</v>
      </c>
      <c r="H19" s="255">
        <f>+T5A!D31</f>
        <v>0</v>
      </c>
      <c r="I19" s="255">
        <f>+T5A!E31</f>
        <v>0</v>
      </c>
      <c r="J19" s="255">
        <f>+T5A!F31</f>
        <v>0</v>
      </c>
      <c r="K19" s="255">
        <f>+T5A!G31</f>
        <v>0</v>
      </c>
      <c r="L19" s="255">
        <f>+T5A!H31</f>
        <v>0</v>
      </c>
      <c r="M19" s="565"/>
      <c r="N19" s="565"/>
      <c r="O19" s="565"/>
      <c r="P19" s="565"/>
      <c r="R19" s="991">
        <f>+SUM(G19:L19)</f>
        <v>0</v>
      </c>
    </row>
    <row r="20" spans="2:18" ht="18.75" customHeight="1" x14ac:dyDescent="0.25">
      <c r="B20" s="1261" t="s">
        <v>118</v>
      </c>
      <c r="C20" s="1261"/>
      <c r="D20" s="1261"/>
      <c r="E20" s="1261"/>
      <c r="F20" s="168"/>
      <c r="G20" s="255">
        <f>+T5A!C32</f>
        <v>0</v>
      </c>
      <c r="H20" s="255">
        <f>+T5A!D32</f>
        <v>0</v>
      </c>
      <c r="I20" s="255">
        <f>+T5A!E32</f>
        <v>0</v>
      </c>
      <c r="J20" s="255">
        <f>+T5A!F32</f>
        <v>0</v>
      </c>
      <c r="K20" s="255">
        <f>+T5A!G32</f>
        <v>0</v>
      </c>
      <c r="L20" s="255">
        <f>+T5A!H32</f>
        <v>0</v>
      </c>
      <c r="M20" s="255">
        <f>+T5A!I32</f>
        <v>0</v>
      </c>
      <c r="N20" s="565">
        <f>+T5A!J32</f>
        <v>0</v>
      </c>
      <c r="O20" s="565">
        <f>+T5A!K32</f>
        <v>0</v>
      </c>
      <c r="P20" s="565">
        <f>+T5A!L32</f>
        <v>0</v>
      </c>
      <c r="R20" s="991">
        <f t="shared" si="1"/>
        <v>0</v>
      </c>
    </row>
    <row r="21" spans="2:18" ht="28.5" customHeight="1" x14ac:dyDescent="0.25">
      <c r="B21" s="1262" t="s">
        <v>68</v>
      </c>
      <c r="C21" s="1263"/>
      <c r="D21" s="1263"/>
      <c r="E21" s="1264"/>
      <c r="F21" s="168"/>
      <c r="G21" s="255">
        <f>+T5A!C33</f>
        <v>0</v>
      </c>
      <c r="H21" s="255">
        <f>+T5A!D33</f>
        <v>0</v>
      </c>
      <c r="I21" s="255">
        <f>+T5A!E33</f>
        <v>0</v>
      </c>
      <c r="J21" s="255">
        <f>+T5A!F33</f>
        <v>0</v>
      </c>
      <c r="K21" s="255">
        <f>+T5A!G33</f>
        <v>0</v>
      </c>
      <c r="L21" s="255">
        <f>+T5A!H33</f>
        <v>0</v>
      </c>
      <c r="M21" s="255">
        <f>+T5A!I33</f>
        <v>0</v>
      </c>
      <c r="N21" s="565">
        <f>+T5A!J33</f>
        <v>0</v>
      </c>
      <c r="O21" s="565">
        <f>+T5A!K33</f>
        <v>0</v>
      </c>
      <c r="P21" s="565">
        <f>+T5A!L33</f>
        <v>0</v>
      </c>
      <c r="R21" s="991">
        <f t="shared" si="1"/>
        <v>0</v>
      </c>
    </row>
    <row r="22" spans="2:18" ht="13" x14ac:dyDescent="0.25">
      <c r="G22" s="306"/>
      <c r="H22" s="306"/>
      <c r="I22" s="306"/>
      <c r="J22" s="306"/>
      <c r="K22" s="306"/>
      <c r="L22" s="306"/>
      <c r="M22" s="306"/>
      <c r="N22" s="839"/>
      <c r="O22" s="839"/>
      <c r="P22" s="839"/>
      <c r="R22" s="307"/>
    </row>
    <row r="23" spans="2:18" ht="23.25" customHeight="1" x14ac:dyDescent="0.25">
      <c r="B23" s="1251" t="s">
        <v>22</v>
      </c>
      <c r="C23" s="1252"/>
      <c r="D23" s="1252"/>
      <c r="E23" s="1253"/>
      <c r="F23" s="173"/>
      <c r="G23" s="174">
        <f t="shared" ref="G23:P23" si="2">SUM(G15:G21)</f>
        <v>0</v>
      </c>
      <c r="H23" s="174">
        <f t="shared" si="2"/>
        <v>0</v>
      </c>
      <c r="I23" s="174">
        <f t="shared" si="2"/>
        <v>0</v>
      </c>
      <c r="J23" s="174">
        <f t="shared" si="2"/>
        <v>0</v>
      </c>
      <c r="K23" s="174">
        <f t="shared" si="2"/>
        <v>0</v>
      </c>
      <c r="L23" s="174">
        <f t="shared" si="2"/>
        <v>0</v>
      </c>
      <c r="M23" s="174">
        <f t="shared" si="2"/>
        <v>0</v>
      </c>
      <c r="N23" s="840">
        <f t="shared" si="2"/>
        <v>0</v>
      </c>
      <c r="O23" s="840">
        <f t="shared" si="2"/>
        <v>0</v>
      </c>
      <c r="P23" s="840">
        <f t="shared" si="2"/>
        <v>0</v>
      </c>
      <c r="R23" s="174">
        <f>SUM(G23:P23)</f>
        <v>0</v>
      </c>
    </row>
    <row r="24" spans="2:18" ht="13" x14ac:dyDescent="0.25">
      <c r="B24" s="1246" t="s">
        <v>123</v>
      </c>
      <c r="C24" s="1246"/>
      <c r="D24" s="1246"/>
      <c r="E24" s="1246"/>
      <c r="F24" s="226"/>
      <c r="G24" s="308">
        <f>+G23-T5A!C63</f>
        <v>0</v>
      </c>
      <c r="H24" s="308">
        <f>+H23-T5A!D63</f>
        <v>0</v>
      </c>
      <c r="I24" s="308">
        <f>+I23-T5A!E63</f>
        <v>0</v>
      </c>
      <c r="J24" s="308">
        <f>+J23-T5A!F63</f>
        <v>0</v>
      </c>
      <c r="K24" s="309">
        <f>+K23-T5A!G63</f>
        <v>0</v>
      </c>
      <c r="L24" s="309">
        <f>+L23-T5A!H63</f>
        <v>0</v>
      </c>
      <c r="M24" s="309">
        <f>+M23-T5A!I63</f>
        <v>0</v>
      </c>
      <c r="N24" s="841">
        <f>+N23-T5A!J63</f>
        <v>0</v>
      </c>
      <c r="O24" s="841">
        <f>+O23-T5A!K63</f>
        <v>0</v>
      </c>
      <c r="P24" s="841">
        <f>+P23-T5A!L63</f>
        <v>0</v>
      </c>
      <c r="R24" s="309">
        <f>+R23-T5A!N63</f>
        <v>0</v>
      </c>
    </row>
    <row r="25" spans="2:18" ht="13" x14ac:dyDescent="0.25">
      <c r="B25" s="310"/>
      <c r="C25" s="310"/>
      <c r="D25" s="310"/>
      <c r="E25" s="310"/>
      <c r="F25" s="311"/>
      <c r="G25" s="312"/>
      <c r="H25" s="312"/>
      <c r="I25" s="312"/>
      <c r="J25" s="312"/>
      <c r="N25" s="842"/>
      <c r="O25" s="842"/>
      <c r="P25" s="842"/>
    </row>
    <row r="26" spans="2:18" x14ac:dyDescent="0.25">
      <c r="G26" s="313" t="s">
        <v>32</v>
      </c>
      <c r="H26" s="306"/>
      <c r="N26" s="842"/>
      <c r="O26" s="842"/>
      <c r="P26" s="842"/>
    </row>
    <row r="27" spans="2:18" x14ac:dyDescent="0.25">
      <c r="G27" s="313" t="s">
        <v>33</v>
      </c>
      <c r="H27" s="306"/>
      <c r="N27" s="842"/>
      <c r="O27" s="842"/>
      <c r="P27" s="842"/>
    </row>
    <row r="28" spans="2:18" ht="60" customHeight="1" x14ac:dyDescent="0.25">
      <c r="B28" s="1231" t="s">
        <v>248</v>
      </c>
      <c r="C28" s="1232"/>
      <c r="D28" s="1232"/>
      <c r="E28" s="1233"/>
      <c r="F28" s="168"/>
      <c r="G28" s="166">
        <v>2015</v>
      </c>
      <c r="H28" s="166">
        <f>+G28+1</f>
        <v>2016</v>
      </c>
      <c r="I28" s="166">
        <f>+H28+1</f>
        <v>2017</v>
      </c>
      <c r="J28" s="166">
        <f>+I28+1</f>
        <v>2018</v>
      </c>
      <c r="K28" s="166">
        <f>+J28+1</f>
        <v>2019</v>
      </c>
      <c r="L28" s="166">
        <f t="shared" ref="L28:P28" si="3">+K28+1</f>
        <v>2020</v>
      </c>
      <c r="M28" s="166">
        <f t="shared" si="3"/>
        <v>2021</v>
      </c>
      <c r="N28" s="837">
        <f t="shared" si="3"/>
        <v>2022</v>
      </c>
      <c r="O28" s="837">
        <f t="shared" si="3"/>
        <v>2023</v>
      </c>
      <c r="P28" s="837">
        <f t="shared" si="3"/>
        <v>2024</v>
      </c>
      <c r="R28" s="166" t="s">
        <v>20</v>
      </c>
    </row>
    <row r="29" spans="2:18" s="301" customFormat="1" ht="12" customHeight="1" x14ac:dyDescent="0.25">
      <c r="B29" s="302"/>
      <c r="C29" s="302"/>
      <c r="D29" s="302"/>
      <c r="E29" s="302"/>
      <c r="F29" s="303"/>
      <c r="G29" s="304"/>
      <c r="H29" s="228"/>
      <c r="I29" s="228"/>
      <c r="N29" s="838"/>
      <c r="O29" s="838"/>
      <c r="P29" s="838"/>
      <c r="Q29" s="305"/>
    </row>
    <row r="30" spans="2:18" ht="36" customHeight="1" x14ac:dyDescent="0.25">
      <c r="B30" s="1254" t="s">
        <v>240</v>
      </c>
      <c r="C30" s="1255"/>
      <c r="D30" s="1255"/>
      <c r="E30" s="1256"/>
      <c r="F30" s="168"/>
      <c r="G30" s="992"/>
      <c r="H30" s="992"/>
      <c r="I30" s="992"/>
      <c r="J30" s="992"/>
      <c r="K30" s="992"/>
      <c r="L30" s="992"/>
      <c r="M30" s="992"/>
      <c r="N30" s="993"/>
      <c r="O30" s="993"/>
      <c r="P30" s="993"/>
      <c r="R30" s="992"/>
    </row>
    <row r="31" spans="2:18" ht="28.5" customHeight="1" x14ac:dyDescent="0.25">
      <c r="B31" s="1257" t="str">
        <f>"per 31/12/"&amp;$G$13</f>
        <v>per 31/12/2015</v>
      </c>
      <c r="C31" s="1258"/>
      <c r="D31" s="1258"/>
      <c r="E31" s="1259"/>
      <c r="F31" s="168"/>
      <c r="G31" s="255"/>
      <c r="H31" s="255"/>
      <c r="I31" s="255"/>
      <c r="J31" s="255"/>
      <c r="K31" s="255"/>
      <c r="L31" s="255"/>
      <c r="M31" s="255"/>
      <c r="N31" s="565"/>
      <c r="O31" s="565"/>
      <c r="P31" s="565"/>
      <c r="R31" s="991">
        <f t="shared" ref="R31:R94" si="4">SUM(G31:P31)</f>
        <v>0</v>
      </c>
    </row>
    <row r="32" spans="2:18" ht="28.5" customHeight="1" x14ac:dyDescent="0.25">
      <c r="B32" s="1257" t="str">
        <f>"per 31/12/"&amp;$H$13</f>
        <v>per 31/12/2016</v>
      </c>
      <c r="C32" s="1258"/>
      <c r="D32" s="1258"/>
      <c r="E32" s="1259"/>
      <c r="F32" s="168"/>
      <c r="G32" s="255"/>
      <c r="H32" s="255"/>
      <c r="I32" s="255"/>
      <c r="J32" s="255"/>
      <c r="K32" s="255"/>
      <c r="L32" s="255"/>
      <c r="M32" s="255"/>
      <c r="N32" s="565"/>
      <c r="O32" s="565"/>
      <c r="P32" s="565"/>
      <c r="R32" s="991">
        <f t="shared" si="4"/>
        <v>0</v>
      </c>
    </row>
    <row r="33" spans="2:18" ht="28.5" customHeight="1" x14ac:dyDescent="0.25">
      <c r="B33" s="1257" t="str">
        <f>"per 31/12/"&amp;$I$13</f>
        <v>per 31/12/2017</v>
      </c>
      <c r="C33" s="1258"/>
      <c r="D33" s="1258"/>
      <c r="E33" s="1259"/>
      <c r="F33" s="168"/>
      <c r="G33" s="255">
        <f>J238</f>
        <v>0</v>
      </c>
      <c r="H33" s="255"/>
      <c r="I33" s="255"/>
      <c r="J33" s="255"/>
      <c r="K33" s="255"/>
      <c r="L33" s="255"/>
      <c r="M33" s="255"/>
      <c r="N33" s="565"/>
      <c r="O33" s="565"/>
      <c r="P33" s="565"/>
      <c r="R33" s="991">
        <f t="shared" si="4"/>
        <v>0</v>
      </c>
    </row>
    <row r="34" spans="2:18" ht="28.5" customHeight="1" x14ac:dyDescent="0.25">
      <c r="B34" s="1257" t="str">
        <f>"per 31/12/"&amp;$J$13</f>
        <v>per 31/12/2018</v>
      </c>
      <c r="C34" s="1258"/>
      <c r="D34" s="1258"/>
      <c r="E34" s="1259"/>
      <c r="F34" s="168"/>
      <c r="G34" s="255">
        <f>L243</f>
        <v>0</v>
      </c>
      <c r="H34" s="255">
        <f>L244</f>
        <v>0</v>
      </c>
      <c r="I34" s="255"/>
      <c r="J34" s="255"/>
      <c r="K34" s="255"/>
      <c r="L34" s="255"/>
      <c r="M34" s="255"/>
      <c r="N34" s="565"/>
      <c r="O34" s="565"/>
      <c r="P34" s="565"/>
      <c r="R34" s="991">
        <f t="shared" si="4"/>
        <v>0</v>
      </c>
    </row>
    <row r="35" spans="2:18" ht="28.5" customHeight="1" x14ac:dyDescent="0.25">
      <c r="B35" s="1257" t="str">
        <f>"per 31/12/"&amp;$K$13</f>
        <v>per 31/12/2019</v>
      </c>
      <c r="C35" s="1258"/>
      <c r="D35" s="1258"/>
      <c r="E35" s="1259"/>
      <c r="F35" s="168"/>
      <c r="G35" s="255">
        <f>L250</f>
        <v>0</v>
      </c>
      <c r="H35" s="255">
        <f>L251</f>
        <v>0</v>
      </c>
      <c r="I35" s="255">
        <f>L252</f>
        <v>0</v>
      </c>
      <c r="J35" s="255"/>
      <c r="K35" s="255"/>
      <c r="L35" s="255"/>
      <c r="M35" s="255"/>
      <c r="N35" s="565"/>
      <c r="O35" s="565"/>
      <c r="P35" s="565"/>
      <c r="R35" s="991">
        <f t="shared" si="4"/>
        <v>0</v>
      </c>
    </row>
    <row r="36" spans="2:18" ht="28.5" customHeight="1" x14ac:dyDescent="0.25">
      <c r="B36" s="1257" t="str">
        <f>"per 31/12/"&amp;$L$13</f>
        <v>per 31/12/2020</v>
      </c>
      <c r="C36" s="1258"/>
      <c r="D36" s="1258"/>
      <c r="E36" s="1259"/>
      <c r="F36" s="168"/>
      <c r="G36" s="255">
        <f>L258</f>
        <v>0</v>
      </c>
      <c r="H36" s="255">
        <f>L259</f>
        <v>0</v>
      </c>
      <c r="I36" s="255">
        <f>L260</f>
        <v>0</v>
      </c>
      <c r="J36" s="255">
        <f>L261</f>
        <v>0</v>
      </c>
      <c r="K36" s="255"/>
      <c r="L36" s="255"/>
      <c r="M36" s="255"/>
      <c r="N36" s="565"/>
      <c r="O36" s="565"/>
      <c r="P36" s="565"/>
      <c r="R36" s="991">
        <f t="shared" si="4"/>
        <v>0</v>
      </c>
    </row>
    <row r="37" spans="2:18" ht="28.5" customHeight="1" x14ac:dyDescent="0.25">
      <c r="B37" s="1257" t="str">
        <f>"per 31/12/"&amp;$M$13</f>
        <v>per 31/12/2021</v>
      </c>
      <c r="C37" s="1258"/>
      <c r="D37" s="1258"/>
      <c r="E37" s="1259"/>
      <c r="F37" s="168"/>
      <c r="G37" s="255">
        <f>+H267</f>
        <v>0</v>
      </c>
      <c r="H37" s="255">
        <f>H268</f>
        <v>0</v>
      </c>
      <c r="I37" s="255">
        <f>H269</f>
        <v>0</v>
      </c>
      <c r="J37" s="255">
        <f>H270</f>
        <v>0</v>
      </c>
      <c r="K37" s="255">
        <f>H271</f>
        <v>0</v>
      </c>
      <c r="L37" s="255"/>
      <c r="M37" s="255"/>
      <c r="N37" s="565"/>
      <c r="O37" s="565"/>
      <c r="P37" s="565"/>
      <c r="R37" s="991">
        <f t="shared" si="4"/>
        <v>0</v>
      </c>
    </row>
    <row r="38" spans="2:18" ht="28.5" customHeight="1" x14ac:dyDescent="0.25">
      <c r="B38" s="1248" t="str">
        <f>"per 31/12/"&amp;$N$13</f>
        <v>per 31/12/2022</v>
      </c>
      <c r="C38" s="1249"/>
      <c r="D38" s="1249"/>
      <c r="E38" s="1250"/>
      <c r="F38" s="314"/>
      <c r="G38" s="565">
        <f>H277</f>
        <v>0</v>
      </c>
      <c r="H38" s="565">
        <f>H278</f>
        <v>0</v>
      </c>
      <c r="I38" s="565">
        <f>H279</f>
        <v>0</v>
      </c>
      <c r="J38" s="565">
        <f>H280</f>
        <v>0</v>
      </c>
      <c r="K38" s="565">
        <f>H281</f>
        <v>0</v>
      </c>
      <c r="L38" s="565">
        <f>H282</f>
        <v>0</v>
      </c>
      <c r="M38" s="565"/>
      <c r="N38" s="565"/>
      <c r="O38" s="565"/>
      <c r="P38" s="565"/>
      <c r="Q38" s="845"/>
      <c r="R38" s="994">
        <f t="shared" si="4"/>
        <v>0</v>
      </c>
    </row>
    <row r="39" spans="2:18" ht="28.5" customHeight="1" x14ac:dyDescent="0.25">
      <c r="B39" s="1248" t="str">
        <f>"per 31/12/"&amp;$O$13</f>
        <v>per 31/12/2023</v>
      </c>
      <c r="C39" s="1249"/>
      <c r="D39" s="1249"/>
      <c r="E39" s="1250"/>
      <c r="F39" s="314"/>
      <c r="G39" s="565"/>
      <c r="H39" s="565"/>
      <c r="I39" s="565"/>
      <c r="J39" s="565"/>
      <c r="K39" s="565"/>
      <c r="L39" s="565">
        <f>H288</f>
        <v>0</v>
      </c>
      <c r="M39" s="565">
        <f>H289</f>
        <v>0</v>
      </c>
      <c r="N39" s="565"/>
      <c r="O39" s="565"/>
      <c r="P39" s="565"/>
      <c r="Q39" s="845"/>
      <c r="R39" s="994">
        <f t="shared" si="4"/>
        <v>0</v>
      </c>
    </row>
    <row r="40" spans="2:18" ht="28.5" customHeight="1" x14ac:dyDescent="0.25">
      <c r="B40" s="1248" t="str">
        <f>"per 31/12/"&amp;$P$13</f>
        <v>per 31/12/2024</v>
      </c>
      <c r="C40" s="1249"/>
      <c r="D40" s="1249"/>
      <c r="E40" s="1250"/>
      <c r="F40" s="314"/>
      <c r="G40" s="565"/>
      <c r="H40" s="565"/>
      <c r="I40" s="565"/>
      <c r="J40" s="565"/>
      <c r="K40" s="565"/>
      <c r="L40" s="565"/>
      <c r="M40" s="565">
        <f>H295</f>
        <v>0</v>
      </c>
      <c r="N40" s="565">
        <f>H296</f>
        <v>0</v>
      </c>
      <c r="O40" s="565"/>
      <c r="P40" s="565"/>
      <c r="Q40" s="845"/>
      <c r="R40" s="994">
        <f t="shared" si="4"/>
        <v>0</v>
      </c>
    </row>
    <row r="41" spans="2:18" ht="27.75" customHeight="1" x14ac:dyDescent="0.25">
      <c r="B41" s="1254" t="s">
        <v>66</v>
      </c>
      <c r="C41" s="1255"/>
      <c r="D41" s="1255"/>
      <c r="E41" s="1256"/>
      <c r="F41" s="168"/>
      <c r="G41" s="992"/>
      <c r="H41" s="992"/>
      <c r="I41" s="992"/>
      <c r="J41" s="992"/>
      <c r="K41" s="992"/>
      <c r="L41" s="992"/>
      <c r="M41" s="992"/>
      <c r="N41" s="993"/>
      <c r="O41" s="993"/>
      <c r="P41" s="993"/>
      <c r="R41" s="992"/>
    </row>
    <row r="42" spans="2:18" ht="28.5" customHeight="1" x14ac:dyDescent="0.25">
      <c r="B42" s="1257" t="str">
        <f>"per 31/12/"&amp;$G$13</f>
        <v>per 31/12/2015</v>
      </c>
      <c r="C42" s="1258"/>
      <c r="D42" s="1258"/>
      <c r="E42" s="1259"/>
      <c r="F42" s="168"/>
      <c r="G42" s="255"/>
      <c r="H42" s="255"/>
      <c r="I42" s="255"/>
      <c r="J42" s="255"/>
      <c r="K42" s="255"/>
      <c r="L42" s="255"/>
      <c r="M42" s="255"/>
      <c r="N42" s="565"/>
      <c r="O42" s="565"/>
      <c r="P42" s="565"/>
      <c r="R42" s="991">
        <f t="shared" si="4"/>
        <v>0</v>
      </c>
    </row>
    <row r="43" spans="2:18" ht="28.5" customHeight="1" x14ac:dyDescent="0.25">
      <c r="B43" s="1257" t="str">
        <f>"per 31/12/"&amp;$H$13</f>
        <v>per 31/12/2016</v>
      </c>
      <c r="C43" s="1258"/>
      <c r="D43" s="1258"/>
      <c r="E43" s="1259"/>
      <c r="F43" s="168"/>
      <c r="G43" s="255"/>
      <c r="H43" s="255"/>
      <c r="I43" s="255"/>
      <c r="J43" s="255"/>
      <c r="K43" s="255"/>
      <c r="L43" s="255"/>
      <c r="M43" s="255"/>
      <c r="N43" s="565"/>
      <c r="O43" s="565"/>
      <c r="P43" s="565"/>
      <c r="R43" s="991">
        <f t="shared" si="4"/>
        <v>0</v>
      </c>
    </row>
    <row r="44" spans="2:18" ht="28.5" customHeight="1" x14ac:dyDescent="0.25">
      <c r="B44" s="1257" t="str">
        <f>"per 31/12/"&amp;$I$13</f>
        <v>per 31/12/2017</v>
      </c>
      <c r="C44" s="1258"/>
      <c r="D44" s="1258"/>
      <c r="E44" s="1259"/>
      <c r="F44" s="168"/>
      <c r="G44" s="255">
        <f>J312</f>
        <v>0</v>
      </c>
      <c r="H44" s="255"/>
      <c r="I44" s="255"/>
      <c r="J44" s="255"/>
      <c r="K44" s="255"/>
      <c r="L44" s="255"/>
      <c r="M44" s="255"/>
      <c r="N44" s="565"/>
      <c r="O44" s="565"/>
      <c r="P44" s="565"/>
      <c r="R44" s="991">
        <f t="shared" si="4"/>
        <v>0</v>
      </c>
    </row>
    <row r="45" spans="2:18" ht="28.5" customHeight="1" x14ac:dyDescent="0.25">
      <c r="B45" s="1257" t="str">
        <f>"per 31/12/"&amp;$J$13</f>
        <v>per 31/12/2018</v>
      </c>
      <c r="C45" s="1258"/>
      <c r="D45" s="1258"/>
      <c r="E45" s="1259"/>
      <c r="F45" s="168"/>
      <c r="G45" s="255">
        <f>L317</f>
        <v>0</v>
      </c>
      <c r="H45" s="255">
        <f>L318</f>
        <v>0</v>
      </c>
      <c r="I45" s="255"/>
      <c r="J45" s="255"/>
      <c r="K45" s="255"/>
      <c r="L45" s="255"/>
      <c r="M45" s="255"/>
      <c r="N45" s="565"/>
      <c r="O45" s="565"/>
      <c r="P45" s="565"/>
      <c r="R45" s="991">
        <f t="shared" si="4"/>
        <v>0</v>
      </c>
    </row>
    <row r="46" spans="2:18" ht="28.5" customHeight="1" x14ac:dyDescent="0.25">
      <c r="B46" s="1257" t="str">
        <f>"per 31/12/"&amp;$K$13</f>
        <v>per 31/12/2019</v>
      </c>
      <c r="C46" s="1258"/>
      <c r="D46" s="1258"/>
      <c r="E46" s="1259"/>
      <c r="F46" s="168"/>
      <c r="G46" s="255">
        <f>L324</f>
        <v>0</v>
      </c>
      <c r="H46" s="255">
        <f>L325</f>
        <v>0</v>
      </c>
      <c r="I46" s="255">
        <f>L326</f>
        <v>0</v>
      </c>
      <c r="J46" s="255"/>
      <c r="K46" s="255"/>
      <c r="L46" s="255"/>
      <c r="M46" s="255"/>
      <c r="N46" s="565"/>
      <c r="O46" s="565"/>
      <c r="P46" s="565"/>
      <c r="R46" s="991">
        <f t="shared" si="4"/>
        <v>0</v>
      </c>
    </row>
    <row r="47" spans="2:18" ht="28.5" customHeight="1" x14ac:dyDescent="0.25">
      <c r="B47" s="1257" t="str">
        <f>"per 31/12/"&amp;$L$13</f>
        <v>per 31/12/2020</v>
      </c>
      <c r="C47" s="1258"/>
      <c r="D47" s="1258"/>
      <c r="E47" s="1259"/>
      <c r="F47" s="168"/>
      <c r="G47" s="255">
        <f>L332</f>
        <v>0</v>
      </c>
      <c r="H47" s="255">
        <f>L333</f>
        <v>0</v>
      </c>
      <c r="I47" s="255">
        <f>L334</f>
        <v>0</v>
      </c>
      <c r="J47" s="255">
        <f>L335</f>
        <v>0</v>
      </c>
      <c r="K47" s="255"/>
      <c r="L47" s="255"/>
      <c r="M47" s="255"/>
      <c r="N47" s="565"/>
      <c r="O47" s="565"/>
      <c r="P47" s="565"/>
      <c r="R47" s="991">
        <f t="shared" si="4"/>
        <v>0</v>
      </c>
    </row>
    <row r="48" spans="2:18" ht="28.5" customHeight="1" x14ac:dyDescent="0.25">
      <c r="B48" s="1257" t="str">
        <f>"per 31/12/"&amp;$M$13</f>
        <v>per 31/12/2021</v>
      </c>
      <c r="C48" s="1258"/>
      <c r="D48" s="1258"/>
      <c r="E48" s="1259"/>
      <c r="F48" s="168"/>
      <c r="G48" s="255">
        <f>H341</f>
        <v>0</v>
      </c>
      <c r="H48" s="255">
        <f>H342</f>
        <v>0</v>
      </c>
      <c r="I48" s="255">
        <f>H343</f>
        <v>0</v>
      </c>
      <c r="J48" s="255">
        <f>H344</f>
        <v>0</v>
      </c>
      <c r="K48" s="255">
        <f>H345</f>
        <v>0</v>
      </c>
      <c r="L48" s="255"/>
      <c r="M48" s="255"/>
      <c r="N48" s="565"/>
      <c r="O48" s="565"/>
      <c r="P48" s="565"/>
      <c r="R48" s="991">
        <f t="shared" si="4"/>
        <v>0</v>
      </c>
    </row>
    <row r="49" spans="2:18" ht="28.5" customHeight="1" x14ac:dyDescent="0.25">
      <c r="B49" s="1248" t="str">
        <f>"per 31/12/"&amp;$N$13</f>
        <v>per 31/12/2022</v>
      </c>
      <c r="C49" s="1249"/>
      <c r="D49" s="1249"/>
      <c r="E49" s="1250"/>
      <c r="F49" s="314"/>
      <c r="G49" s="565">
        <f>H351</f>
        <v>0</v>
      </c>
      <c r="H49" s="565">
        <f>H352</f>
        <v>0</v>
      </c>
      <c r="I49" s="565">
        <f>H353</f>
        <v>0</v>
      </c>
      <c r="J49" s="565">
        <f>H354</f>
        <v>0</v>
      </c>
      <c r="K49" s="565">
        <f>H355</f>
        <v>0</v>
      </c>
      <c r="L49" s="565">
        <f>H356</f>
        <v>0</v>
      </c>
      <c r="M49" s="565"/>
      <c r="N49" s="565"/>
      <c r="O49" s="565"/>
      <c r="P49" s="565"/>
      <c r="Q49" s="845"/>
      <c r="R49" s="994">
        <f t="shared" si="4"/>
        <v>0</v>
      </c>
    </row>
    <row r="50" spans="2:18" ht="28.5" customHeight="1" x14ac:dyDescent="0.25">
      <c r="B50" s="1248" t="str">
        <f>"per 31/12/"&amp;$O$13</f>
        <v>per 31/12/2023</v>
      </c>
      <c r="C50" s="1249"/>
      <c r="D50" s="1249"/>
      <c r="E50" s="1250"/>
      <c r="F50" s="314"/>
      <c r="G50" s="565"/>
      <c r="H50" s="565"/>
      <c r="I50" s="565"/>
      <c r="J50" s="565"/>
      <c r="K50" s="565"/>
      <c r="L50" s="565">
        <f>H362</f>
        <v>0</v>
      </c>
      <c r="M50" s="565">
        <f>H363</f>
        <v>0</v>
      </c>
      <c r="N50" s="565"/>
      <c r="O50" s="565"/>
      <c r="P50" s="565"/>
      <c r="Q50" s="845"/>
      <c r="R50" s="994">
        <f t="shared" si="4"/>
        <v>0</v>
      </c>
    </row>
    <row r="51" spans="2:18" ht="28.5" customHeight="1" x14ac:dyDescent="0.25">
      <c r="B51" s="1248" t="str">
        <f>"per 31/12/"&amp;$P$13</f>
        <v>per 31/12/2024</v>
      </c>
      <c r="C51" s="1249"/>
      <c r="D51" s="1249"/>
      <c r="E51" s="1250"/>
      <c r="F51" s="314"/>
      <c r="G51" s="565"/>
      <c r="H51" s="565"/>
      <c r="I51" s="565"/>
      <c r="J51" s="565"/>
      <c r="K51" s="565"/>
      <c r="L51" s="565"/>
      <c r="M51" s="565">
        <f>H369</f>
        <v>0</v>
      </c>
      <c r="N51" s="565">
        <f>H370</f>
        <v>0</v>
      </c>
      <c r="O51" s="565"/>
      <c r="P51" s="565"/>
      <c r="Q51" s="845"/>
      <c r="R51" s="994">
        <f t="shared" si="4"/>
        <v>0</v>
      </c>
    </row>
    <row r="52" spans="2:18" ht="30" customHeight="1" x14ac:dyDescent="0.25">
      <c r="B52" s="1254" t="s">
        <v>205</v>
      </c>
      <c r="C52" s="1255"/>
      <c r="D52" s="1255"/>
      <c r="E52" s="1256"/>
      <c r="F52" s="168"/>
      <c r="G52" s="992"/>
      <c r="H52" s="992"/>
      <c r="I52" s="992"/>
      <c r="J52" s="992"/>
      <c r="K52" s="992"/>
      <c r="L52" s="992"/>
      <c r="M52" s="992"/>
      <c r="N52" s="993"/>
      <c r="O52" s="993"/>
      <c r="P52" s="993"/>
      <c r="R52" s="992"/>
    </row>
    <row r="53" spans="2:18" ht="28.5" customHeight="1" x14ac:dyDescent="0.25">
      <c r="B53" s="1257" t="str">
        <f>"per 31/12/"&amp;$G$13</f>
        <v>per 31/12/2015</v>
      </c>
      <c r="C53" s="1258"/>
      <c r="D53" s="1258"/>
      <c r="E53" s="1259"/>
      <c r="F53" s="168"/>
      <c r="G53" s="255"/>
      <c r="H53" s="255"/>
      <c r="I53" s="255"/>
      <c r="J53" s="255"/>
      <c r="K53" s="255"/>
      <c r="L53" s="255"/>
      <c r="M53" s="255"/>
      <c r="N53" s="565"/>
      <c r="O53" s="565"/>
      <c r="P53" s="565"/>
      <c r="R53" s="994"/>
    </row>
    <row r="54" spans="2:18" ht="28.5" customHeight="1" x14ac:dyDescent="0.25">
      <c r="B54" s="1257" t="str">
        <f>"per 31/12/"&amp;$H$13</f>
        <v>per 31/12/2016</v>
      </c>
      <c r="C54" s="1258"/>
      <c r="D54" s="1258"/>
      <c r="E54" s="1259"/>
      <c r="F54" s="168"/>
      <c r="G54" s="255"/>
      <c r="H54" s="255"/>
      <c r="I54" s="255"/>
      <c r="J54" s="255"/>
      <c r="K54" s="255"/>
      <c r="L54" s="255"/>
      <c r="M54" s="255"/>
      <c r="N54" s="565"/>
      <c r="O54" s="565"/>
      <c r="P54" s="565"/>
      <c r="R54" s="994"/>
    </row>
    <row r="55" spans="2:18" ht="28.5" customHeight="1" x14ac:dyDescent="0.25">
      <c r="B55" s="1257" t="str">
        <f>"per 31/12/"&amp;$I$13</f>
        <v>per 31/12/2017</v>
      </c>
      <c r="C55" s="1258"/>
      <c r="D55" s="1258"/>
      <c r="E55" s="1259"/>
      <c r="F55" s="168"/>
      <c r="G55" s="565"/>
      <c r="H55" s="255"/>
      <c r="I55" s="255"/>
      <c r="J55" s="255"/>
      <c r="K55" s="255"/>
      <c r="L55" s="255"/>
      <c r="M55" s="255"/>
      <c r="N55" s="565"/>
      <c r="O55" s="565"/>
      <c r="P55" s="565"/>
      <c r="R55" s="994"/>
    </row>
    <row r="56" spans="2:18" ht="28.5" customHeight="1" x14ac:dyDescent="0.25">
      <c r="B56" s="1257" t="str">
        <f>"per 31/12/"&amp;$J$13</f>
        <v>per 31/12/2018</v>
      </c>
      <c r="C56" s="1258"/>
      <c r="D56" s="1258"/>
      <c r="E56" s="1259"/>
      <c r="F56" s="168"/>
      <c r="G56" s="565"/>
      <c r="H56" s="565"/>
      <c r="I56" s="255"/>
      <c r="J56" s="255"/>
      <c r="K56" s="255"/>
      <c r="L56" s="255"/>
      <c r="M56" s="255"/>
      <c r="N56" s="565"/>
      <c r="O56" s="565"/>
      <c r="P56" s="565"/>
      <c r="R56" s="994"/>
    </row>
    <row r="57" spans="2:18" ht="28.5" customHeight="1" x14ac:dyDescent="0.25">
      <c r="B57" s="1257" t="str">
        <f>"per 31/12/"&amp;$K$13</f>
        <v>per 31/12/2019</v>
      </c>
      <c r="C57" s="1258"/>
      <c r="D57" s="1258"/>
      <c r="E57" s="1259"/>
      <c r="F57" s="168"/>
      <c r="G57" s="565"/>
      <c r="H57" s="565"/>
      <c r="I57" s="565"/>
      <c r="J57" s="255"/>
      <c r="K57" s="255"/>
      <c r="L57" s="255"/>
      <c r="M57" s="255"/>
      <c r="N57" s="565"/>
      <c r="O57" s="565"/>
      <c r="P57" s="565"/>
      <c r="R57" s="994"/>
    </row>
    <row r="58" spans="2:18" ht="28.5" customHeight="1" x14ac:dyDescent="0.25">
      <c r="B58" s="1257" t="str">
        <f>"per 31/12/"&amp;$L$13</f>
        <v>per 31/12/2020</v>
      </c>
      <c r="C58" s="1258"/>
      <c r="D58" s="1258"/>
      <c r="E58" s="1259"/>
      <c r="F58" s="168"/>
      <c r="G58" s="565"/>
      <c r="H58" s="565"/>
      <c r="I58" s="565"/>
      <c r="J58" s="565"/>
      <c r="K58" s="255"/>
      <c r="L58" s="255"/>
      <c r="M58" s="255"/>
      <c r="N58" s="565"/>
      <c r="O58" s="565"/>
      <c r="P58" s="565"/>
      <c r="R58" s="994"/>
    </row>
    <row r="59" spans="2:18" ht="28.5" customHeight="1" x14ac:dyDescent="0.25">
      <c r="B59" s="1257" t="str">
        <f>"per 31/12/"&amp;$M$13</f>
        <v>per 31/12/2021</v>
      </c>
      <c r="C59" s="1258"/>
      <c r="D59" s="1258"/>
      <c r="E59" s="1259"/>
      <c r="F59" s="168"/>
      <c r="G59" s="565"/>
      <c r="H59" s="565"/>
      <c r="I59" s="565"/>
      <c r="J59" s="565"/>
      <c r="K59" s="565"/>
      <c r="L59" s="255"/>
      <c r="M59" s="255"/>
      <c r="N59" s="565"/>
      <c r="O59" s="565"/>
      <c r="P59" s="565"/>
      <c r="R59" s="994"/>
    </row>
    <row r="60" spans="2:18" ht="28.5" customHeight="1" x14ac:dyDescent="0.25">
      <c r="B60" s="1248" t="str">
        <f>"per 31/12/"&amp;$N$13</f>
        <v>per 31/12/2022</v>
      </c>
      <c r="C60" s="1249"/>
      <c r="D60" s="1249"/>
      <c r="E60" s="1250"/>
      <c r="F60" s="314"/>
      <c r="G60" s="565"/>
      <c r="H60" s="565"/>
      <c r="I60" s="565"/>
      <c r="J60" s="565"/>
      <c r="K60" s="565"/>
      <c r="L60" s="565"/>
      <c r="M60" s="565"/>
      <c r="N60" s="565"/>
      <c r="O60" s="565"/>
      <c r="P60" s="565"/>
      <c r="Q60" s="845"/>
      <c r="R60" s="994"/>
    </row>
    <row r="61" spans="2:18" ht="28.5" customHeight="1" x14ac:dyDescent="0.25">
      <c r="B61" s="1248" t="str">
        <f>"per 31/12/"&amp;$O$13</f>
        <v>per 31/12/2023</v>
      </c>
      <c r="C61" s="1249"/>
      <c r="D61" s="1249"/>
      <c r="E61" s="1250"/>
      <c r="F61" s="314"/>
      <c r="G61" s="565"/>
      <c r="H61" s="565"/>
      <c r="I61" s="565"/>
      <c r="J61" s="565"/>
      <c r="K61" s="565"/>
      <c r="L61" s="565"/>
      <c r="M61" s="565"/>
      <c r="N61" s="565"/>
      <c r="O61" s="565"/>
      <c r="P61" s="565"/>
      <c r="Q61" s="845"/>
      <c r="R61" s="994">
        <f t="shared" si="4"/>
        <v>0</v>
      </c>
    </row>
    <row r="62" spans="2:18" ht="28.5" customHeight="1" x14ac:dyDescent="0.25">
      <c r="B62" s="1248" t="str">
        <f>"per 31/12/"&amp;$P$13</f>
        <v>per 31/12/2024</v>
      </c>
      <c r="C62" s="1249"/>
      <c r="D62" s="1249"/>
      <c r="E62" s="1250"/>
      <c r="F62" s="314"/>
      <c r="G62" s="565"/>
      <c r="H62" s="565"/>
      <c r="I62" s="565"/>
      <c r="J62" s="565"/>
      <c r="K62" s="565"/>
      <c r="L62" s="565"/>
      <c r="M62" s="565"/>
      <c r="N62" s="565"/>
      <c r="O62" s="565"/>
      <c r="P62" s="565"/>
      <c r="Q62" s="845"/>
      <c r="R62" s="994"/>
    </row>
    <row r="63" spans="2:18" ht="30" customHeight="1" x14ac:dyDescent="0.25">
      <c r="B63" s="1254" t="s">
        <v>67</v>
      </c>
      <c r="C63" s="1255"/>
      <c r="D63" s="1255"/>
      <c r="E63" s="1256"/>
      <c r="F63" s="168"/>
      <c r="G63" s="992"/>
      <c r="H63" s="992"/>
      <c r="I63" s="992"/>
      <c r="J63" s="992"/>
      <c r="K63" s="992"/>
      <c r="L63" s="992"/>
      <c r="M63" s="992"/>
      <c r="N63" s="993"/>
      <c r="O63" s="993"/>
      <c r="P63" s="993"/>
      <c r="R63" s="992"/>
    </row>
    <row r="64" spans="2:18" ht="28.5" customHeight="1" x14ac:dyDescent="0.25">
      <c r="B64" s="1257" t="str">
        <f>"per 31/12/"&amp;$G$13</f>
        <v>per 31/12/2015</v>
      </c>
      <c r="C64" s="1258"/>
      <c r="D64" s="1258"/>
      <c r="E64" s="1259"/>
      <c r="F64" s="168"/>
      <c r="G64" s="255"/>
      <c r="H64" s="255"/>
      <c r="I64" s="255"/>
      <c r="J64" s="255"/>
      <c r="K64" s="255"/>
      <c r="L64" s="255"/>
      <c r="M64" s="255"/>
      <c r="N64" s="565"/>
      <c r="O64" s="565"/>
      <c r="P64" s="565"/>
      <c r="R64" s="991">
        <f t="shared" si="4"/>
        <v>0</v>
      </c>
    </row>
    <row r="65" spans="2:18" ht="28.5" customHeight="1" x14ac:dyDescent="0.25">
      <c r="B65" s="1257" t="str">
        <f>"per 31/12/"&amp;$H$13</f>
        <v>per 31/12/2016</v>
      </c>
      <c r="C65" s="1258"/>
      <c r="D65" s="1258"/>
      <c r="E65" s="1259"/>
      <c r="F65" s="168"/>
      <c r="G65" s="255"/>
      <c r="H65" s="255"/>
      <c r="I65" s="255"/>
      <c r="J65" s="255"/>
      <c r="K65" s="255"/>
      <c r="L65" s="255"/>
      <c r="M65" s="255"/>
      <c r="N65" s="565"/>
      <c r="O65" s="565"/>
      <c r="P65" s="565"/>
      <c r="R65" s="991">
        <f t="shared" si="4"/>
        <v>0</v>
      </c>
    </row>
    <row r="66" spans="2:18" ht="28.5" customHeight="1" x14ac:dyDescent="0.25">
      <c r="B66" s="1257" t="str">
        <f>"per 31/12/"&amp;$I$13</f>
        <v>per 31/12/2017</v>
      </c>
      <c r="C66" s="1258"/>
      <c r="D66" s="1258"/>
      <c r="E66" s="1259"/>
      <c r="F66" s="168"/>
      <c r="G66" s="255">
        <f>J398</f>
        <v>0</v>
      </c>
      <c r="H66" s="255"/>
      <c r="I66" s="255"/>
      <c r="J66" s="255"/>
      <c r="K66" s="255"/>
      <c r="L66" s="255"/>
      <c r="M66" s="255"/>
      <c r="N66" s="565"/>
      <c r="O66" s="565"/>
      <c r="P66" s="565"/>
      <c r="R66" s="991">
        <f t="shared" si="4"/>
        <v>0</v>
      </c>
    </row>
    <row r="67" spans="2:18" ht="28.5" customHeight="1" x14ac:dyDescent="0.25">
      <c r="B67" s="1257" t="str">
        <f>"per 31/12/"&amp;$J$13</f>
        <v>per 31/12/2018</v>
      </c>
      <c r="C67" s="1258"/>
      <c r="D67" s="1258"/>
      <c r="E67" s="1259"/>
      <c r="F67" s="168"/>
      <c r="G67" s="255">
        <f>L403</f>
        <v>0</v>
      </c>
      <c r="H67" s="255">
        <f>L404</f>
        <v>0</v>
      </c>
      <c r="I67" s="255"/>
      <c r="J67" s="255"/>
      <c r="K67" s="255"/>
      <c r="L67" s="255"/>
      <c r="M67" s="255"/>
      <c r="N67" s="565"/>
      <c r="O67" s="565"/>
      <c r="P67" s="565"/>
      <c r="R67" s="991">
        <f t="shared" si="4"/>
        <v>0</v>
      </c>
    </row>
    <row r="68" spans="2:18" ht="28.5" customHeight="1" x14ac:dyDescent="0.25">
      <c r="B68" s="1257" t="str">
        <f>"per 31/12/"&amp;$K$13</f>
        <v>per 31/12/2019</v>
      </c>
      <c r="C68" s="1258"/>
      <c r="D68" s="1258"/>
      <c r="E68" s="1259"/>
      <c r="F68" s="168"/>
      <c r="G68" s="255">
        <f>L410</f>
        <v>0</v>
      </c>
      <c r="H68" s="255">
        <f>L411</f>
        <v>0</v>
      </c>
      <c r="I68" s="255">
        <f>L412</f>
        <v>0</v>
      </c>
      <c r="J68" s="255"/>
      <c r="K68" s="255"/>
      <c r="L68" s="255"/>
      <c r="M68" s="255"/>
      <c r="N68" s="565"/>
      <c r="O68" s="565"/>
      <c r="P68" s="565"/>
      <c r="R68" s="991">
        <f t="shared" si="4"/>
        <v>0</v>
      </c>
    </row>
    <row r="69" spans="2:18" ht="28.5" customHeight="1" x14ac:dyDescent="0.25">
      <c r="B69" s="1257" t="str">
        <f>"per 31/12/"&amp;$L$13</f>
        <v>per 31/12/2020</v>
      </c>
      <c r="C69" s="1258"/>
      <c r="D69" s="1258"/>
      <c r="E69" s="1259"/>
      <c r="F69" s="168"/>
      <c r="G69" s="255">
        <f>L418</f>
        <v>0</v>
      </c>
      <c r="H69" s="255">
        <f>L419</f>
        <v>0</v>
      </c>
      <c r="I69" s="255">
        <f>L420</f>
        <v>0</v>
      </c>
      <c r="J69" s="255">
        <f>L421</f>
        <v>0</v>
      </c>
      <c r="K69" s="255"/>
      <c r="L69" s="255"/>
      <c r="M69" s="255"/>
      <c r="N69" s="565"/>
      <c r="O69" s="565"/>
      <c r="P69" s="565"/>
      <c r="R69" s="991">
        <f t="shared" si="4"/>
        <v>0</v>
      </c>
    </row>
    <row r="70" spans="2:18" ht="28.5" customHeight="1" x14ac:dyDescent="0.25">
      <c r="B70" s="1257" t="str">
        <f>"per 31/12/"&amp;$M$13</f>
        <v>per 31/12/2021</v>
      </c>
      <c r="C70" s="1258"/>
      <c r="D70" s="1258"/>
      <c r="E70" s="1259"/>
      <c r="F70" s="168"/>
      <c r="G70" s="255">
        <f>H427</f>
        <v>0</v>
      </c>
      <c r="H70" s="255">
        <f>H428</f>
        <v>0</v>
      </c>
      <c r="I70" s="255">
        <f>H429</f>
        <v>0</v>
      </c>
      <c r="J70" s="255">
        <f>H430</f>
        <v>0</v>
      </c>
      <c r="K70" s="255">
        <f>H431</f>
        <v>0</v>
      </c>
      <c r="L70" s="255"/>
      <c r="M70" s="255"/>
      <c r="N70" s="565"/>
      <c r="O70" s="565"/>
      <c r="P70" s="565"/>
      <c r="R70" s="991">
        <f t="shared" si="4"/>
        <v>0</v>
      </c>
    </row>
    <row r="71" spans="2:18" ht="28.5" customHeight="1" x14ac:dyDescent="0.25">
      <c r="B71" s="1248" t="str">
        <f>"per 31/12/"&amp;$N$13</f>
        <v>per 31/12/2022</v>
      </c>
      <c r="C71" s="1249"/>
      <c r="D71" s="1249"/>
      <c r="E71" s="1250"/>
      <c r="F71" s="314"/>
      <c r="G71" s="565">
        <f>H437</f>
        <v>0</v>
      </c>
      <c r="H71" s="565">
        <f>H438</f>
        <v>0</v>
      </c>
      <c r="I71" s="565">
        <f>H439</f>
        <v>0</v>
      </c>
      <c r="J71" s="565">
        <f>H440</f>
        <v>0</v>
      </c>
      <c r="K71" s="565">
        <f>H441</f>
        <v>0</v>
      </c>
      <c r="L71" s="565">
        <f>H442</f>
        <v>0</v>
      </c>
      <c r="M71" s="565"/>
      <c r="N71" s="565"/>
      <c r="O71" s="565"/>
      <c r="P71" s="565"/>
      <c r="Q71" s="845"/>
      <c r="R71" s="994">
        <f t="shared" si="4"/>
        <v>0</v>
      </c>
    </row>
    <row r="72" spans="2:18" ht="28.5" customHeight="1" x14ac:dyDescent="0.25">
      <c r="B72" s="1248" t="str">
        <f>"per 31/12/"&amp;$O$13</f>
        <v>per 31/12/2023</v>
      </c>
      <c r="C72" s="1249"/>
      <c r="D72" s="1249"/>
      <c r="E72" s="1250"/>
      <c r="F72" s="314"/>
      <c r="G72" s="565"/>
      <c r="H72" s="565"/>
      <c r="I72" s="565"/>
      <c r="J72" s="565"/>
      <c r="K72" s="565"/>
      <c r="L72" s="565">
        <f>H448</f>
        <v>0</v>
      </c>
      <c r="M72" s="565">
        <f>H449</f>
        <v>0</v>
      </c>
      <c r="N72" s="565"/>
      <c r="O72" s="565"/>
      <c r="P72" s="565"/>
      <c r="Q72" s="845"/>
      <c r="R72" s="994">
        <f t="shared" si="4"/>
        <v>0</v>
      </c>
    </row>
    <row r="73" spans="2:18" ht="28.5" customHeight="1" x14ac:dyDescent="0.25">
      <c r="B73" s="1248" t="str">
        <f>"per 31/12/"&amp;$P$13</f>
        <v>per 31/12/2024</v>
      </c>
      <c r="C73" s="1249"/>
      <c r="D73" s="1249"/>
      <c r="E73" s="1250"/>
      <c r="F73" s="314"/>
      <c r="G73" s="565"/>
      <c r="H73" s="565"/>
      <c r="I73" s="565"/>
      <c r="J73" s="565"/>
      <c r="K73" s="565"/>
      <c r="L73" s="565"/>
      <c r="M73" s="565">
        <f>H455</f>
        <v>0</v>
      </c>
      <c r="N73" s="565">
        <f>H456</f>
        <v>0</v>
      </c>
      <c r="O73" s="565"/>
      <c r="P73" s="565"/>
      <c r="Q73" s="845"/>
      <c r="R73" s="994">
        <f t="shared" si="4"/>
        <v>0</v>
      </c>
    </row>
    <row r="74" spans="2:18" ht="33.75" customHeight="1" x14ac:dyDescent="0.25">
      <c r="B74" s="1260" t="s">
        <v>119</v>
      </c>
      <c r="C74" s="1260"/>
      <c r="D74" s="1260"/>
      <c r="E74" s="1260"/>
      <c r="F74" s="168"/>
      <c r="G74" s="992"/>
      <c r="H74" s="992"/>
      <c r="I74" s="992"/>
      <c r="J74" s="992"/>
      <c r="K74" s="992"/>
      <c r="L74" s="992"/>
      <c r="M74" s="992"/>
      <c r="N74" s="993"/>
      <c r="O74" s="993"/>
      <c r="P74" s="993"/>
      <c r="R74" s="992"/>
    </row>
    <row r="75" spans="2:18" ht="28.5" customHeight="1" x14ac:dyDescent="0.25">
      <c r="B75" s="1257" t="str">
        <f>"per 31/12/"&amp;$G$13</f>
        <v>per 31/12/2015</v>
      </c>
      <c r="C75" s="1258"/>
      <c r="D75" s="1258"/>
      <c r="E75" s="1259"/>
      <c r="F75" s="168"/>
      <c r="G75" s="255"/>
      <c r="H75" s="255"/>
      <c r="I75" s="255"/>
      <c r="J75" s="255"/>
      <c r="K75" s="255"/>
      <c r="L75" s="255"/>
      <c r="M75" s="255"/>
      <c r="N75" s="565"/>
      <c r="O75" s="565"/>
      <c r="P75" s="565"/>
      <c r="R75" s="991">
        <f t="shared" si="4"/>
        <v>0</v>
      </c>
    </row>
    <row r="76" spans="2:18" ht="28.5" customHeight="1" x14ac:dyDescent="0.25">
      <c r="B76" s="1257" t="str">
        <f>"per 31/12/"&amp;$H$13</f>
        <v>per 31/12/2016</v>
      </c>
      <c r="C76" s="1258"/>
      <c r="D76" s="1258"/>
      <c r="E76" s="1259"/>
      <c r="F76" s="168"/>
      <c r="G76" s="255"/>
      <c r="H76" s="255"/>
      <c r="I76" s="255"/>
      <c r="J76" s="255"/>
      <c r="K76" s="255"/>
      <c r="L76" s="255"/>
      <c r="M76" s="255"/>
      <c r="N76" s="565"/>
      <c r="O76" s="565"/>
      <c r="P76" s="565"/>
      <c r="R76" s="991">
        <f t="shared" si="4"/>
        <v>0</v>
      </c>
    </row>
    <row r="77" spans="2:18" ht="28.5" customHeight="1" x14ac:dyDescent="0.25">
      <c r="B77" s="1257" t="str">
        <f>"per 31/12/"&amp;$I$13</f>
        <v>per 31/12/2017</v>
      </c>
      <c r="C77" s="1258"/>
      <c r="D77" s="1258"/>
      <c r="E77" s="1259"/>
      <c r="F77" s="168"/>
      <c r="G77" s="255">
        <f>J473</f>
        <v>0</v>
      </c>
      <c r="H77" s="255"/>
      <c r="I77" s="255"/>
      <c r="J77" s="255"/>
      <c r="K77" s="255"/>
      <c r="L77" s="255"/>
      <c r="M77" s="255"/>
      <c r="N77" s="565"/>
      <c r="O77" s="565"/>
      <c r="P77" s="565"/>
      <c r="R77" s="991">
        <f t="shared" si="4"/>
        <v>0</v>
      </c>
    </row>
    <row r="78" spans="2:18" ht="28.5" customHeight="1" x14ac:dyDescent="0.25">
      <c r="B78" s="1257" t="str">
        <f>"per 31/12/"&amp;$J$13</f>
        <v>per 31/12/2018</v>
      </c>
      <c r="C78" s="1258"/>
      <c r="D78" s="1258"/>
      <c r="E78" s="1259"/>
      <c r="F78" s="168"/>
      <c r="G78" s="255">
        <f>L478</f>
        <v>0</v>
      </c>
      <c r="H78" s="255">
        <f>L479</f>
        <v>0</v>
      </c>
      <c r="I78" s="255"/>
      <c r="J78" s="255"/>
      <c r="K78" s="255"/>
      <c r="L78" s="255"/>
      <c r="M78" s="255"/>
      <c r="N78" s="565"/>
      <c r="O78" s="565"/>
      <c r="P78" s="565"/>
      <c r="R78" s="991">
        <f t="shared" si="4"/>
        <v>0</v>
      </c>
    </row>
    <row r="79" spans="2:18" ht="28.5" customHeight="1" x14ac:dyDescent="0.25">
      <c r="B79" s="1257" t="str">
        <f>"per 31/12/"&amp;$K$13</f>
        <v>per 31/12/2019</v>
      </c>
      <c r="C79" s="1258"/>
      <c r="D79" s="1258"/>
      <c r="E79" s="1259"/>
      <c r="F79" s="168"/>
      <c r="G79" s="255">
        <f>L485</f>
        <v>0</v>
      </c>
      <c r="H79" s="255">
        <f>L486</f>
        <v>0</v>
      </c>
      <c r="I79" s="255">
        <f>L487</f>
        <v>0</v>
      </c>
      <c r="J79" s="255"/>
      <c r="K79" s="255"/>
      <c r="L79" s="255"/>
      <c r="M79" s="255"/>
      <c r="N79" s="565"/>
      <c r="O79" s="565"/>
      <c r="P79" s="565"/>
      <c r="R79" s="991">
        <f t="shared" si="4"/>
        <v>0</v>
      </c>
    </row>
    <row r="80" spans="2:18" ht="28.5" customHeight="1" x14ac:dyDescent="0.25">
      <c r="B80" s="1257" t="str">
        <f>"per 31/12/"&amp;$L$13</f>
        <v>per 31/12/2020</v>
      </c>
      <c r="C80" s="1258"/>
      <c r="D80" s="1258"/>
      <c r="E80" s="1259"/>
      <c r="F80" s="168"/>
      <c r="G80" s="255">
        <f>L493</f>
        <v>0</v>
      </c>
      <c r="H80" s="255">
        <f>L494</f>
        <v>0</v>
      </c>
      <c r="I80" s="255">
        <f>L495</f>
        <v>0</v>
      </c>
      <c r="J80" s="255">
        <f>L496</f>
        <v>0</v>
      </c>
      <c r="K80" s="255"/>
      <c r="L80" s="255"/>
      <c r="M80" s="255"/>
      <c r="N80" s="565"/>
      <c r="O80" s="565"/>
      <c r="P80" s="565"/>
      <c r="R80" s="991">
        <f t="shared" si="4"/>
        <v>0</v>
      </c>
    </row>
    <row r="81" spans="2:18" ht="28.5" customHeight="1" x14ac:dyDescent="0.25">
      <c r="B81" s="1257" t="str">
        <f>"per 31/12/"&amp;$M$13</f>
        <v>per 31/12/2021</v>
      </c>
      <c r="C81" s="1258"/>
      <c r="D81" s="1258"/>
      <c r="E81" s="1259"/>
      <c r="F81" s="168"/>
      <c r="G81" s="255">
        <f>H502</f>
        <v>0</v>
      </c>
      <c r="H81" s="255">
        <f>H503</f>
        <v>0</v>
      </c>
      <c r="I81" s="255">
        <f>H504</f>
        <v>0</v>
      </c>
      <c r="J81" s="255">
        <f>H505</f>
        <v>0</v>
      </c>
      <c r="K81" s="255">
        <f>H506</f>
        <v>0</v>
      </c>
      <c r="L81" s="255"/>
      <c r="M81" s="255"/>
      <c r="N81" s="565"/>
      <c r="O81" s="565"/>
      <c r="P81" s="565"/>
      <c r="R81" s="991">
        <f t="shared" si="4"/>
        <v>0</v>
      </c>
    </row>
    <row r="82" spans="2:18" ht="28.5" customHeight="1" x14ac:dyDescent="0.25">
      <c r="B82" s="1248" t="str">
        <f>"per 31/12/"&amp;$N$13</f>
        <v>per 31/12/2022</v>
      </c>
      <c r="C82" s="1249"/>
      <c r="D82" s="1249"/>
      <c r="E82" s="1250"/>
      <c r="F82" s="314"/>
      <c r="G82" s="565">
        <f>H512</f>
        <v>0</v>
      </c>
      <c r="H82" s="565">
        <f>H513</f>
        <v>0</v>
      </c>
      <c r="I82" s="565">
        <f>H514</f>
        <v>0</v>
      </c>
      <c r="J82" s="565">
        <f>H515</f>
        <v>0</v>
      </c>
      <c r="K82" s="565">
        <f>H516</f>
        <v>0</v>
      </c>
      <c r="L82" s="565">
        <f>H517</f>
        <v>0</v>
      </c>
      <c r="M82" s="565"/>
      <c r="N82" s="565"/>
      <c r="O82" s="565"/>
      <c r="P82" s="565"/>
      <c r="Q82" s="845"/>
      <c r="R82" s="994">
        <f t="shared" si="4"/>
        <v>0</v>
      </c>
    </row>
    <row r="83" spans="2:18" ht="28.5" customHeight="1" x14ac:dyDescent="0.25">
      <c r="B83" s="1248" t="str">
        <f>"per 31/12/"&amp;$O$13</f>
        <v>per 31/12/2023</v>
      </c>
      <c r="C83" s="1249"/>
      <c r="D83" s="1249"/>
      <c r="E83" s="1250"/>
      <c r="F83" s="314"/>
      <c r="G83" s="565"/>
      <c r="H83" s="565"/>
      <c r="I83" s="565"/>
      <c r="J83" s="565"/>
      <c r="K83" s="565"/>
      <c r="L83" s="565">
        <f>+H523</f>
        <v>0</v>
      </c>
      <c r="M83" s="565"/>
      <c r="N83" s="565"/>
      <c r="O83" s="565"/>
      <c r="P83" s="565"/>
      <c r="Q83" s="845"/>
      <c r="R83" s="994">
        <f t="shared" si="4"/>
        <v>0</v>
      </c>
    </row>
    <row r="84" spans="2:18" ht="28.5" customHeight="1" x14ac:dyDescent="0.25">
      <c r="B84" s="1248" t="str">
        <f>"per 31/12/"&amp;$P$13</f>
        <v>per 31/12/2024</v>
      </c>
      <c r="C84" s="1249"/>
      <c r="D84" s="1249"/>
      <c r="E84" s="1250"/>
      <c r="F84" s="314"/>
      <c r="G84" s="565"/>
      <c r="H84" s="565"/>
      <c r="I84" s="565"/>
      <c r="J84" s="565"/>
      <c r="K84" s="565"/>
      <c r="L84" s="565"/>
      <c r="M84" s="565"/>
      <c r="N84" s="565"/>
      <c r="O84" s="565"/>
      <c r="P84" s="565"/>
      <c r="Q84" s="845"/>
      <c r="R84" s="994"/>
    </row>
    <row r="85" spans="2:18" ht="26.25" customHeight="1" x14ac:dyDescent="0.25">
      <c r="B85" s="1254" t="s">
        <v>118</v>
      </c>
      <c r="C85" s="1255"/>
      <c r="D85" s="1255"/>
      <c r="E85" s="1256"/>
      <c r="F85" s="168"/>
      <c r="G85" s="992"/>
      <c r="H85" s="992"/>
      <c r="I85" s="992"/>
      <c r="J85" s="992"/>
      <c r="K85" s="992"/>
      <c r="L85" s="992"/>
      <c r="M85" s="992"/>
      <c r="N85" s="993"/>
      <c r="O85" s="993"/>
      <c r="P85" s="993"/>
      <c r="R85" s="992"/>
    </row>
    <row r="86" spans="2:18" ht="28.5" customHeight="1" x14ac:dyDescent="0.25">
      <c r="B86" s="1257" t="str">
        <f>"per 31/12/"&amp;$G$13</f>
        <v>per 31/12/2015</v>
      </c>
      <c r="C86" s="1258"/>
      <c r="D86" s="1258"/>
      <c r="E86" s="1259"/>
      <c r="F86" s="168"/>
      <c r="G86" s="255"/>
      <c r="H86" s="255"/>
      <c r="I86" s="255"/>
      <c r="J86" s="255"/>
      <c r="K86" s="255"/>
      <c r="L86" s="255"/>
      <c r="M86" s="255"/>
      <c r="N86" s="565"/>
      <c r="O86" s="565"/>
      <c r="P86" s="565"/>
      <c r="R86" s="991">
        <f t="shared" si="4"/>
        <v>0</v>
      </c>
    </row>
    <row r="87" spans="2:18" ht="28.5" customHeight="1" x14ac:dyDescent="0.25">
      <c r="B87" s="1257" t="str">
        <f>"per 31/12/"&amp;$H$13</f>
        <v>per 31/12/2016</v>
      </c>
      <c r="C87" s="1258"/>
      <c r="D87" s="1258"/>
      <c r="E87" s="1259"/>
      <c r="F87" s="168"/>
      <c r="G87" s="255"/>
      <c r="H87" s="255"/>
      <c r="I87" s="255"/>
      <c r="J87" s="255"/>
      <c r="K87" s="255"/>
      <c r="L87" s="255"/>
      <c r="M87" s="255"/>
      <c r="N87" s="565"/>
      <c r="O87" s="565"/>
      <c r="P87" s="565"/>
      <c r="R87" s="991">
        <f t="shared" si="4"/>
        <v>0</v>
      </c>
    </row>
    <row r="88" spans="2:18" ht="28.5" customHeight="1" x14ac:dyDescent="0.25">
      <c r="B88" s="1257" t="str">
        <f>"per 31/12/"&amp;$I$13</f>
        <v>per 31/12/2017</v>
      </c>
      <c r="C88" s="1258"/>
      <c r="D88" s="1258"/>
      <c r="E88" s="1259"/>
      <c r="F88" s="168"/>
      <c r="G88" s="255">
        <f>J539</f>
        <v>0</v>
      </c>
      <c r="H88" s="255"/>
      <c r="I88" s="255"/>
      <c r="J88" s="255"/>
      <c r="K88" s="255"/>
      <c r="L88" s="255"/>
      <c r="M88" s="255"/>
      <c r="N88" s="565"/>
      <c r="O88" s="565"/>
      <c r="P88" s="565"/>
      <c r="R88" s="991">
        <f t="shared" si="4"/>
        <v>0</v>
      </c>
    </row>
    <row r="89" spans="2:18" ht="28.5" customHeight="1" x14ac:dyDescent="0.25">
      <c r="B89" s="1257" t="str">
        <f>"per 31/12/"&amp;$J$13</f>
        <v>per 31/12/2018</v>
      </c>
      <c r="C89" s="1258"/>
      <c r="D89" s="1258"/>
      <c r="E89" s="1259"/>
      <c r="F89" s="168"/>
      <c r="G89" s="255">
        <f>L544</f>
        <v>0</v>
      </c>
      <c r="H89" s="255">
        <f>L545</f>
        <v>0</v>
      </c>
      <c r="I89" s="255"/>
      <c r="J89" s="255"/>
      <c r="K89" s="255"/>
      <c r="L89" s="255"/>
      <c r="M89" s="255"/>
      <c r="N89" s="565"/>
      <c r="O89" s="565"/>
      <c r="P89" s="565"/>
      <c r="R89" s="991">
        <f t="shared" si="4"/>
        <v>0</v>
      </c>
    </row>
    <row r="90" spans="2:18" ht="28.5" customHeight="1" x14ac:dyDescent="0.25">
      <c r="B90" s="1257" t="str">
        <f>"per 31/12/"&amp;$K$13</f>
        <v>per 31/12/2019</v>
      </c>
      <c r="C90" s="1258"/>
      <c r="D90" s="1258"/>
      <c r="E90" s="1259"/>
      <c r="F90" s="168"/>
      <c r="G90" s="255">
        <f>L551</f>
        <v>0</v>
      </c>
      <c r="H90" s="255">
        <f>L552</f>
        <v>0</v>
      </c>
      <c r="I90" s="255">
        <f>L553</f>
        <v>0</v>
      </c>
      <c r="J90" s="255"/>
      <c r="K90" s="255"/>
      <c r="L90" s="255"/>
      <c r="M90" s="255"/>
      <c r="N90" s="565"/>
      <c r="O90" s="565"/>
      <c r="P90" s="565"/>
      <c r="R90" s="991">
        <f t="shared" si="4"/>
        <v>0</v>
      </c>
    </row>
    <row r="91" spans="2:18" ht="28.5" customHeight="1" x14ac:dyDescent="0.25">
      <c r="B91" s="1257" t="str">
        <f>"per 31/12/"&amp;$L$13</f>
        <v>per 31/12/2020</v>
      </c>
      <c r="C91" s="1258"/>
      <c r="D91" s="1258"/>
      <c r="E91" s="1259"/>
      <c r="F91" s="168"/>
      <c r="G91" s="255">
        <f>L559</f>
        <v>0</v>
      </c>
      <c r="H91" s="255">
        <f>L560</f>
        <v>0</v>
      </c>
      <c r="I91" s="255">
        <f>L561</f>
        <v>0</v>
      </c>
      <c r="J91" s="255">
        <f>L562</f>
        <v>0</v>
      </c>
      <c r="K91" s="255"/>
      <c r="L91" s="255"/>
      <c r="M91" s="255"/>
      <c r="N91" s="565"/>
      <c r="O91" s="565"/>
      <c r="P91" s="565"/>
      <c r="R91" s="991">
        <f t="shared" si="4"/>
        <v>0</v>
      </c>
    </row>
    <row r="92" spans="2:18" ht="28.5" customHeight="1" x14ac:dyDescent="0.25">
      <c r="B92" s="1257" t="str">
        <f>"per 31/12/"&amp;$M$13</f>
        <v>per 31/12/2021</v>
      </c>
      <c r="C92" s="1258"/>
      <c r="D92" s="1258"/>
      <c r="E92" s="1259"/>
      <c r="F92" s="168"/>
      <c r="G92" s="255">
        <f>H568</f>
        <v>0</v>
      </c>
      <c r="H92" s="255">
        <f>H569</f>
        <v>0</v>
      </c>
      <c r="I92" s="255">
        <f>H570</f>
        <v>0</v>
      </c>
      <c r="J92" s="255">
        <f>H571</f>
        <v>0</v>
      </c>
      <c r="K92" s="255">
        <f>H572</f>
        <v>0</v>
      </c>
      <c r="L92" s="255"/>
      <c r="M92" s="255"/>
      <c r="N92" s="565"/>
      <c r="O92" s="565"/>
      <c r="P92" s="565"/>
      <c r="R92" s="991">
        <f t="shared" si="4"/>
        <v>0</v>
      </c>
    </row>
    <row r="93" spans="2:18" ht="28.5" customHeight="1" x14ac:dyDescent="0.25">
      <c r="B93" s="1248" t="str">
        <f>"per 31/12/"&amp;$N$13</f>
        <v>per 31/12/2022</v>
      </c>
      <c r="C93" s="1249"/>
      <c r="D93" s="1249"/>
      <c r="E93" s="1250"/>
      <c r="F93" s="314"/>
      <c r="G93" s="565">
        <f>H578</f>
        <v>0</v>
      </c>
      <c r="H93" s="565">
        <f>H579</f>
        <v>0</v>
      </c>
      <c r="I93" s="565">
        <f>H580</f>
        <v>0</v>
      </c>
      <c r="J93" s="565">
        <f>H581</f>
        <v>0</v>
      </c>
      <c r="K93" s="565">
        <f>H582</f>
        <v>0</v>
      </c>
      <c r="L93" s="565">
        <f>H583</f>
        <v>0</v>
      </c>
      <c r="M93" s="565"/>
      <c r="N93" s="565"/>
      <c r="O93" s="565"/>
      <c r="P93" s="565"/>
      <c r="Q93" s="845"/>
      <c r="R93" s="994">
        <f t="shared" si="4"/>
        <v>0</v>
      </c>
    </row>
    <row r="94" spans="2:18" ht="28.5" customHeight="1" x14ac:dyDescent="0.25">
      <c r="B94" s="1248" t="str">
        <f>"per 31/12/"&amp;$O$13</f>
        <v>per 31/12/2023</v>
      </c>
      <c r="C94" s="1249"/>
      <c r="D94" s="1249"/>
      <c r="E94" s="1250"/>
      <c r="F94" s="314"/>
      <c r="G94" s="565"/>
      <c r="H94" s="565"/>
      <c r="I94" s="565"/>
      <c r="J94" s="565"/>
      <c r="K94" s="565"/>
      <c r="L94" s="565">
        <f>H589</f>
        <v>0</v>
      </c>
      <c r="M94" s="565">
        <f>H590</f>
        <v>0</v>
      </c>
      <c r="N94" s="565"/>
      <c r="O94" s="565"/>
      <c r="P94" s="565"/>
      <c r="Q94" s="845"/>
      <c r="R94" s="994">
        <f t="shared" si="4"/>
        <v>0</v>
      </c>
    </row>
    <row r="95" spans="2:18" ht="28.5" customHeight="1" x14ac:dyDescent="0.25">
      <c r="B95" s="1248" t="str">
        <f>"per 31/12/"&amp;$P$13</f>
        <v>per 31/12/2024</v>
      </c>
      <c r="C95" s="1249"/>
      <c r="D95" s="1249"/>
      <c r="E95" s="1250"/>
      <c r="F95" s="314"/>
      <c r="G95" s="565"/>
      <c r="H95" s="565"/>
      <c r="I95" s="565"/>
      <c r="J95" s="565"/>
      <c r="K95" s="565"/>
      <c r="L95" s="565"/>
      <c r="M95" s="565">
        <f>H596</f>
        <v>0</v>
      </c>
      <c r="N95" s="565">
        <f>H597</f>
        <v>0</v>
      </c>
      <c r="O95" s="565"/>
      <c r="P95" s="565"/>
      <c r="Q95" s="845"/>
      <c r="R95" s="994">
        <f t="shared" ref="R95" si="5">SUM(G95:P95)</f>
        <v>0</v>
      </c>
    </row>
    <row r="96" spans="2:18" ht="33" customHeight="1" x14ac:dyDescent="0.25">
      <c r="B96" s="1254" t="s">
        <v>68</v>
      </c>
      <c r="C96" s="1255"/>
      <c r="D96" s="1255"/>
      <c r="E96" s="1256"/>
      <c r="F96" s="168"/>
      <c r="G96" s="992"/>
      <c r="H96" s="992"/>
      <c r="I96" s="992"/>
      <c r="J96" s="992"/>
      <c r="K96" s="992"/>
      <c r="L96" s="992"/>
      <c r="M96" s="992"/>
      <c r="N96" s="993"/>
      <c r="O96" s="993"/>
      <c r="P96" s="993"/>
      <c r="R96" s="992"/>
    </row>
    <row r="97" spans="1:18" ht="28.5" customHeight="1" x14ac:dyDescent="0.25">
      <c r="B97" s="1257" t="str">
        <f>"per 31/12/"&amp;$G$13</f>
        <v>per 31/12/2015</v>
      </c>
      <c r="C97" s="1258"/>
      <c r="D97" s="1258"/>
      <c r="E97" s="1259"/>
      <c r="F97" s="168"/>
      <c r="G97" s="255"/>
      <c r="H97" s="255"/>
      <c r="I97" s="255"/>
      <c r="J97" s="255"/>
      <c r="K97" s="255"/>
      <c r="L97" s="255"/>
      <c r="M97" s="255"/>
      <c r="N97" s="565"/>
      <c r="O97" s="565"/>
      <c r="P97" s="565"/>
      <c r="R97" s="991">
        <f t="shared" ref="R97:R106" si="6">SUM(G97:P97)</f>
        <v>0</v>
      </c>
    </row>
    <row r="98" spans="1:18" ht="28.5" customHeight="1" x14ac:dyDescent="0.25">
      <c r="B98" s="1257" t="str">
        <f>"per 31/12/"&amp;$H$13</f>
        <v>per 31/12/2016</v>
      </c>
      <c r="C98" s="1258"/>
      <c r="D98" s="1258"/>
      <c r="E98" s="1259"/>
      <c r="F98" s="168"/>
      <c r="G98" s="255"/>
      <c r="H98" s="255"/>
      <c r="I98" s="255"/>
      <c r="J98" s="255"/>
      <c r="K98" s="255"/>
      <c r="L98" s="255"/>
      <c r="M98" s="255"/>
      <c r="N98" s="565"/>
      <c r="O98" s="565"/>
      <c r="P98" s="565"/>
      <c r="R98" s="991">
        <f t="shared" si="6"/>
        <v>0</v>
      </c>
    </row>
    <row r="99" spans="1:18" ht="28.5" customHeight="1" x14ac:dyDescent="0.25">
      <c r="B99" s="1257" t="str">
        <f>"per 31/12/"&amp;$I$13</f>
        <v>per 31/12/2017</v>
      </c>
      <c r="C99" s="1258"/>
      <c r="D99" s="1258"/>
      <c r="E99" s="1259"/>
      <c r="F99" s="168"/>
      <c r="G99" s="255">
        <f>J614</f>
        <v>0</v>
      </c>
      <c r="H99" s="255"/>
      <c r="I99" s="255"/>
      <c r="J99" s="255"/>
      <c r="K99" s="255"/>
      <c r="L99" s="255"/>
      <c r="M99" s="255"/>
      <c r="N99" s="565"/>
      <c r="O99" s="565"/>
      <c r="P99" s="565"/>
      <c r="R99" s="991">
        <f t="shared" si="6"/>
        <v>0</v>
      </c>
    </row>
    <row r="100" spans="1:18" ht="28.5" customHeight="1" x14ac:dyDescent="0.25">
      <c r="B100" s="1257" t="str">
        <f>"per 31/12/"&amp;$J$13</f>
        <v>per 31/12/2018</v>
      </c>
      <c r="C100" s="1258"/>
      <c r="D100" s="1258"/>
      <c r="E100" s="1259"/>
      <c r="F100" s="168"/>
      <c r="G100" s="255">
        <f>L619</f>
        <v>0</v>
      </c>
      <c r="H100" s="255">
        <f>L620</f>
        <v>0</v>
      </c>
      <c r="I100" s="255"/>
      <c r="J100" s="255"/>
      <c r="K100" s="255"/>
      <c r="L100" s="255"/>
      <c r="M100" s="255"/>
      <c r="N100" s="565"/>
      <c r="O100" s="565"/>
      <c r="P100" s="565"/>
      <c r="R100" s="991">
        <f t="shared" si="6"/>
        <v>0</v>
      </c>
    </row>
    <row r="101" spans="1:18" ht="28.5" customHeight="1" x14ac:dyDescent="0.25">
      <c r="B101" s="1257" t="str">
        <f>"per 31/12/"&amp;$K$13</f>
        <v>per 31/12/2019</v>
      </c>
      <c r="C101" s="1258"/>
      <c r="D101" s="1258"/>
      <c r="E101" s="1259"/>
      <c r="F101" s="168"/>
      <c r="G101" s="255">
        <f>L626</f>
        <v>0</v>
      </c>
      <c r="H101" s="255">
        <f>L627</f>
        <v>0</v>
      </c>
      <c r="I101" s="255">
        <f>L628</f>
        <v>0</v>
      </c>
      <c r="J101" s="255"/>
      <c r="K101" s="255"/>
      <c r="L101" s="255"/>
      <c r="M101" s="255"/>
      <c r="N101" s="565"/>
      <c r="O101" s="565"/>
      <c r="P101" s="565"/>
      <c r="R101" s="991">
        <f t="shared" si="6"/>
        <v>0</v>
      </c>
    </row>
    <row r="102" spans="1:18" ht="28.5" customHeight="1" x14ac:dyDescent="0.25">
      <c r="B102" s="1257" t="str">
        <f>"per 31/12/"&amp;$L$13</f>
        <v>per 31/12/2020</v>
      </c>
      <c r="C102" s="1258"/>
      <c r="D102" s="1258"/>
      <c r="E102" s="1259"/>
      <c r="F102" s="168"/>
      <c r="G102" s="255">
        <f>L634</f>
        <v>0</v>
      </c>
      <c r="H102" s="255">
        <f>L635</f>
        <v>0</v>
      </c>
      <c r="I102" s="255">
        <f>L636</f>
        <v>0</v>
      </c>
      <c r="J102" s="255">
        <f>L637</f>
        <v>0</v>
      </c>
      <c r="K102" s="255"/>
      <c r="L102" s="255"/>
      <c r="M102" s="255"/>
      <c r="N102" s="565"/>
      <c r="O102" s="565"/>
      <c r="P102" s="565"/>
      <c r="R102" s="991">
        <f t="shared" si="6"/>
        <v>0</v>
      </c>
    </row>
    <row r="103" spans="1:18" ht="28.5" customHeight="1" x14ac:dyDescent="0.25">
      <c r="B103" s="1257" t="str">
        <f>"per 31/12/"&amp;$M$13</f>
        <v>per 31/12/2021</v>
      </c>
      <c r="C103" s="1258"/>
      <c r="D103" s="1258"/>
      <c r="E103" s="1259"/>
      <c r="F103" s="168"/>
      <c r="G103" s="255">
        <f>H643</f>
        <v>0</v>
      </c>
      <c r="H103" s="255">
        <f>H644</f>
        <v>0</v>
      </c>
      <c r="I103" s="255">
        <f>H645</f>
        <v>0</v>
      </c>
      <c r="J103" s="255">
        <f>H646</f>
        <v>0</v>
      </c>
      <c r="K103" s="255">
        <f>H647</f>
        <v>0</v>
      </c>
      <c r="L103" s="255"/>
      <c r="M103" s="255"/>
      <c r="N103" s="565"/>
      <c r="O103" s="565"/>
      <c r="P103" s="565"/>
      <c r="R103" s="991">
        <f t="shared" si="6"/>
        <v>0</v>
      </c>
    </row>
    <row r="104" spans="1:18" ht="28.5" customHeight="1" x14ac:dyDescent="0.25">
      <c r="B104" s="1248" t="str">
        <f>"per 31/12/"&amp;$N$13</f>
        <v>per 31/12/2022</v>
      </c>
      <c r="C104" s="1249"/>
      <c r="D104" s="1249"/>
      <c r="E104" s="1250"/>
      <c r="F104" s="314"/>
      <c r="G104" s="565">
        <f>H653</f>
        <v>0</v>
      </c>
      <c r="H104" s="565">
        <f>H654</f>
        <v>0</v>
      </c>
      <c r="I104" s="565">
        <f>H655</f>
        <v>0</v>
      </c>
      <c r="J104" s="565">
        <f>H656</f>
        <v>0</v>
      </c>
      <c r="K104" s="565">
        <f>H657</f>
        <v>0</v>
      </c>
      <c r="L104" s="565">
        <f>H658</f>
        <v>0</v>
      </c>
      <c r="M104" s="565"/>
      <c r="N104" s="565"/>
      <c r="O104" s="565"/>
      <c r="P104" s="565"/>
      <c r="Q104" s="845"/>
      <c r="R104" s="994">
        <f t="shared" si="6"/>
        <v>0</v>
      </c>
    </row>
    <row r="105" spans="1:18" ht="28.5" customHeight="1" x14ac:dyDescent="0.25">
      <c r="B105" s="1248" t="str">
        <f>"per 31/12/"&amp;$O$13</f>
        <v>per 31/12/2023</v>
      </c>
      <c r="C105" s="1249"/>
      <c r="D105" s="1249"/>
      <c r="E105" s="1250"/>
      <c r="F105" s="314"/>
      <c r="G105" s="565"/>
      <c r="H105" s="565"/>
      <c r="I105" s="565"/>
      <c r="J105" s="565"/>
      <c r="K105" s="565"/>
      <c r="L105" s="565">
        <f>H664</f>
        <v>0</v>
      </c>
      <c r="M105" s="565">
        <f>H665</f>
        <v>0</v>
      </c>
      <c r="N105" s="565"/>
      <c r="O105" s="565"/>
      <c r="P105" s="565"/>
      <c r="Q105" s="845"/>
      <c r="R105" s="994">
        <f t="shared" si="6"/>
        <v>0</v>
      </c>
    </row>
    <row r="106" spans="1:18" ht="28.5" customHeight="1" x14ac:dyDescent="0.25">
      <c r="B106" s="1248" t="str">
        <f>"per 31/12/"&amp;$P$13</f>
        <v>per 31/12/2024</v>
      </c>
      <c r="C106" s="1249"/>
      <c r="D106" s="1249"/>
      <c r="E106" s="1250"/>
      <c r="F106" s="314"/>
      <c r="G106" s="565"/>
      <c r="H106" s="565"/>
      <c r="I106" s="565"/>
      <c r="J106" s="565"/>
      <c r="K106" s="565"/>
      <c r="L106" s="565"/>
      <c r="M106" s="565">
        <f>H671</f>
        <v>0</v>
      </c>
      <c r="N106" s="565">
        <f>H672</f>
        <v>0</v>
      </c>
      <c r="O106" s="565"/>
      <c r="P106" s="565"/>
      <c r="Q106" s="845"/>
      <c r="R106" s="994">
        <f t="shared" si="6"/>
        <v>0</v>
      </c>
    </row>
    <row r="107" spans="1:18" x14ac:dyDescent="0.25">
      <c r="G107" s="306"/>
      <c r="H107" s="306"/>
      <c r="I107" s="306"/>
      <c r="J107" s="306"/>
      <c r="K107" s="306"/>
      <c r="L107" s="306"/>
      <c r="M107" s="306"/>
      <c r="N107" s="839"/>
      <c r="O107" s="839"/>
      <c r="P107" s="839"/>
      <c r="R107" s="306"/>
    </row>
    <row r="108" spans="1:18" s="224" customFormat="1" ht="13" x14ac:dyDescent="0.25">
      <c r="B108" s="1247"/>
      <c r="C108" s="1247"/>
      <c r="D108" s="1247"/>
      <c r="E108" s="1247"/>
      <c r="G108" s="309"/>
      <c r="H108" s="309"/>
      <c r="I108" s="309"/>
      <c r="J108" s="309"/>
      <c r="K108" s="309"/>
      <c r="L108" s="309"/>
      <c r="M108" s="309"/>
      <c r="N108" s="841"/>
      <c r="O108" s="841"/>
      <c r="P108" s="841"/>
      <c r="Q108" s="211"/>
      <c r="R108" s="309"/>
    </row>
    <row r="109" spans="1:18" s="224" customFormat="1" ht="13" x14ac:dyDescent="0.25">
      <c r="B109" s="315"/>
      <c r="C109" s="316"/>
      <c r="D109" s="316"/>
      <c r="E109" s="317"/>
      <c r="F109" s="283"/>
      <c r="G109" s="975">
        <v>2015</v>
      </c>
      <c r="H109" s="166">
        <f>+G109+1</f>
        <v>2016</v>
      </c>
      <c r="I109" s="166">
        <f>+H109+1</f>
        <v>2017</v>
      </c>
      <c r="J109" s="166">
        <f>+I109+1</f>
        <v>2018</v>
      </c>
      <c r="K109" s="166">
        <f>+J109+1</f>
        <v>2019</v>
      </c>
      <c r="L109" s="166">
        <f t="shared" ref="L109:P109" si="7">+K109+1</f>
        <v>2020</v>
      </c>
      <c r="M109" s="166">
        <f t="shared" si="7"/>
        <v>2021</v>
      </c>
      <c r="N109" s="837">
        <f t="shared" si="7"/>
        <v>2022</v>
      </c>
      <c r="O109" s="837">
        <f t="shared" si="7"/>
        <v>2023</v>
      </c>
      <c r="P109" s="837">
        <f t="shared" si="7"/>
        <v>2024</v>
      </c>
      <c r="Q109" s="209"/>
      <c r="R109" s="166" t="s">
        <v>20</v>
      </c>
    </row>
    <row r="110" spans="1:18" s="220" customFormat="1" ht="26.25" customHeight="1" x14ac:dyDescent="0.25">
      <c r="B110" s="1251" t="s">
        <v>159</v>
      </c>
      <c r="C110" s="1252"/>
      <c r="D110" s="1252"/>
      <c r="E110" s="1253"/>
      <c r="F110" s="172"/>
      <c r="G110" s="171"/>
      <c r="H110" s="171"/>
      <c r="I110" s="171"/>
      <c r="J110" s="171"/>
      <c r="K110" s="171"/>
      <c r="L110" s="171"/>
      <c r="M110" s="171"/>
      <c r="N110" s="843"/>
      <c r="O110" s="843"/>
      <c r="P110" s="843"/>
      <c r="Q110" s="210"/>
      <c r="R110" s="171"/>
    </row>
    <row r="111" spans="1:18" ht="28.5" customHeight="1" x14ac:dyDescent="0.25">
      <c r="A111" s="296"/>
      <c r="B111" s="1240" t="str">
        <f>"per 31/12/"&amp;$G$13</f>
        <v>per 31/12/2015</v>
      </c>
      <c r="C111" s="1241"/>
      <c r="D111" s="1241"/>
      <c r="E111" s="1242"/>
      <c r="F111" s="318"/>
      <c r="G111" s="995"/>
      <c r="H111" s="995"/>
      <c r="I111" s="995"/>
      <c r="J111" s="995"/>
      <c r="K111" s="995"/>
      <c r="L111" s="995"/>
      <c r="M111" s="995"/>
      <c r="N111" s="996"/>
      <c r="O111" s="996"/>
      <c r="P111" s="996"/>
      <c r="R111" s="997">
        <f t="shared" ref="R111:R120" si="8">SUMIFS(R$31:R$106,$B$31:$B$106,$B111)</f>
        <v>0</v>
      </c>
    </row>
    <row r="112" spans="1:18" ht="28.5" customHeight="1" x14ac:dyDescent="0.25">
      <c r="A112" s="296"/>
      <c r="B112" s="1240" t="str">
        <f>"per 31/12/"&amp;$H$13</f>
        <v>per 31/12/2016</v>
      </c>
      <c r="C112" s="1241"/>
      <c r="D112" s="1241"/>
      <c r="E112" s="1242"/>
      <c r="F112" s="318"/>
      <c r="G112" s="995"/>
      <c r="H112" s="995"/>
      <c r="I112" s="995"/>
      <c r="J112" s="995"/>
      <c r="K112" s="995"/>
      <c r="L112" s="995"/>
      <c r="M112" s="995"/>
      <c r="N112" s="996"/>
      <c r="O112" s="996"/>
      <c r="P112" s="996"/>
      <c r="R112" s="997">
        <f t="shared" si="8"/>
        <v>0</v>
      </c>
    </row>
    <row r="113" spans="1:18" ht="28.5" customHeight="1" x14ac:dyDescent="0.25">
      <c r="A113" s="296"/>
      <c r="B113" s="1240" t="str">
        <f>"per 31/12/"&amp;$I$13</f>
        <v>per 31/12/2017</v>
      </c>
      <c r="C113" s="1241"/>
      <c r="D113" s="1241"/>
      <c r="E113" s="1242"/>
      <c r="F113" s="318"/>
      <c r="G113" s="995">
        <f t="shared" ref="G113:G118" si="9">SUMIFS(G$31:G$106,$B$31:$B$106,$B113)</f>
        <v>0</v>
      </c>
      <c r="H113" s="995"/>
      <c r="I113" s="995"/>
      <c r="J113" s="995"/>
      <c r="K113" s="995"/>
      <c r="L113" s="995"/>
      <c r="M113" s="995"/>
      <c r="N113" s="996"/>
      <c r="O113" s="996"/>
      <c r="P113" s="996"/>
      <c r="R113" s="997">
        <f t="shared" si="8"/>
        <v>0</v>
      </c>
    </row>
    <row r="114" spans="1:18" ht="28.5" customHeight="1" x14ac:dyDescent="0.25">
      <c r="A114" s="296"/>
      <c r="B114" s="1240" t="str">
        <f>"per 31/12/"&amp;$J$13</f>
        <v>per 31/12/2018</v>
      </c>
      <c r="C114" s="1241"/>
      <c r="D114" s="1241"/>
      <c r="E114" s="1242"/>
      <c r="F114" s="318"/>
      <c r="G114" s="995">
        <f t="shared" si="9"/>
        <v>0</v>
      </c>
      <c r="H114" s="995">
        <f>SUMIFS(H$31:H$106,$B$31:$B$106,$B114)</f>
        <v>0</v>
      </c>
      <c r="I114" s="995"/>
      <c r="J114" s="995"/>
      <c r="K114" s="995"/>
      <c r="L114" s="995"/>
      <c r="M114" s="995"/>
      <c r="N114" s="996"/>
      <c r="O114" s="996"/>
      <c r="P114" s="996"/>
      <c r="R114" s="997">
        <f t="shared" si="8"/>
        <v>0</v>
      </c>
    </row>
    <row r="115" spans="1:18" ht="28.5" customHeight="1" x14ac:dyDescent="0.25">
      <c r="A115" s="296"/>
      <c r="B115" s="1240" t="str">
        <f>"per 31/12/"&amp;$K$13</f>
        <v>per 31/12/2019</v>
      </c>
      <c r="C115" s="1241"/>
      <c r="D115" s="1241"/>
      <c r="E115" s="1242"/>
      <c r="F115" s="318"/>
      <c r="G115" s="995">
        <f t="shared" si="9"/>
        <v>0</v>
      </c>
      <c r="H115" s="995">
        <f>SUMIFS(H$31:H$106,$B$31:$B$106,$B115)</f>
        <v>0</v>
      </c>
      <c r="I115" s="995">
        <f>SUMIFS(I$31:I$106,$B$31:$B$106,$B115)</f>
        <v>0</v>
      </c>
      <c r="J115" s="995"/>
      <c r="K115" s="995"/>
      <c r="L115" s="995"/>
      <c r="M115" s="995"/>
      <c r="N115" s="996"/>
      <c r="O115" s="996"/>
      <c r="P115" s="996"/>
      <c r="R115" s="997">
        <f t="shared" si="8"/>
        <v>0</v>
      </c>
    </row>
    <row r="116" spans="1:18" ht="28.5" customHeight="1" x14ac:dyDescent="0.25">
      <c r="A116" s="296"/>
      <c r="B116" s="1240" t="str">
        <f>"per 31/12/"&amp;$L$13</f>
        <v>per 31/12/2020</v>
      </c>
      <c r="C116" s="1241"/>
      <c r="D116" s="1241"/>
      <c r="E116" s="1242"/>
      <c r="F116" s="318"/>
      <c r="G116" s="995">
        <f t="shared" si="9"/>
        <v>0</v>
      </c>
      <c r="H116" s="995">
        <f>SUMIFS(H$31:H$106,$B$31:$B$106,$B116)</f>
        <v>0</v>
      </c>
      <c r="I116" s="995">
        <f>SUMIFS(I$31:I$106,$B$31:$B$106,$B116)</f>
        <v>0</v>
      </c>
      <c r="J116" s="995">
        <f>SUMIFS(J$31:J$106,$B$31:$B$106,$B116)</f>
        <v>0</v>
      </c>
      <c r="K116" s="995"/>
      <c r="L116" s="995"/>
      <c r="M116" s="995"/>
      <c r="N116" s="996"/>
      <c r="O116" s="996"/>
      <c r="P116" s="996"/>
      <c r="R116" s="997">
        <f t="shared" si="8"/>
        <v>0</v>
      </c>
    </row>
    <row r="117" spans="1:18" ht="28.5" customHeight="1" x14ac:dyDescent="0.25">
      <c r="A117" s="296"/>
      <c r="B117" s="1240" t="str">
        <f>"per 31/12/"&amp;$M$13</f>
        <v>per 31/12/2021</v>
      </c>
      <c r="C117" s="1241"/>
      <c r="D117" s="1241"/>
      <c r="E117" s="1242"/>
      <c r="F117" s="318"/>
      <c r="G117" s="995">
        <f t="shared" si="9"/>
        <v>0</v>
      </c>
      <c r="H117" s="995">
        <f>SUMIFS(H$31:H$106,$B$31:$B$106,$B117)</f>
        <v>0</v>
      </c>
      <c r="I117" s="995">
        <f>SUMIFS(I$31:I$106,$B$31:$B$106,$B117)</f>
        <v>0</v>
      </c>
      <c r="J117" s="995">
        <f>SUMIFS(J$31:J$106,$B$31:$B$106,$B117)</f>
        <v>0</v>
      </c>
      <c r="K117" s="995">
        <f>SUMIFS(K$31:K$106,$B$31:$B$106,$B117)</f>
        <v>0</v>
      </c>
      <c r="L117" s="995"/>
      <c r="M117" s="995"/>
      <c r="N117" s="996"/>
      <c r="O117" s="996"/>
      <c r="P117" s="996"/>
      <c r="R117" s="997">
        <f t="shared" si="8"/>
        <v>0</v>
      </c>
    </row>
    <row r="118" spans="1:18" ht="28.5" customHeight="1" x14ac:dyDescent="0.25">
      <c r="A118" s="296"/>
      <c r="B118" s="1243" t="str">
        <f>"per 31/12/"&amp;$N$13</f>
        <v>per 31/12/2022</v>
      </c>
      <c r="C118" s="1244"/>
      <c r="D118" s="1244"/>
      <c r="E118" s="1245"/>
      <c r="F118" s="846"/>
      <c r="G118" s="996">
        <f t="shared" si="9"/>
        <v>0</v>
      </c>
      <c r="H118" s="996">
        <f>SUMIFS(H$31:H$106,$B$31:$B$106,$B118)</f>
        <v>0</v>
      </c>
      <c r="I118" s="996">
        <f>SUMIFS(I$31:I$106,$B$31:$B$106,$B118)</f>
        <v>0</v>
      </c>
      <c r="J118" s="996">
        <f>SUMIFS(J$31:J$106,$B$31:$B$106,$B118)</f>
        <v>0</v>
      </c>
      <c r="K118" s="996">
        <f>SUMIFS(K$31:K$106,$B$31:$B$106,$B118)</f>
        <v>0</v>
      </c>
      <c r="L118" s="996">
        <f>SUMIFS(L$31:L$106,$B$31:$B$106,$B118)</f>
        <v>0</v>
      </c>
      <c r="M118" s="996"/>
      <c r="N118" s="996"/>
      <c r="O118" s="996"/>
      <c r="P118" s="996"/>
      <c r="Q118" s="845"/>
      <c r="R118" s="998">
        <f t="shared" si="8"/>
        <v>0</v>
      </c>
    </row>
    <row r="119" spans="1:18" ht="28.5" customHeight="1" x14ac:dyDescent="0.25">
      <c r="A119" s="296"/>
      <c r="B119" s="1243" t="str">
        <f>"per 31/12/"&amp;$O$13</f>
        <v>per 31/12/2023</v>
      </c>
      <c r="C119" s="1244"/>
      <c r="D119" s="1244"/>
      <c r="E119" s="1245"/>
      <c r="F119" s="846"/>
      <c r="G119" s="996"/>
      <c r="H119" s="996"/>
      <c r="I119" s="996"/>
      <c r="J119" s="996"/>
      <c r="K119" s="996"/>
      <c r="L119" s="996">
        <f>SUMIFS(L$31:L$106,$B$31:$B$106,$B119)</f>
        <v>0</v>
      </c>
      <c r="M119" s="996">
        <f>SUMIFS(M$31:M$106,$B$31:$B$106,$B119)</f>
        <v>0</v>
      </c>
      <c r="N119" s="996"/>
      <c r="O119" s="996"/>
      <c r="P119" s="996"/>
      <c r="Q119" s="845"/>
      <c r="R119" s="998">
        <f t="shared" si="8"/>
        <v>0</v>
      </c>
    </row>
    <row r="120" spans="1:18" ht="28.5" customHeight="1" x14ac:dyDescent="0.25">
      <c r="A120" s="296"/>
      <c r="B120" s="1243" t="str">
        <f>"per 31/12/"&amp;$P$13</f>
        <v>per 31/12/2024</v>
      </c>
      <c r="C120" s="1244"/>
      <c r="D120" s="1244"/>
      <c r="E120" s="1245"/>
      <c r="F120" s="846"/>
      <c r="G120" s="996"/>
      <c r="H120" s="996"/>
      <c r="I120" s="996"/>
      <c r="J120" s="996"/>
      <c r="K120" s="996"/>
      <c r="L120" s="996"/>
      <c r="M120" s="996">
        <f>SUMIFS(M$31:M$106,$B$31:$B$106,$B120)</f>
        <v>0</v>
      </c>
      <c r="N120" s="996">
        <f>SUMIFS(N$31:N$106,$B$31:$B$106,$B120)</f>
        <v>0</v>
      </c>
      <c r="O120" s="996"/>
      <c r="P120" s="996"/>
      <c r="Q120" s="845"/>
      <c r="R120" s="998">
        <f t="shared" si="8"/>
        <v>0</v>
      </c>
    </row>
    <row r="121" spans="1:18" s="224" customFormat="1" ht="13" x14ac:dyDescent="0.25">
      <c r="B121" s="1246"/>
      <c r="C121" s="1246"/>
      <c r="D121" s="1246"/>
      <c r="E121" s="1246"/>
      <c r="G121" s="319"/>
      <c r="H121" s="319"/>
      <c r="I121" s="319"/>
      <c r="J121" s="319"/>
      <c r="K121" s="309"/>
      <c r="L121" s="309"/>
      <c r="M121" s="309"/>
      <c r="N121" s="841"/>
      <c r="O121" s="841"/>
      <c r="P121" s="841"/>
      <c r="Q121" s="211"/>
      <c r="R121" s="309"/>
    </row>
    <row r="122" spans="1:18" x14ac:dyDescent="0.25">
      <c r="N122" s="842"/>
      <c r="O122" s="842"/>
      <c r="P122" s="842"/>
    </row>
    <row r="123" spans="1:18" x14ac:dyDescent="0.3">
      <c r="G123" s="124" t="s">
        <v>165</v>
      </c>
      <c r="N123" s="842"/>
      <c r="O123" s="842"/>
      <c r="P123" s="842"/>
    </row>
    <row r="124" spans="1:18" x14ac:dyDescent="0.3">
      <c r="G124" s="92" t="s">
        <v>126</v>
      </c>
      <c r="N124" s="842"/>
      <c r="O124" s="842"/>
      <c r="P124" s="842"/>
    </row>
    <row r="125" spans="1:18" ht="69.75" customHeight="1" x14ac:dyDescent="0.25">
      <c r="B125" s="1231" t="s">
        <v>249</v>
      </c>
      <c r="C125" s="1232"/>
      <c r="D125" s="1232"/>
      <c r="E125" s="1233"/>
      <c r="F125" s="282"/>
      <c r="G125" s="166">
        <v>2015</v>
      </c>
      <c r="H125" s="166">
        <f>+G125+1</f>
        <v>2016</v>
      </c>
      <c r="I125" s="166">
        <f>+H125+1</f>
        <v>2017</v>
      </c>
      <c r="J125" s="166">
        <f>+I125+1</f>
        <v>2018</v>
      </c>
      <c r="K125" s="166">
        <f>+J125+1</f>
        <v>2019</v>
      </c>
      <c r="L125" s="166">
        <f t="shared" ref="L125:O125" si="10">+K125+1</f>
        <v>2020</v>
      </c>
      <c r="M125" s="166">
        <f t="shared" si="10"/>
        <v>2021</v>
      </c>
      <c r="N125" s="837">
        <f t="shared" si="10"/>
        <v>2022</v>
      </c>
      <c r="O125" s="837">
        <f t="shared" si="10"/>
        <v>2023</v>
      </c>
      <c r="P125" s="837">
        <f>+K125+1</f>
        <v>2020</v>
      </c>
      <c r="R125" s="166" t="s">
        <v>20</v>
      </c>
    </row>
    <row r="126" spans="1:18" s="301" customFormat="1" ht="12" customHeight="1" x14ac:dyDescent="0.25">
      <c r="B126" s="320"/>
      <c r="C126" s="320"/>
      <c r="D126" s="320"/>
      <c r="E126" s="320"/>
      <c r="F126" s="321"/>
      <c r="G126" s="322"/>
      <c r="H126" s="323"/>
      <c r="I126" s="323"/>
      <c r="J126" s="324"/>
      <c r="K126" s="324"/>
      <c r="L126" s="324"/>
      <c r="M126" s="324"/>
      <c r="N126" s="844"/>
      <c r="O126" s="844"/>
      <c r="P126" s="844"/>
      <c r="Q126" s="305"/>
      <c r="R126" s="324"/>
    </row>
    <row r="127" spans="1:18" ht="36" customHeight="1" x14ac:dyDescent="0.25">
      <c r="B127" s="1254" t="s">
        <v>240</v>
      </c>
      <c r="C127" s="1255"/>
      <c r="D127" s="1255"/>
      <c r="E127" s="1256"/>
      <c r="F127" s="168"/>
      <c r="G127" s="992"/>
      <c r="H127" s="992"/>
      <c r="I127" s="992"/>
      <c r="J127" s="992"/>
      <c r="K127" s="992"/>
      <c r="L127" s="992"/>
      <c r="M127" s="992"/>
      <c r="N127" s="993"/>
      <c r="O127" s="993"/>
      <c r="P127" s="993"/>
      <c r="R127" s="992"/>
    </row>
    <row r="128" spans="1:18" ht="28.5" customHeight="1" x14ac:dyDescent="0.25">
      <c r="B128" s="1257" t="str">
        <f>"per 31/12/"&amp;$G$13</f>
        <v>per 31/12/2015</v>
      </c>
      <c r="C128" s="1258"/>
      <c r="D128" s="1258"/>
      <c r="E128" s="1259"/>
      <c r="F128" s="168"/>
      <c r="G128" s="255">
        <f>+G$15+G31</f>
        <v>0</v>
      </c>
      <c r="H128" s="255"/>
      <c r="I128" s="255"/>
      <c r="J128" s="255"/>
      <c r="K128" s="255"/>
      <c r="L128" s="255"/>
      <c r="M128" s="255"/>
      <c r="N128" s="565"/>
      <c r="O128" s="565"/>
      <c r="P128" s="565"/>
      <c r="R128" s="991">
        <f t="shared" ref="R128:R191" si="11">SUM(G128:P128)</f>
        <v>0</v>
      </c>
    </row>
    <row r="129" spans="2:18" ht="28.5" customHeight="1" x14ac:dyDescent="0.25">
      <c r="B129" s="1257" t="str">
        <f>"per 31/12/"&amp;$H$13</f>
        <v>per 31/12/2016</v>
      </c>
      <c r="C129" s="1258"/>
      <c r="D129" s="1258"/>
      <c r="E129" s="1259"/>
      <c r="F129" s="168"/>
      <c r="G129" s="255">
        <f t="shared" ref="G129:G135" si="12">+G128+G32</f>
        <v>0</v>
      </c>
      <c r="H129" s="255">
        <f>+$H$15+H32</f>
        <v>0</v>
      </c>
      <c r="I129" s="255"/>
      <c r="J129" s="255"/>
      <c r="K129" s="255"/>
      <c r="L129" s="255"/>
      <c r="M129" s="255"/>
      <c r="N129" s="565"/>
      <c r="O129" s="565"/>
      <c r="P129" s="565"/>
      <c r="R129" s="991">
        <f t="shared" si="11"/>
        <v>0</v>
      </c>
    </row>
    <row r="130" spans="2:18" ht="28.5" customHeight="1" x14ac:dyDescent="0.25">
      <c r="B130" s="1257" t="str">
        <f>"per 31/12/"&amp;$I$13</f>
        <v>per 31/12/2017</v>
      </c>
      <c r="C130" s="1258"/>
      <c r="D130" s="1258"/>
      <c r="E130" s="1259"/>
      <c r="F130" s="168"/>
      <c r="G130" s="255">
        <f t="shared" si="12"/>
        <v>0</v>
      </c>
      <c r="H130" s="255">
        <f t="shared" ref="H130:H135" si="13">+H129+H33</f>
        <v>0</v>
      </c>
      <c r="I130" s="255">
        <f>+$I$15+I33</f>
        <v>0</v>
      </c>
      <c r="J130" s="255"/>
      <c r="K130" s="255"/>
      <c r="L130" s="255"/>
      <c r="M130" s="255"/>
      <c r="N130" s="565"/>
      <c r="O130" s="565"/>
      <c r="P130" s="565"/>
      <c r="R130" s="991">
        <f t="shared" si="11"/>
        <v>0</v>
      </c>
    </row>
    <row r="131" spans="2:18" ht="28.5" customHeight="1" x14ac:dyDescent="0.25">
      <c r="B131" s="1257" t="str">
        <f>"per 31/12/"&amp;$J$13</f>
        <v>per 31/12/2018</v>
      </c>
      <c r="C131" s="1258"/>
      <c r="D131" s="1258"/>
      <c r="E131" s="1259"/>
      <c r="F131" s="168"/>
      <c r="G131" s="255">
        <f t="shared" si="12"/>
        <v>0</v>
      </c>
      <c r="H131" s="255">
        <f t="shared" si="13"/>
        <v>0</v>
      </c>
      <c r="I131" s="255">
        <f>+I130+I34</f>
        <v>0</v>
      </c>
      <c r="J131" s="255">
        <f>+$J$15+J34</f>
        <v>0</v>
      </c>
      <c r="K131" s="255"/>
      <c r="L131" s="255"/>
      <c r="M131" s="255"/>
      <c r="N131" s="565"/>
      <c r="O131" s="565"/>
      <c r="P131" s="565"/>
      <c r="R131" s="991">
        <f t="shared" si="11"/>
        <v>0</v>
      </c>
    </row>
    <row r="132" spans="2:18" ht="28.5" customHeight="1" x14ac:dyDescent="0.25">
      <c r="B132" s="1257" t="str">
        <f>"per 31/12/"&amp;$K$13</f>
        <v>per 31/12/2019</v>
      </c>
      <c r="C132" s="1258"/>
      <c r="D132" s="1258"/>
      <c r="E132" s="1259"/>
      <c r="F132" s="168"/>
      <c r="G132" s="255">
        <f t="shared" si="12"/>
        <v>0</v>
      </c>
      <c r="H132" s="255">
        <f t="shared" si="13"/>
        <v>0</v>
      </c>
      <c r="I132" s="255">
        <f>+I131+I35</f>
        <v>0</v>
      </c>
      <c r="J132" s="255">
        <f>+J131+J35</f>
        <v>0</v>
      </c>
      <c r="K132" s="255">
        <f>+$K$15+K35</f>
        <v>0</v>
      </c>
      <c r="L132" s="255"/>
      <c r="M132" s="255"/>
      <c r="N132" s="565"/>
      <c r="O132" s="565"/>
      <c r="P132" s="565"/>
      <c r="R132" s="991">
        <f t="shared" si="11"/>
        <v>0</v>
      </c>
    </row>
    <row r="133" spans="2:18" ht="28.5" customHeight="1" x14ac:dyDescent="0.25">
      <c r="B133" s="1257" t="str">
        <f>"per 31/12/"&amp;$L$13</f>
        <v>per 31/12/2020</v>
      </c>
      <c r="C133" s="1258"/>
      <c r="D133" s="1258"/>
      <c r="E133" s="1259"/>
      <c r="F133" s="168"/>
      <c r="G133" s="255">
        <f t="shared" si="12"/>
        <v>0</v>
      </c>
      <c r="H133" s="255">
        <f t="shared" si="13"/>
        <v>0</v>
      </c>
      <c r="I133" s="255">
        <f>+I132+I36</f>
        <v>0</v>
      </c>
      <c r="J133" s="255">
        <f>+J132+J36</f>
        <v>0</v>
      </c>
      <c r="K133" s="255">
        <f>+K132+K36</f>
        <v>0</v>
      </c>
      <c r="L133" s="255">
        <f>+L$15+L36</f>
        <v>0</v>
      </c>
      <c r="M133" s="255"/>
      <c r="N133" s="565"/>
      <c r="O133" s="565"/>
      <c r="P133" s="565"/>
      <c r="R133" s="991">
        <f t="shared" si="11"/>
        <v>0</v>
      </c>
    </row>
    <row r="134" spans="2:18" ht="28.5" customHeight="1" x14ac:dyDescent="0.25">
      <c r="B134" s="1257" t="str">
        <f>"per 31/12/"&amp;$M$13</f>
        <v>per 31/12/2021</v>
      </c>
      <c r="C134" s="1258"/>
      <c r="D134" s="1258"/>
      <c r="E134" s="1259"/>
      <c r="F134" s="168"/>
      <c r="G134" s="255">
        <f t="shared" si="12"/>
        <v>0</v>
      </c>
      <c r="H134" s="255">
        <f t="shared" si="13"/>
        <v>0</v>
      </c>
      <c r="I134" s="255">
        <f>+I133+I37</f>
        <v>0</v>
      </c>
      <c r="J134" s="255">
        <f>+J133+J37</f>
        <v>0</v>
      </c>
      <c r="K134" s="255">
        <f>+K133+K37</f>
        <v>0</v>
      </c>
      <c r="L134" s="255">
        <f>+L133+L37</f>
        <v>0</v>
      </c>
      <c r="M134" s="255">
        <f>+M$15+M37</f>
        <v>0</v>
      </c>
      <c r="N134" s="565"/>
      <c r="O134" s="565"/>
      <c r="P134" s="565"/>
      <c r="R134" s="991">
        <f t="shared" si="11"/>
        <v>0</v>
      </c>
    </row>
    <row r="135" spans="2:18" ht="28.5" customHeight="1" x14ac:dyDescent="0.25">
      <c r="B135" s="1248" t="str">
        <f>"per 31/12/"&amp;$N$13</f>
        <v>per 31/12/2022</v>
      </c>
      <c r="C135" s="1249"/>
      <c r="D135" s="1249"/>
      <c r="E135" s="1250"/>
      <c r="F135" s="314"/>
      <c r="G135" s="565">
        <f t="shared" si="12"/>
        <v>0</v>
      </c>
      <c r="H135" s="565">
        <f t="shared" si="13"/>
        <v>0</v>
      </c>
      <c r="I135" s="565">
        <f>+I134+I38</f>
        <v>0</v>
      </c>
      <c r="J135" s="565">
        <f>+J134+J38</f>
        <v>0</v>
      </c>
      <c r="K135" s="565">
        <f>+K134+K38</f>
        <v>0</v>
      </c>
      <c r="L135" s="565">
        <f>+L134+L38</f>
        <v>0</v>
      </c>
      <c r="M135" s="565">
        <f>+M134+M38</f>
        <v>0</v>
      </c>
      <c r="N135" s="565">
        <f>+N$15+N38</f>
        <v>0</v>
      </c>
      <c r="O135" s="565"/>
      <c r="P135" s="565"/>
      <c r="Q135" s="845"/>
      <c r="R135" s="994">
        <f t="shared" si="11"/>
        <v>0</v>
      </c>
    </row>
    <row r="136" spans="2:18" ht="28.5" customHeight="1" x14ac:dyDescent="0.25">
      <c r="B136" s="1248" t="str">
        <f>"per 31/12/"&amp;$O$13</f>
        <v>per 31/12/2023</v>
      </c>
      <c r="C136" s="1249"/>
      <c r="D136" s="1249"/>
      <c r="E136" s="1250"/>
      <c r="F136" s="314"/>
      <c r="G136" s="565"/>
      <c r="H136" s="565"/>
      <c r="I136" s="565"/>
      <c r="J136" s="565"/>
      <c r="K136" s="565"/>
      <c r="L136" s="565">
        <f>+L135+L39</f>
        <v>0</v>
      </c>
      <c r="M136" s="565">
        <f>+M135+M39</f>
        <v>0</v>
      </c>
      <c r="N136" s="565">
        <f>+N135+N39</f>
        <v>0</v>
      </c>
      <c r="O136" s="565">
        <f>+O$15+O39</f>
        <v>0</v>
      </c>
      <c r="P136" s="565"/>
      <c r="Q136" s="845"/>
      <c r="R136" s="994">
        <f t="shared" si="11"/>
        <v>0</v>
      </c>
    </row>
    <row r="137" spans="2:18" ht="28.5" customHeight="1" x14ac:dyDescent="0.25">
      <c r="B137" s="1248" t="str">
        <f>"per 31/12/"&amp;$P$13</f>
        <v>per 31/12/2024</v>
      </c>
      <c r="C137" s="1249"/>
      <c r="D137" s="1249"/>
      <c r="E137" s="1250"/>
      <c r="F137" s="314"/>
      <c r="G137" s="565"/>
      <c r="H137" s="565"/>
      <c r="I137" s="565"/>
      <c r="J137" s="565"/>
      <c r="K137" s="565"/>
      <c r="L137" s="565"/>
      <c r="M137" s="565">
        <f>+M136+M40</f>
        <v>0</v>
      </c>
      <c r="N137" s="565">
        <f>+N136+N40</f>
        <v>0</v>
      </c>
      <c r="O137" s="565">
        <f>+O136+O40</f>
        <v>0</v>
      </c>
      <c r="P137" s="565">
        <f>+P$15+P40</f>
        <v>0</v>
      </c>
      <c r="Q137" s="845"/>
      <c r="R137" s="994">
        <f t="shared" si="11"/>
        <v>0</v>
      </c>
    </row>
    <row r="138" spans="2:18" ht="27.75" customHeight="1" x14ac:dyDescent="0.25">
      <c r="B138" s="1254" t="s">
        <v>66</v>
      </c>
      <c r="C138" s="1255"/>
      <c r="D138" s="1255"/>
      <c r="E138" s="1256"/>
      <c r="F138" s="168"/>
      <c r="G138" s="992"/>
      <c r="H138" s="992"/>
      <c r="I138" s="992"/>
      <c r="J138" s="992"/>
      <c r="K138" s="992"/>
      <c r="L138" s="992"/>
      <c r="M138" s="992"/>
      <c r="N138" s="993"/>
      <c r="O138" s="993"/>
      <c r="P138" s="993"/>
      <c r="R138" s="992"/>
    </row>
    <row r="139" spans="2:18" ht="28.5" customHeight="1" x14ac:dyDescent="0.25">
      <c r="B139" s="1257" t="str">
        <f>"per 31/12/"&amp;$G$13</f>
        <v>per 31/12/2015</v>
      </c>
      <c r="C139" s="1258"/>
      <c r="D139" s="1258"/>
      <c r="E139" s="1259"/>
      <c r="F139" s="168"/>
      <c r="G139" s="255">
        <f>+G$16+G42</f>
        <v>0</v>
      </c>
      <c r="H139" s="255"/>
      <c r="I139" s="255"/>
      <c r="J139" s="255"/>
      <c r="K139" s="255"/>
      <c r="L139" s="255"/>
      <c r="M139" s="255"/>
      <c r="N139" s="565"/>
      <c r="O139" s="565"/>
      <c r="P139" s="565"/>
      <c r="R139" s="991">
        <f t="shared" si="11"/>
        <v>0</v>
      </c>
    </row>
    <row r="140" spans="2:18" ht="28.5" customHeight="1" x14ac:dyDescent="0.25">
      <c r="B140" s="1257" t="str">
        <f>"per 31/12/"&amp;$H$13</f>
        <v>per 31/12/2016</v>
      </c>
      <c r="C140" s="1258"/>
      <c r="D140" s="1258"/>
      <c r="E140" s="1259"/>
      <c r="F140" s="168"/>
      <c r="G140" s="255">
        <f t="shared" ref="G140:G146" si="14">+G139+G43</f>
        <v>0</v>
      </c>
      <c r="H140" s="255">
        <f>+H$16+H43</f>
        <v>0</v>
      </c>
      <c r="I140" s="255"/>
      <c r="J140" s="255"/>
      <c r="K140" s="255"/>
      <c r="L140" s="255"/>
      <c r="M140" s="255"/>
      <c r="N140" s="565"/>
      <c r="O140" s="565"/>
      <c r="P140" s="565"/>
      <c r="R140" s="991">
        <f t="shared" si="11"/>
        <v>0</v>
      </c>
    </row>
    <row r="141" spans="2:18" ht="28.5" customHeight="1" x14ac:dyDescent="0.25">
      <c r="B141" s="1257" t="str">
        <f>"per 31/12/"&amp;$I$13</f>
        <v>per 31/12/2017</v>
      </c>
      <c r="C141" s="1258"/>
      <c r="D141" s="1258"/>
      <c r="E141" s="1259"/>
      <c r="F141" s="168"/>
      <c r="G141" s="255">
        <f t="shared" si="14"/>
        <v>0</v>
      </c>
      <c r="H141" s="255">
        <f t="shared" ref="H141:H146" si="15">+H140+H44</f>
        <v>0</v>
      </c>
      <c r="I141" s="255">
        <f>+I$16+I44</f>
        <v>0</v>
      </c>
      <c r="J141" s="255"/>
      <c r="K141" s="255"/>
      <c r="L141" s="255"/>
      <c r="M141" s="255"/>
      <c r="N141" s="565"/>
      <c r="O141" s="565"/>
      <c r="P141" s="565"/>
      <c r="R141" s="991">
        <f t="shared" si="11"/>
        <v>0</v>
      </c>
    </row>
    <row r="142" spans="2:18" ht="28.5" customHeight="1" x14ac:dyDescent="0.25">
      <c r="B142" s="1257" t="str">
        <f>"per 31/12/"&amp;$J$13</f>
        <v>per 31/12/2018</v>
      </c>
      <c r="C142" s="1258"/>
      <c r="D142" s="1258"/>
      <c r="E142" s="1259"/>
      <c r="F142" s="168"/>
      <c r="G142" s="255">
        <f t="shared" si="14"/>
        <v>0</v>
      </c>
      <c r="H142" s="255">
        <f t="shared" si="15"/>
        <v>0</v>
      </c>
      <c r="I142" s="255">
        <f>+I141+I45</f>
        <v>0</v>
      </c>
      <c r="J142" s="255">
        <f>+J$16+J45</f>
        <v>0</v>
      </c>
      <c r="K142" s="255"/>
      <c r="L142" s="255"/>
      <c r="M142" s="255"/>
      <c r="N142" s="565"/>
      <c r="O142" s="565"/>
      <c r="P142" s="565"/>
      <c r="R142" s="991">
        <f t="shared" si="11"/>
        <v>0</v>
      </c>
    </row>
    <row r="143" spans="2:18" ht="28.5" customHeight="1" x14ac:dyDescent="0.25">
      <c r="B143" s="1257" t="str">
        <f>"per 31/12/"&amp;$K$13</f>
        <v>per 31/12/2019</v>
      </c>
      <c r="C143" s="1258"/>
      <c r="D143" s="1258"/>
      <c r="E143" s="1259"/>
      <c r="F143" s="168"/>
      <c r="G143" s="255">
        <f t="shared" si="14"/>
        <v>0</v>
      </c>
      <c r="H143" s="255">
        <f t="shared" si="15"/>
        <v>0</v>
      </c>
      <c r="I143" s="255">
        <f>+I142+I46</f>
        <v>0</v>
      </c>
      <c r="J143" s="255">
        <f>+J142+J46</f>
        <v>0</v>
      </c>
      <c r="K143" s="255">
        <f>+K$16+K46</f>
        <v>0</v>
      </c>
      <c r="L143" s="255"/>
      <c r="M143" s="255"/>
      <c r="N143" s="565"/>
      <c r="O143" s="565"/>
      <c r="P143" s="565"/>
      <c r="R143" s="991">
        <f t="shared" si="11"/>
        <v>0</v>
      </c>
    </row>
    <row r="144" spans="2:18" ht="28.5" customHeight="1" x14ac:dyDescent="0.25">
      <c r="B144" s="1257" t="str">
        <f>"per 31/12/"&amp;$L$13</f>
        <v>per 31/12/2020</v>
      </c>
      <c r="C144" s="1258"/>
      <c r="D144" s="1258"/>
      <c r="E144" s="1259"/>
      <c r="F144" s="168"/>
      <c r="G144" s="255">
        <f t="shared" si="14"/>
        <v>0</v>
      </c>
      <c r="H144" s="255">
        <f t="shared" si="15"/>
        <v>0</v>
      </c>
      <c r="I144" s="255">
        <f>+I143+I47</f>
        <v>0</v>
      </c>
      <c r="J144" s="255">
        <f>+J143+J47</f>
        <v>0</v>
      </c>
      <c r="K144" s="255">
        <f>+K143+K47</f>
        <v>0</v>
      </c>
      <c r="L144" s="255">
        <f>+L$16+L47</f>
        <v>0</v>
      </c>
      <c r="M144" s="255"/>
      <c r="N144" s="565"/>
      <c r="O144" s="565"/>
      <c r="P144" s="565"/>
      <c r="R144" s="991">
        <f t="shared" si="11"/>
        <v>0</v>
      </c>
    </row>
    <row r="145" spans="2:18" ht="28.5" customHeight="1" x14ac:dyDescent="0.25">
      <c r="B145" s="1257" t="str">
        <f>"per 31/12/"&amp;$M$13</f>
        <v>per 31/12/2021</v>
      </c>
      <c r="C145" s="1258"/>
      <c r="D145" s="1258"/>
      <c r="E145" s="1259"/>
      <c r="F145" s="168"/>
      <c r="G145" s="255">
        <f t="shared" si="14"/>
        <v>0</v>
      </c>
      <c r="H145" s="255">
        <f t="shared" si="15"/>
        <v>0</v>
      </c>
      <c r="I145" s="255">
        <f>+I144+I48</f>
        <v>0</v>
      </c>
      <c r="J145" s="255">
        <f>+J144+J48</f>
        <v>0</v>
      </c>
      <c r="K145" s="255">
        <f>+K144+K48</f>
        <v>0</v>
      </c>
      <c r="L145" s="255">
        <f>+L144+L48</f>
        <v>0</v>
      </c>
      <c r="M145" s="255">
        <f>+M$16+M48</f>
        <v>0</v>
      </c>
      <c r="N145" s="565"/>
      <c r="O145" s="565"/>
      <c r="P145" s="565"/>
      <c r="R145" s="991">
        <f t="shared" si="11"/>
        <v>0</v>
      </c>
    </row>
    <row r="146" spans="2:18" ht="28.5" customHeight="1" x14ac:dyDescent="0.25">
      <c r="B146" s="1248" t="str">
        <f>"per 31/12/"&amp;$N$13</f>
        <v>per 31/12/2022</v>
      </c>
      <c r="C146" s="1249"/>
      <c r="D146" s="1249"/>
      <c r="E146" s="1250"/>
      <c r="F146" s="314"/>
      <c r="G146" s="565">
        <f t="shared" si="14"/>
        <v>0</v>
      </c>
      <c r="H146" s="565">
        <f t="shared" si="15"/>
        <v>0</v>
      </c>
      <c r="I146" s="565">
        <f>+I145+I49</f>
        <v>0</v>
      </c>
      <c r="J146" s="565">
        <f>+J145+J49</f>
        <v>0</v>
      </c>
      <c r="K146" s="565">
        <f>+K145+K49</f>
        <v>0</v>
      </c>
      <c r="L146" s="565">
        <f>+L145+L49</f>
        <v>0</v>
      </c>
      <c r="M146" s="565">
        <f>+M145+M49</f>
        <v>0</v>
      </c>
      <c r="N146" s="565">
        <f>+N$16+N49</f>
        <v>0</v>
      </c>
      <c r="O146" s="565"/>
      <c r="P146" s="565"/>
      <c r="Q146" s="845"/>
      <c r="R146" s="994">
        <f t="shared" si="11"/>
        <v>0</v>
      </c>
    </row>
    <row r="147" spans="2:18" ht="28.5" customHeight="1" x14ac:dyDescent="0.25">
      <c r="B147" s="1248" t="str">
        <f>"per 31/12/"&amp;$O$13</f>
        <v>per 31/12/2023</v>
      </c>
      <c r="C147" s="1249"/>
      <c r="D147" s="1249"/>
      <c r="E147" s="1250"/>
      <c r="F147" s="314"/>
      <c r="G147" s="565"/>
      <c r="H147" s="565"/>
      <c r="I147" s="565"/>
      <c r="J147" s="565"/>
      <c r="K147" s="565"/>
      <c r="L147" s="565">
        <f>+L146+L50</f>
        <v>0</v>
      </c>
      <c r="M147" s="565">
        <f>+M146+M50</f>
        <v>0</v>
      </c>
      <c r="N147" s="565">
        <f>+N146+N50</f>
        <v>0</v>
      </c>
      <c r="O147" s="565">
        <f>+O$16+O50</f>
        <v>0</v>
      </c>
      <c r="P147" s="565"/>
      <c r="Q147" s="845"/>
      <c r="R147" s="994">
        <f t="shared" si="11"/>
        <v>0</v>
      </c>
    </row>
    <row r="148" spans="2:18" ht="28.5" customHeight="1" x14ac:dyDescent="0.25">
      <c r="B148" s="1248" t="str">
        <f>"per 31/12/"&amp;$P$13</f>
        <v>per 31/12/2024</v>
      </c>
      <c r="C148" s="1249"/>
      <c r="D148" s="1249"/>
      <c r="E148" s="1250"/>
      <c r="F148" s="314"/>
      <c r="G148" s="565"/>
      <c r="H148" s="565"/>
      <c r="I148" s="565"/>
      <c r="J148" s="565"/>
      <c r="K148" s="565"/>
      <c r="L148" s="565"/>
      <c r="M148" s="565">
        <f>+M147+M51</f>
        <v>0</v>
      </c>
      <c r="N148" s="565">
        <f>+N147+N51</f>
        <v>0</v>
      </c>
      <c r="O148" s="565">
        <f>+O147+O51</f>
        <v>0</v>
      </c>
      <c r="P148" s="565">
        <f>+P$16+P51</f>
        <v>0</v>
      </c>
      <c r="Q148" s="845"/>
      <c r="R148" s="994">
        <f t="shared" si="11"/>
        <v>0</v>
      </c>
    </row>
    <row r="149" spans="2:18" ht="30" customHeight="1" x14ac:dyDescent="0.25">
      <c r="B149" s="1254" t="s">
        <v>205</v>
      </c>
      <c r="C149" s="1255"/>
      <c r="D149" s="1255"/>
      <c r="E149" s="1256"/>
      <c r="F149" s="168"/>
      <c r="G149" s="992"/>
      <c r="H149" s="992"/>
      <c r="I149" s="992"/>
      <c r="J149" s="992"/>
      <c r="K149" s="992"/>
      <c r="L149" s="992"/>
      <c r="M149" s="992"/>
      <c r="N149" s="993"/>
      <c r="O149" s="993"/>
      <c r="P149" s="993"/>
      <c r="R149" s="992"/>
    </row>
    <row r="150" spans="2:18" ht="28.5" customHeight="1" x14ac:dyDescent="0.25">
      <c r="B150" s="1257" t="str">
        <f>"per 31/12/"&amp;$G$13</f>
        <v>per 31/12/2015</v>
      </c>
      <c r="C150" s="1258"/>
      <c r="D150" s="1258"/>
      <c r="E150" s="1259"/>
      <c r="F150" s="168"/>
      <c r="G150" s="565"/>
      <c r="H150" s="255"/>
      <c r="I150" s="255"/>
      <c r="J150" s="255"/>
      <c r="K150" s="255"/>
      <c r="L150" s="255"/>
      <c r="M150" s="255"/>
      <c r="N150" s="565"/>
      <c r="O150" s="565"/>
      <c r="P150" s="565"/>
      <c r="R150" s="994"/>
    </row>
    <row r="151" spans="2:18" ht="28.5" customHeight="1" x14ac:dyDescent="0.25">
      <c r="B151" s="1257" t="str">
        <f>"per 31/12/"&amp;$H$13</f>
        <v>per 31/12/2016</v>
      </c>
      <c r="C151" s="1258"/>
      <c r="D151" s="1258"/>
      <c r="E151" s="1259"/>
      <c r="F151" s="168"/>
      <c r="G151" s="565"/>
      <c r="H151" s="565"/>
      <c r="I151" s="255"/>
      <c r="J151" s="255"/>
      <c r="K151" s="255"/>
      <c r="L151" s="255"/>
      <c r="M151" s="255"/>
      <c r="N151" s="565"/>
      <c r="O151" s="565"/>
      <c r="P151" s="565"/>
      <c r="R151" s="994"/>
    </row>
    <row r="152" spans="2:18" ht="28.5" customHeight="1" x14ac:dyDescent="0.25">
      <c r="B152" s="1257" t="str">
        <f>"per 31/12/"&amp;$I$13</f>
        <v>per 31/12/2017</v>
      </c>
      <c r="C152" s="1258"/>
      <c r="D152" s="1258"/>
      <c r="E152" s="1259"/>
      <c r="F152" s="168"/>
      <c r="G152" s="565"/>
      <c r="H152" s="565"/>
      <c r="I152" s="565"/>
      <c r="J152" s="255"/>
      <c r="K152" s="255"/>
      <c r="L152" s="255"/>
      <c r="M152" s="255"/>
      <c r="N152" s="565"/>
      <c r="O152" s="565"/>
      <c r="P152" s="565"/>
      <c r="R152" s="994"/>
    </row>
    <row r="153" spans="2:18" ht="28.5" customHeight="1" x14ac:dyDescent="0.25">
      <c r="B153" s="1257" t="str">
        <f>"per 31/12/"&amp;$J$13</f>
        <v>per 31/12/2018</v>
      </c>
      <c r="C153" s="1258"/>
      <c r="D153" s="1258"/>
      <c r="E153" s="1259"/>
      <c r="F153" s="168"/>
      <c r="G153" s="565"/>
      <c r="H153" s="565"/>
      <c r="I153" s="565"/>
      <c r="J153" s="565"/>
      <c r="K153" s="255"/>
      <c r="L153" s="255"/>
      <c r="M153" s="255"/>
      <c r="N153" s="565"/>
      <c r="O153" s="565"/>
      <c r="P153" s="565"/>
      <c r="R153" s="994"/>
    </row>
    <row r="154" spans="2:18" ht="28.5" customHeight="1" x14ac:dyDescent="0.25">
      <c r="B154" s="1257" t="str">
        <f>"per 31/12/"&amp;$K$13</f>
        <v>per 31/12/2019</v>
      </c>
      <c r="C154" s="1258"/>
      <c r="D154" s="1258"/>
      <c r="E154" s="1259"/>
      <c r="F154" s="168"/>
      <c r="G154" s="565"/>
      <c r="H154" s="565"/>
      <c r="I154" s="565"/>
      <c r="J154" s="565"/>
      <c r="K154" s="565"/>
      <c r="L154" s="255"/>
      <c r="M154" s="255"/>
      <c r="N154" s="565"/>
      <c r="O154" s="565"/>
      <c r="P154" s="565"/>
      <c r="R154" s="994"/>
    </row>
    <row r="155" spans="2:18" ht="28.5" customHeight="1" x14ac:dyDescent="0.25">
      <c r="B155" s="1257" t="str">
        <f>"per 31/12/"&amp;$L$13</f>
        <v>per 31/12/2020</v>
      </c>
      <c r="C155" s="1258"/>
      <c r="D155" s="1258"/>
      <c r="E155" s="1259"/>
      <c r="F155" s="168"/>
      <c r="G155" s="565"/>
      <c r="H155" s="565"/>
      <c r="I155" s="565"/>
      <c r="J155" s="565"/>
      <c r="K155" s="565"/>
      <c r="L155" s="565"/>
      <c r="M155" s="255"/>
      <c r="N155" s="565"/>
      <c r="O155" s="565"/>
      <c r="P155" s="565"/>
      <c r="R155" s="994"/>
    </row>
    <row r="156" spans="2:18" ht="28.5" customHeight="1" x14ac:dyDescent="0.25">
      <c r="B156" s="1257" t="str">
        <f>"per 31/12/"&amp;$M$13</f>
        <v>per 31/12/2021</v>
      </c>
      <c r="C156" s="1258"/>
      <c r="D156" s="1258"/>
      <c r="E156" s="1259"/>
      <c r="F156" s="168"/>
      <c r="G156" s="565"/>
      <c r="H156" s="565"/>
      <c r="I156" s="565"/>
      <c r="J156" s="565"/>
      <c r="K156" s="565"/>
      <c r="L156" s="565"/>
      <c r="M156" s="565"/>
      <c r="N156" s="565"/>
      <c r="O156" s="565"/>
      <c r="P156" s="565"/>
      <c r="R156" s="991">
        <f t="shared" si="11"/>
        <v>0</v>
      </c>
    </row>
    <row r="157" spans="2:18" ht="28.5" customHeight="1" x14ac:dyDescent="0.25">
      <c r="B157" s="1248" t="str">
        <f>"per 31/12/"&amp;$N$13</f>
        <v>per 31/12/2022</v>
      </c>
      <c r="C157" s="1249"/>
      <c r="D157" s="1249"/>
      <c r="E157" s="1250"/>
      <c r="F157" s="314"/>
      <c r="G157" s="565"/>
      <c r="H157" s="565"/>
      <c r="I157" s="565"/>
      <c r="J157" s="565"/>
      <c r="K157" s="565"/>
      <c r="L157" s="565"/>
      <c r="M157" s="565"/>
      <c r="N157" s="565"/>
      <c r="O157" s="565"/>
      <c r="P157" s="565"/>
      <c r="Q157" s="845"/>
      <c r="R157" s="994">
        <f t="shared" si="11"/>
        <v>0</v>
      </c>
    </row>
    <row r="158" spans="2:18" ht="28.5" customHeight="1" x14ac:dyDescent="0.25">
      <c r="B158" s="1248" t="str">
        <f>"per 31/12/"&amp;$O$13</f>
        <v>per 31/12/2023</v>
      </c>
      <c r="C158" s="1249"/>
      <c r="D158" s="1249"/>
      <c r="E158" s="1250"/>
      <c r="F158" s="314"/>
      <c r="G158" s="565"/>
      <c r="H158" s="565"/>
      <c r="I158" s="565"/>
      <c r="J158" s="565"/>
      <c r="K158" s="565"/>
      <c r="L158" s="565"/>
      <c r="M158" s="565"/>
      <c r="N158" s="565"/>
      <c r="O158" s="565"/>
      <c r="P158" s="565"/>
      <c r="Q158" s="845"/>
      <c r="R158" s="994">
        <f t="shared" si="11"/>
        <v>0</v>
      </c>
    </row>
    <row r="159" spans="2:18" ht="28.5" customHeight="1" x14ac:dyDescent="0.25">
      <c r="B159" s="1248" t="str">
        <f>"per 31/12/"&amp;$P$13</f>
        <v>per 31/12/2024</v>
      </c>
      <c r="C159" s="1249"/>
      <c r="D159" s="1249"/>
      <c r="E159" s="1250"/>
      <c r="F159" s="314"/>
      <c r="G159" s="565"/>
      <c r="H159" s="565"/>
      <c r="I159" s="565"/>
      <c r="J159" s="565"/>
      <c r="K159" s="565"/>
      <c r="L159" s="565"/>
      <c r="M159" s="565"/>
      <c r="N159" s="565"/>
      <c r="O159" s="565"/>
      <c r="P159" s="565"/>
      <c r="Q159" s="845"/>
      <c r="R159" s="994"/>
    </row>
    <row r="160" spans="2:18" ht="30" customHeight="1" x14ac:dyDescent="0.25">
      <c r="B160" s="1254" t="s">
        <v>67</v>
      </c>
      <c r="C160" s="1255"/>
      <c r="D160" s="1255"/>
      <c r="E160" s="1256"/>
      <c r="F160" s="168"/>
      <c r="G160" s="992"/>
      <c r="H160" s="992"/>
      <c r="I160" s="992"/>
      <c r="J160" s="992"/>
      <c r="K160" s="992"/>
      <c r="L160" s="992"/>
      <c r="M160" s="992"/>
      <c r="N160" s="993"/>
      <c r="O160" s="993"/>
      <c r="P160" s="993"/>
      <c r="R160" s="992"/>
    </row>
    <row r="161" spans="2:18" ht="28.5" customHeight="1" x14ac:dyDescent="0.25">
      <c r="B161" s="1257" t="str">
        <f>"per 31/12/"&amp;$G$13</f>
        <v>per 31/12/2015</v>
      </c>
      <c r="C161" s="1258"/>
      <c r="D161" s="1258"/>
      <c r="E161" s="1259"/>
      <c r="F161" s="168"/>
      <c r="G161" s="255">
        <f>+G$18+G64</f>
        <v>0</v>
      </c>
      <c r="H161" s="255"/>
      <c r="I161" s="255"/>
      <c r="J161" s="255"/>
      <c r="K161" s="255"/>
      <c r="L161" s="255"/>
      <c r="M161" s="255"/>
      <c r="N161" s="565"/>
      <c r="O161" s="565"/>
      <c r="P161" s="565"/>
      <c r="R161" s="991">
        <f t="shared" si="11"/>
        <v>0</v>
      </c>
    </row>
    <row r="162" spans="2:18" ht="28.5" customHeight="1" x14ac:dyDescent="0.25">
      <c r="B162" s="1257" t="str">
        <f>"per 31/12/"&amp;$H$13</f>
        <v>per 31/12/2016</v>
      </c>
      <c r="C162" s="1258"/>
      <c r="D162" s="1258"/>
      <c r="E162" s="1259"/>
      <c r="F162" s="168"/>
      <c r="G162" s="255">
        <f t="shared" ref="G162:G168" si="16">+G161+G65</f>
        <v>0</v>
      </c>
      <c r="H162" s="255">
        <f>+H$18+H65</f>
        <v>0</v>
      </c>
      <c r="I162" s="255"/>
      <c r="J162" s="255"/>
      <c r="K162" s="255"/>
      <c r="L162" s="255"/>
      <c r="M162" s="255"/>
      <c r="N162" s="565"/>
      <c r="O162" s="565"/>
      <c r="P162" s="565"/>
      <c r="R162" s="991">
        <f t="shared" si="11"/>
        <v>0</v>
      </c>
    </row>
    <row r="163" spans="2:18" ht="28.5" customHeight="1" x14ac:dyDescent="0.25">
      <c r="B163" s="1257" t="str">
        <f>"per 31/12/"&amp;$I$13</f>
        <v>per 31/12/2017</v>
      </c>
      <c r="C163" s="1258"/>
      <c r="D163" s="1258"/>
      <c r="E163" s="1259"/>
      <c r="F163" s="168"/>
      <c r="G163" s="255">
        <f t="shared" si="16"/>
        <v>0</v>
      </c>
      <c r="H163" s="255">
        <f t="shared" ref="H163:H168" si="17">+H162+H66</f>
        <v>0</v>
      </c>
      <c r="I163" s="255">
        <f>+I$18+I66</f>
        <v>0</v>
      </c>
      <c r="J163" s="255"/>
      <c r="K163" s="255"/>
      <c r="L163" s="255"/>
      <c r="M163" s="255"/>
      <c r="N163" s="565"/>
      <c r="O163" s="565"/>
      <c r="P163" s="565"/>
      <c r="R163" s="991">
        <f t="shared" si="11"/>
        <v>0</v>
      </c>
    </row>
    <row r="164" spans="2:18" ht="28.5" customHeight="1" x14ac:dyDescent="0.25">
      <c r="B164" s="1257" t="str">
        <f>"per 31/12/"&amp;$J$13</f>
        <v>per 31/12/2018</v>
      </c>
      <c r="C164" s="1258"/>
      <c r="D164" s="1258"/>
      <c r="E164" s="1259"/>
      <c r="F164" s="168"/>
      <c r="G164" s="255">
        <f t="shared" si="16"/>
        <v>0</v>
      </c>
      <c r="H164" s="255">
        <f t="shared" si="17"/>
        <v>0</v>
      </c>
      <c r="I164" s="255">
        <f>+I163+I67</f>
        <v>0</v>
      </c>
      <c r="J164" s="255">
        <f>+J$18+J67</f>
        <v>0</v>
      </c>
      <c r="K164" s="255"/>
      <c r="L164" s="255"/>
      <c r="M164" s="255"/>
      <c r="N164" s="565"/>
      <c r="O164" s="565"/>
      <c r="P164" s="565"/>
      <c r="R164" s="991">
        <f t="shared" si="11"/>
        <v>0</v>
      </c>
    </row>
    <row r="165" spans="2:18" ht="28.5" customHeight="1" x14ac:dyDescent="0.25">
      <c r="B165" s="1257" t="str">
        <f>"per 31/12/"&amp;$K$13</f>
        <v>per 31/12/2019</v>
      </c>
      <c r="C165" s="1258"/>
      <c r="D165" s="1258"/>
      <c r="E165" s="1259"/>
      <c r="F165" s="168"/>
      <c r="G165" s="255">
        <f t="shared" si="16"/>
        <v>0</v>
      </c>
      <c r="H165" s="255">
        <f t="shared" si="17"/>
        <v>0</v>
      </c>
      <c r="I165" s="255">
        <f>+I164+I68</f>
        <v>0</v>
      </c>
      <c r="J165" s="255">
        <f>+J164+J68</f>
        <v>0</v>
      </c>
      <c r="K165" s="255">
        <f>+K$18+K68</f>
        <v>0</v>
      </c>
      <c r="L165" s="255"/>
      <c r="M165" s="255"/>
      <c r="N165" s="565"/>
      <c r="O165" s="565"/>
      <c r="P165" s="565"/>
      <c r="R165" s="991">
        <f t="shared" si="11"/>
        <v>0</v>
      </c>
    </row>
    <row r="166" spans="2:18" ht="28.5" customHeight="1" x14ac:dyDescent="0.25">
      <c r="B166" s="1257" t="str">
        <f>"per 31/12/"&amp;$L$13</f>
        <v>per 31/12/2020</v>
      </c>
      <c r="C166" s="1258"/>
      <c r="D166" s="1258"/>
      <c r="E166" s="1259"/>
      <c r="F166" s="168"/>
      <c r="G166" s="255">
        <f t="shared" si="16"/>
        <v>0</v>
      </c>
      <c r="H166" s="255">
        <f t="shared" si="17"/>
        <v>0</v>
      </c>
      <c r="I166" s="255">
        <f>+I165+I69</f>
        <v>0</v>
      </c>
      <c r="J166" s="255">
        <f>+J165+J69</f>
        <v>0</v>
      </c>
      <c r="K166" s="255">
        <f>+K165+K69</f>
        <v>0</v>
      </c>
      <c r="L166" s="255">
        <f>+L$18+L69</f>
        <v>0</v>
      </c>
      <c r="M166" s="255"/>
      <c r="N166" s="565"/>
      <c r="O166" s="565"/>
      <c r="P166" s="565"/>
      <c r="R166" s="991">
        <f t="shared" si="11"/>
        <v>0</v>
      </c>
    </row>
    <row r="167" spans="2:18" ht="28.5" customHeight="1" x14ac:dyDescent="0.25">
      <c r="B167" s="1257" t="str">
        <f>"per 31/12/"&amp;$M$13</f>
        <v>per 31/12/2021</v>
      </c>
      <c r="C167" s="1258"/>
      <c r="D167" s="1258"/>
      <c r="E167" s="1259"/>
      <c r="F167" s="168"/>
      <c r="G167" s="255">
        <f t="shared" si="16"/>
        <v>0</v>
      </c>
      <c r="H167" s="255">
        <f t="shared" si="17"/>
        <v>0</v>
      </c>
      <c r="I167" s="255">
        <f>+I166+I70</f>
        <v>0</v>
      </c>
      <c r="J167" s="255">
        <f>+J166+J70</f>
        <v>0</v>
      </c>
      <c r="K167" s="255">
        <f>+K166+K70</f>
        <v>0</v>
      </c>
      <c r="L167" s="255">
        <f>+L166+L70</f>
        <v>0</v>
      </c>
      <c r="M167" s="255">
        <f>+M$18+M70</f>
        <v>0</v>
      </c>
      <c r="N167" s="565"/>
      <c r="O167" s="565"/>
      <c r="P167" s="565"/>
      <c r="R167" s="991">
        <f t="shared" si="11"/>
        <v>0</v>
      </c>
    </row>
    <row r="168" spans="2:18" ht="28.5" customHeight="1" x14ac:dyDescent="0.25">
      <c r="B168" s="1248" t="str">
        <f>"per 31/12/"&amp;$N$13</f>
        <v>per 31/12/2022</v>
      </c>
      <c r="C168" s="1249"/>
      <c r="D168" s="1249"/>
      <c r="E168" s="1250"/>
      <c r="F168" s="314"/>
      <c r="G168" s="565">
        <f t="shared" si="16"/>
        <v>0</v>
      </c>
      <c r="H168" s="565">
        <f t="shared" si="17"/>
        <v>0</v>
      </c>
      <c r="I168" s="565">
        <f>+I167+I71</f>
        <v>0</v>
      </c>
      <c r="J168" s="565">
        <f>+J167+J71</f>
        <v>0</v>
      </c>
      <c r="K168" s="565">
        <f>+K167+K71</f>
        <v>0</v>
      </c>
      <c r="L168" s="565">
        <f>+L167+L71</f>
        <v>0</v>
      </c>
      <c r="M168" s="565">
        <f>+M167+M71</f>
        <v>0</v>
      </c>
      <c r="N168" s="565">
        <f>+N$18+N71</f>
        <v>0</v>
      </c>
      <c r="O168" s="565"/>
      <c r="P168" s="565"/>
      <c r="Q168" s="845"/>
      <c r="R168" s="994">
        <f t="shared" si="11"/>
        <v>0</v>
      </c>
    </row>
    <row r="169" spans="2:18" ht="28.5" customHeight="1" x14ac:dyDescent="0.25">
      <c r="B169" s="1248" t="str">
        <f>"per 31/12/"&amp;$O$13</f>
        <v>per 31/12/2023</v>
      </c>
      <c r="C169" s="1249"/>
      <c r="D169" s="1249"/>
      <c r="E169" s="1250"/>
      <c r="F169" s="314"/>
      <c r="G169" s="565"/>
      <c r="H169" s="565"/>
      <c r="I169" s="565"/>
      <c r="J169" s="565"/>
      <c r="K169" s="565"/>
      <c r="L169" s="565">
        <f>+L168+L72</f>
        <v>0</v>
      </c>
      <c r="M169" s="565">
        <f>+M168+M72</f>
        <v>0</v>
      </c>
      <c r="N169" s="565">
        <f>+N168+N72</f>
        <v>0</v>
      </c>
      <c r="O169" s="565">
        <f>+O$18+O72</f>
        <v>0</v>
      </c>
      <c r="P169" s="565"/>
      <c r="Q169" s="845"/>
      <c r="R169" s="994">
        <f t="shared" si="11"/>
        <v>0</v>
      </c>
    </row>
    <row r="170" spans="2:18" ht="28.5" customHeight="1" x14ac:dyDescent="0.25">
      <c r="B170" s="1248" t="str">
        <f>"per 31/12/"&amp;$P$13</f>
        <v>per 31/12/2024</v>
      </c>
      <c r="C170" s="1249"/>
      <c r="D170" s="1249"/>
      <c r="E170" s="1250"/>
      <c r="F170" s="314"/>
      <c r="G170" s="565"/>
      <c r="H170" s="565"/>
      <c r="I170" s="565"/>
      <c r="J170" s="565"/>
      <c r="K170" s="565"/>
      <c r="L170" s="565"/>
      <c r="M170" s="565">
        <f>+M169+M73</f>
        <v>0</v>
      </c>
      <c r="N170" s="565">
        <f>+N169+N73</f>
        <v>0</v>
      </c>
      <c r="O170" s="565">
        <f>+O169+O73</f>
        <v>0</v>
      </c>
      <c r="P170" s="565">
        <f>+P$18+P73</f>
        <v>0</v>
      </c>
      <c r="Q170" s="845"/>
      <c r="R170" s="994">
        <f t="shared" si="11"/>
        <v>0</v>
      </c>
    </row>
    <row r="171" spans="2:18" ht="27" customHeight="1" x14ac:dyDescent="0.25">
      <c r="B171" s="1260" t="s">
        <v>119</v>
      </c>
      <c r="C171" s="1260"/>
      <c r="D171" s="1260"/>
      <c r="E171" s="1260"/>
      <c r="F171" s="168"/>
      <c r="G171" s="992"/>
      <c r="H171" s="992"/>
      <c r="I171" s="992"/>
      <c r="J171" s="992"/>
      <c r="K171" s="992"/>
      <c r="L171" s="992"/>
      <c r="M171" s="992"/>
      <c r="N171" s="993"/>
      <c r="O171" s="993"/>
      <c r="P171" s="993"/>
      <c r="R171" s="992"/>
    </row>
    <row r="172" spans="2:18" ht="28.5" customHeight="1" x14ac:dyDescent="0.25">
      <c r="B172" s="1257" t="str">
        <f>"per 31/12/"&amp;$G$13</f>
        <v>per 31/12/2015</v>
      </c>
      <c r="C172" s="1258"/>
      <c r="D172" s="1258"/>
      <c r="E172" s="1259"/>
      <c r="F172" s="168"/>
      <c r="G172" s="255">
        <f>+G$19+G75</f>
        <v>0</v>
      </c>
      <c r="H172" s="255"/>
      <c r="I172" s="255"/>
      <c r="J172" s="255"/>
      <c r="K172" s="255"/>
      <c r="L172" s="255"/>
      <c r="M172" s="255"/>
      <c r="N172" s="565"/>
      <c r="O172" s="565"/>
      <c r="P172" s="565"/>
      <c r="R172" s="991">
        <f t="shared" si="11"/>
        <v>0</v>
      </c>
    </row>
    <row r="173" spans="2:18" ht="28.5" customHeight="1" x14ac:dyDescent="0.25">
      <c r="B173" s="1257" t="str">
        <f>"per 31/12/"&amp;$H$13</f>
        <v>per 31/12/2016</v>
      </c>
      <c r="C173" s="1258"/>
      <c r="D173" s="1258"/>
      <c r="E173" s="1259"/>
      <c r="F173" s="168"/>
      <c r="G173" s="255">
        <f t="shared" ref="G173:G179" si="18">+G172+G76</f>
        <v>0</v>
      </c>
      <c r="H173" s="255">
        <f>+H$19+H76</f>
        <v>0</v>
      </c>
      <c r="I173" s="255"/>
      <c r="J173" s="255"/>
      <c r="K173" s="255"/>
      <c r="L173" s="255"/>
      <c r="M173" s="255"/>
      <c r="N173" s="565"/>
      <c r="O173" s="565"/>
      <c r="P173" s="565"/>
      <c r="R173" s="991">
        <f t="shared" si="11"/>
        <v>0</v>
      </c>
    </row>
    <row r="174" spans="2:18" ht="28.5" customHeight="1" x14ac:dyDescent="0.25">
      <c r="B174" s="1257" t="str">
        <f>"per 31/12/"&amp;$I$13</f>
        <v>per 31/12/2017</v>
      </c>
      <c r="C174" s="1258"/>
      <c r="D174" s="1258"/>
      <c r="E174" s="1259"/>
      <c r="F174" s="168"/>
      <c r="G174" s="255">
        <f t="shared" si="18"/>
        <v>0</v>
      </c>
      <c r="H174" s="255">
        <f t="shared" ref="H174:H179" si="19">+H173+H77</f>
        <v>0</v>
      </c>
      <c r="I174" s="255">
        <f>+I$19+I77</f>
        <v>0</v>
      </c>
      <c r="J174" s="255"/>
      <c r="K174" s="255"/>
      <c r="L174" s="255"/>
      <c r="M174" s="255"/>
      <c r="N174" s="565"/>
      <c r="O174" s="565"/>
      <c r="P174" s="565"/>
      <c r="R174" s="991">
        <f t="shared" si="11"/>
        <v>0</v>
      </c>
    </row>
    <row r="175" spans="2:18" ht="28.5" customHeight="1" x14ac:dyDescent="0.25">
      <c r="B175" s="1257" t="str">
        <f>"per 31/12/"&amp;$J$13</f>
        <v>per 31/12/2018</v>
      </c>
      <c r="C175" s="1258"/>
      <c r="D175" s="1258"/>
      <c r="E175" s="1259"/>
      <c r="F175" s="168"/>
      <c r="G175" s="255">
        <f t="shared" si="18"/>
        <v>0</v>
      </c>
      <c r="H175" s="255">
        <f t="shared" si="19"/>
        <v>0</v>
      </c>
      <c r="I175" s="255">
        <f>+I174+I78</f>
        <v>0</v>
      </c>
      <c r="J175" s="255">
        <f>+J$19+J78</f>
        <v>0</v>
      </c>
      <c r="K175" s="255"/>
      <c r="L175" s="255"/>
      <c r="M175" s="255"/>
      <c r="N175" s="565"/>
      <c r="O175" s="565"/>
      <c r="P175" s="565"/>
      <c r="R175" s="991">
        <f t="shared" si="11"/>
        <v>0</v>
      </c>
    </row>
    <row r="176" spans="2:18" ht="28.5" customHeight="1" x14ac:dyDescent="0.25">
      <c r="B176" s="1257" t="str">
        <f>"per 31/12/"&amp;$K$13</f>
        <v>per 31/12/2019</v>
      </c>
      <c r="C176" s="1258"/>
      <c r="D176" s="1258"/>
      <c r="E176" s="1259"/>
      <c r="F176" s="168"/>
      <c r="G176" s="255">
        <f t="shared" si="18"/>
        <v>0</v>
      </c>
      <c r="H176" s="255">
        <f t="shared" si="19"/>
        <v>0</v>
      </c>
      <c r="I176" s="255">
        <f>+I175+I79</f>
        <v>0</v>
      </c>
      <c r="J176" s="255">
        <f>+J175+J79</f>
        <v>0</v>
      </c>
      <c r="K176" s="255">
        <f>+K$19+K79</f>
        <v>0</v>
      </c>
      <c r="L176" s="255"/>
      <c r="M176" s="255"/>
      <c r="N176" s="565"/>
      <c r="O176" s="565"/>
      <c r="P176" s="565"/>
      <c r="R176" s="991">
        <f t="shared" si="11"/>
        <v>0</v>
      </c>
    </row>
    <row r="177" spans="2:18" ht="28.5" customHeight="1" x14ac:dyDescent="0.25">
      <c r="B177" s="1257" t="str">
        <f>"per 31/12/"&amp;$L$13</f>
        <v>per 31/12/2020</v>
      </c>
      <c r="C177" s="1258"/>
      <c r="D177" s="1258"/>
      <c r="E177" s="1259"/>
      <c r="F177" s="168"/>
      <c r="G177" s="255">
        <f t="shared" si="18"/>
        <v>0</v>
      </c>
      <c r="H177" s="255">
        <f t="shared" si="19"/>
        <v>0</v>
      </c>
      <c r="I177" s="255">
        <f>+I176+I80</f>
        <v>0</v>
      </c>
      <c r="J177" s="255">
        <f>+J176+J80</f>
        <v>0</v>
      </c>
      <c r="K177" s="255">
        <f>+K176+K80</f>
        <v>0</v>
      </c>
      <c r="L177" s="255">
        <f>+L$19+L80</f>
        <v>0</v>
      </c>
      <c r="M177" s="255"/>
      <c r="N177" s="565"/>
      <c r="O177" s="565"/>
      <c r="P177" s="565"/>
      <c r="R177" s="991">
        <f t="shared" si="11"/>
        <v>0</v>
      </c>
    </row>
    <row r="178" spans="2:18" ht="28.5" customHeight="1" x14ac:dyDescent="0.25">
      <c r="B178" s="1257" t="str">
        <f>"per 31/12/"&amp;$M$13</f>
        <v>per 31/12/2021</v>
      </c>
      <c r="C178" s="1258"/>
      <c r="D178" s="1258"/>
      <c r="E178" s="1259"/>
      <c r="F178" s="168"/>
      <c r="G178" s="255">
        <f t="shared" si="18"/>
        <v>0</v>
      </c>
      <c r="H178" s="255">
        <f t="shared" si="19"/>
        <v>0</v>
      </c>
      <c r="I178" s="255">
        <f>+I177+I81</f>
        <v>0</v>
      </c>
      <c r="J178" s="255">
        <f>+J177+J81</f>
        <v>0</v>
      </c>
      <c r="K178" s="255">
        <f>+K177+K81</f>
        <v>0</v>
      </c>
      <c r="L178" s="255">
        <f>+L177+L81</f>
        <v>0</v>
      </c>
      <c r="M178" s="565"/>
      <c r="N178" s="565"/>
      <c r="O178" s="565"/>
      <c r="P178" s="565"/>
      <c r="R178" s="991">
        <f t="shared" si="11"/>
        <v>0</v>
      </c>
    </row>
    <row r="179" spans="2:18" ht="28.5" customHeight="1" x14ac:dyDescent="0.25">
      <c r="B179" s="1248" t="str">
        <f>"per 31/12/"&amp;$N$13</f>
        <v>per 31/12/2022</v>
      </c>
      <c r="C179" s="1249"/>
      <c r="D179" s="1249"/>
      <c r="E179" s="1250"/>
      <c r="F179" s="314"/>
      <c r="G179" s="565">
        <f t="shared" si="18"/>
        <v>0</v>
      </c>
      <c r="H179" s="565">
        <f t="shared" si="19"/>
        <v>0</v>
      </c>
      <c r="I179" s="565">
        <f>+I178+I82</f>
        <v>0</v>
      </c>
      <c r="J179" s="565">
        <f>+J178+J82</f>
        <v>0</v>
      </c>
      <c r="K179" s="565">
        <f>+K178+K82</f>
        <v>0</v>
      </c>
      <c r="L179" s="565">
        <f>+L178+L82</f>
        <v>0</v>
      </c>
      <c r="M179" s="565"/>
      <c r="N179" s="565"/>
      <c r="O179" s="565"/>
      <c r="P179" s="565"/>
      <c r="Q179" s="845"/>
      <c r="R179" s="994">
        <f>SUM(G179:P179)</f>
        <v>0</v>
      </c>
    </row>
    <row r="180" spans="2:18" ht="28.5" customHeight="1" x14ac:dyDescent="0.25">
      <c r="B180" s="1248" t="str">
        <f>"per 31/12/"&amp;$O$13</f>
        <v>per 31/12/2023</v>
      </c>
      <c r="C180" s="1249"/>
      <c r="D180" s="1249"/>
      <c r="E180" s="1250"/>
      <c r="F180" s="314"/>
      <c r="G180" s="565"/>
      <c r="H180" s="565"/>
      <c r="I180" s="565"/>
      <c r="J180" s="565"/>
      <c r="K180" s="565"/>
      <c r="L180" s="565">
        <f>+L179+L83</f>
        <v>0</v>
      </c>
      <c r="M180" s="565"/>
      <c r="N180" s="565"/>
      <c r="O180" s="565"/>
      <c r="P180" s="565"/>
      <c r="Q180" s="845"/>
      <c r="R180" s="994">
        <f>SUM(G180:P180)</f>
        <v>0</v>
      </c>
    </row>
    <row r="181" spans="2:18" ht="28.5" customHeight="1" x14ac:dyDescent="0.25">
      <c r="B181" s="1248" t="str">
        <f>"per 31/12/"&amp;$P$13</f>
        <v>per 31/12/2024</v>
      </c>
      <c r="C181" s="1249"/>
      <c r="D181" s="1249"/>
      <c r="E181" s="1250"/>
      <c r="F181" s="314"/>
      <c r="G181" s="565"/>
      <c r="H181" s="565"/>
      <c r="I181" s="565"/>
      <c r="J181" s="565"/>
      <c r="K181" s="565"/>
      <c r="L181" s="565"/>
      <c r="M181" s="565"/>
      <c r="N181" s="565"/>
      <c r="O181" s="565"/>
      <c r="P181" s="565"/>
      <c r="Q181" s="845"/>
      <c r="R181" s="994"/>
    </row>
    <row r="182" spans="2:18" ht="26.25" customHeight="1" x14ac:dyDescent="0.25">
      <c r="B182" s="1254" t="s">
        <v>118</v>
      </c>
      <c r="C182" s="1255"/>
      <c r="D182" s="1255"/>
      <c r="E182" s="1256"/>
      <c r="F182" s="168"/>
      <c r="G182" s="992"/>
      <c r="H182" s="992"/>
      <c r="I182" s="992"/>
      <c r="J182" s="992"/>
      <c r="K182" s="992"/>
      <c r="L182" s="992"/>
      <c r="M182" s="992"/>
      <c r="N182" s="993"/>
      <c r="O182" s="993"/>
      <c r="P182" s="993"/>
      <c r="R182" s="992"/>
    </row>
    <row r="183" spans="2:18" ht="28.5" customHeight="1" x14ac:dyDescent="0.25">
      <c r="B183" s="1257" t="str">
        <f>"per 31/12/"&amp;$G$13</f>
        <v>per 31/12/2015</v>
      </c>
      <c r="C183" s="1258"/>
      <c r="D183" s="1258"/>
      <c r="E183" s="1259"/>
      <c r="F183" s="168"/>
      <c r="G183" s="255">
        <f>+G$20+G86</f>
        <v>0</v>
      </c>
      <c r="H183" s="255"/>
      <c r="I183" s="255"/>
      <c r="J183" s="255"/>
      <c r="K183" s="255"/>
      <c r="L183" s="255"/>
      <c r="M183" s="255"/>
      <c r="N183" s="565"/>
      <c r="O183" s="565"/>
      <c r="P183" s="565"/>
      <c r="R183" s="991">
        <f t="shared" si="11"/>
        <v>0</v>
      </c>
    </row>
    <row r="184" spans="2:18" ht="28.5" customHeight="1" x14ac:dyDescent="0.25">
      <c r="B184" s="1257" t="str">
        <f>"per 31/12/"&amp;$H$13</f>
        <v>per 31/12/2016</v>
      </c>
      <c r="C184" s="1258"/>
      <c r="D184" s="1258"/>
      <c r="E184" s="1259"/>
      <c r="F184" s="168"/>
      <c r="G184" s="255">
        <f t="shared" ref="G184:G190" si="20">G183+G87</f>
        <v>0</v>
      </c>
      <c r="H184" s="255">
        <f>+H$20+H87</f>
        <v>0</v>
      </c>
      <c r="I184" s="255"/>
      <c r="J184" s="255"/>
      <c r="K184" s="255"/>
      <c r="L184" s="255"/>
      <c r="M184" s="255"/>
      <c r="N184" s="565"/>
      <c r="O184" s="565"/>
      <c r="P184" s="565"/>
      <c r="R184" s="991">
        <f t="shared" si="11"/>
        <v>0</v>
      </c>
    </row>
    <row r="185" spans="2:18" ht="28.5" customHeight="1" x14ac:dyDescent="0.25">
      <c r="B185" s="1257" t="str">
        <f>"per 31/12/"&amp;$I$13</f>
        <v>per 31/12/2017</v>
      </c>
      <c r="C185" s="1258"/>
      <c r="D185" s="1258"/>
      <c r="E185" s="1259"/>
      <c r="F185" s="168"/>
      <c r="G185" s="255">
        <f t="shared" si="20"/>
        <v>0</v>
      </c>
      <c r="H185" s="255">
        <f t="shared" ref="H185:H190" si="21">H184+H88</f>
        <v>0</v>
      </c>
      <c r="I185" s="255">
        <f>+I$20+I88</f>
        <v>0</v>
      </c>
      <c r="J185" s="255"/>
      <c r="K185" s="255"/>
      <c r="L185" s="255"/>
      <c r="M185" s="255"/>
      <c r="N185" s="565"/>
      <c r="O185" s="565"/>
      <c r="P185" s="565"/>
      <c r="R185" s="991">
        <f t="shared" si="11"/>
        <v>0</v>
      </c>
    </row>
    <row r="186" spans="2:18" ht="28.5" customHeight="1" x14ac:dyDescent="0.25">
      <c r="B186" s="1257" t="str">
        <f>"per 31/12/"&amp;$J$13</f>
        <v>per 31/12/2018</v>
      </c>
      <c r="C186" s="1258"/>
      <c r="D186" s="1258"/>
      <c r="E186" s="1259"/>
      <c r="F186" s="168"/>
      <c r="G186" s="255">
        <f t="shared" si="20"/>
        <v>0</v>
      </c>
      <c r="H186" s="255">
        <f t="shared" si="21"/>
        <v>0</v>
      </c>
      <c r="I186" s="255">
        <f>I185+I89</f>
        <v>0</v>
      </c>
      <c r="J186" s="255">
        <f>+J$20+J89</f>
        <v>0</v>
      </c>
      <c r="K186" s="255"/>
      <c r="L186" s="255"/>
      <c r="M186" s="255"/>
      <c r="N186" s="565"/>
      <c r="O186" s="565"/>
      <c r="P186" s="565"/>
      <c r="R186" s="991">
        <f t="shared" si="11"/>
        <v>0</v>
      </c>
    </row>
    <row r="187" spans="2:18" ht="28.5" customHeight="1" x14ac:dyDescent="0.25">
      <c r="B187" s="1257" t="str">
        <f>"per 31/12/"&amp;$K$13</f>
        <v>per 31/12/2019</v>
      </c>
      <c r="C187" s="1258"/>
      <c r="D187" s="1258"/>
      <c r="E187" s="1259"/>
      <c r="F187" s="168"/>
      <c r="G187" s="255">
        <f t="shared" si="20"/>
        <v>0</v>
      </c>
      <c r="H187" s="255">
        <f t="shared" si="21"/>
        <v>0</v>
      </c>
      <c r="I187" s="255">
        <f>I186+I90</f>
        <v>0</v>
      </c>
      <c r="J187" s="255">
        <f>J186+J90</f>
        <v>0</v>
      </c>
      <c r="K187" s="255">
        <f>+K$20+K90</f>
        <v>0</v>
      </c>
      <c r="L187" s="255"/>
      <c r="M187" s="255"/>
      <c r="N187" s="565"/>
      <c r="O187" s="565"/>
      <c r="P187" s="565"/>
      <c r="R187" s="991">
        <f t="shared" si="11"/>
        <v>0</v>
      </c>
    </row>
    <row r="188" spans="2:18" ht="28.5" customHeight="1" x14ac:dyDescent="0.25">
      <c r="B188" s="1257" t="str">
        <f>"per 31/12/"&amp;$L$13</f>
        <v>per 31/12/2020</v>
      </c>
      <c r="C188" s="1258"/>
      <c r="D188" s="1258"/>
      <c r="E188" s="1259"/>
      <c r="F188" s="168"/>
      <c r="G188" s="255">
        <f t="shared" si="20"/>
        <v>0</v>
      </c>
      <c r="H188" s="255">
        <f t="shared" si="21"/>
        <v>0</v>
      </c>
      <c r="I188" s="255">
        <f>I187+I91</f>
        <v>0</v>
      </c>
      <c r="J188" s="255">
        <f>J187+J91</f>
        <v>0</v>
      </c>
      <c r="K188" s="255">
        <f>K187+K91</f>
        <v>0</v>
      </c>
      <c r="L188" s="255">
        <f>+L$20+L91</f>
        <v>0</v>
      </c>
      <c r="M188" s="255"/>
      <c r="N188" s="565"/>
      <c r="O188" s="565"/>
      <c r="P188" s="565"/>
      <c r="R188" s="991">
        <f t="shared" si="11"/>
        <v>0</v>
      </c>
    </row>
    <row r="189" spans="2:18" ht="28.5" customHeight="1" x14ac:dyDescent="0.25">
      <c r="B189" s="1257" t="str">
        <f>"per 31/12/"&amp;$M$13</f>
        <v>per 31/12/2021</v>
      </c>
      <c r="C189" s="1258"/>
      <c r="D189" s="1258"/>
      <c r="E189" s="1259"/>
      <c r="F189" s="168"/>
      <c r="G189" s="255">
        <f t="shared" si="20"/>
        <v>0</v>
      </c>
      <c r="H189" s="255">
        <f t="shared" si="21"/>
        <v>0</v>
      </c>
      <c r="I189" s="255">
        <f>I188+I92</f>
        <v>0</v>
      </c>
      <c r="J189" s="255">
        <f>J188+J92</f>
        <v>0</v>
      </c>
      <c r="K189" s="255">
        <f>K188+K92</f>
        <v>0</v>
      </c>
      <c r="L189" s="255">
        <f>L188+L92</f>
        <v>0</v>
      </c>
      <c r="M189" s="255">
        <f>+M$20+M92</f>
        <v>0</v>
      </c>
      <c r="N189" s="565"/>
      <c r="O189" s="565"/>
      <c r="P189" s="565"/>
      <c r="R189" s="991">
        <f t="shared" si="11"/>
        <v>0</v>
      </c>
    </row>
    <row r="190" spans="2:18" ht="28.5" customHeight="1" x14ac:dyDescent="0.25">
      <c r="B190" s="1248" t="str">
        <f>"per 31/12/"&amp;$N$13</f>
        <v>per 31/12/2022</v>
      </c>
      <c r="C190" s="1249"/>
      <c r="D190" s="1249"/>
      <c r="E190" s="1250"/>
      <c r="F190" s="314"/>
      <c r="G190" s="565">
        <f t="shared" si="20"/>
        <v>0</v>
      </c>
      <c r="H190" s="565">
        <f t="shared" si="21"/>
        <v>0</v>
      </c>
      <c r="I190" s="565">
        <f>I189+I93</f>
        <v>0</v>
      </c>
      <c r="J190" s="565">
        <f>J189+J93</f>
        <v>0</v>
      </c>
      <c r="K190" s="565">
        <f>K189+K93</f>
        <v>0</v>
      </c>
      <c r="L190" s="565">
        <f>L189+L93</f>
        <v>0</v>
      </c>
      <c r="M190" s="565">
        <f>M189+M93</f>
        <v>0</v>
      </c>
      <c r="N190" s="565">
        <f>+N$20+N93</f>
        <v>0</v>
      </c>
      <c r="O190" s="565"/>
      <c r="P190" s="565"/>
      <c r="Q190" s="845"/>
      <c r="R190" s="994">
        <f t="shared" si="11"/>
        <v>0</v>
      </c>
    </row>
    <row r="191" spans="2:18" ht="28.5" customHeight="1" x14ac:dyDescent="0.25">
      <c r="B191" s="1248" t="str">
        <f>"per 31/12/"&amp;$O$13</f>
        <v>per 31/12/2023</v>
      </c>
      <c r="C191" s="1249"/>
      <c r="D191" s="1249"/>
      <c r="E191" s="1250"/>
      <c r="F191" s="314"/>
      <c r="G191" s="565"/>
      <c r="H191" s="565"/>
      <c r="I191" s="565"/>
      <c r="J191" s="565"/>
      <c r="K191" s="565"/>
      <c r="L191" s="565">
        <f>L190+L94</f>
        <v>0</v>
      </c>
      <c r="M191" s="565">
        <f>M190+M94</f>
        <v>0</v>
      </c>
      <c r="N191" s="565">
        <f>N190+N94</f>
        <v>0</v>
      </c>
      <c r="O191" s="565">
        <f>+O$20+O94</f>
        <v>0</v>
      </c>
      <c r="P191" s="565"/>
      <c r="Q191" s="845"/>
      <c r="R191" s="994">
        <f t="shared" si="11"/>
        <v>0</v>
      </c>
    </row>
    <row r="192" spans="2:18" ht="28.5" customHeight="1" x14ac:dyDescent="0.25">
      <c r="B192" s="1248" t="str">
        <f>"per 31/12/"&amp;$P$13</f>
        <v>per 31/12/2024</v>
      </c>
      <c r="C192" s="1249"/>
      <c r="D192" s="1249"/>
      <c r="E192" s="1250"/>
      <c r="F192" s="314"/>
      <c r="G192" s="565"/>
      <c r="H192" s="565"/>
      <c r="I192" s="565"/>
      <c r="J192" s="565"/>
      <c r="K192" s="565"/>
      <c r="L192" s="565"/>
      <c r="M192" s="565">
        <f>M191+M95</f>
        <v>0</v>
      </c>
      <c r="N192" s="565">
        <f>N191+N95</f>
        <v>0</v>
      </c>
      <c r="O192" s="565">
        <f>O191+O95</f>
        <v>0</v>
      </c>
      <c r="P192" s="565">
        <f>+P$20+P95</f>
        <v>0</v>
      </c>
      <c r="Q192" s="845"/>
      <c r="R192" s="994">
        <f t="shared" ref="R192" si="22">SUM(G192:P192)</f>
        <v>0</v>
      </c>
    </row>
    <row r="193" spans="1:18" ht="33" customHeight="1" x14ac:dyDescent="0.25">
      <c r="B193" s="1254" t="s">
        <v>68</v>
      </c>
      <c r="C193" s="1255"/>
      <c r="D193" s="1255"/>
      <c r="E193" s="1256"/>
      <c r="F193" s="168"/>
      <c r="G193" s="992"/>
      <c r="H193" s="992"/>
      <c r="I193" s="992"/>
      <c r="J193" s="992"/>
      <c r="K193" s="992"/>
      <c r="L193" s="992"/>
      <c r="M193" s="992"/>
      <c r="N193" s="993"/>
      <c r="O193" s="993"/>
      <c r="P193" s="993"/>
      <c r="R193" s="992"/>
    </row>
    <row r="194" spans="1:18" ht="28.5" customHeight="1" x14ac:dyDescent="0.25">
      <c r="B194" s="1257" t="str">
        <f>"per 31/12/"&amp;$G$13</f>
        <v>per 31/12/2015</v>
      </c>
      <c r="C194" s="1258"/>
      <c r="D194" s="1258"/>
      <c r="E194" s="1259"/>
      <c r="F194" s="168"/>
      <c r="G194" s="999">
        <f>+G$21+G97</f>
        <v>0</v>
      </c>
      <c r="H194" s="255"/>
      <c r="I194" s="255"/>
      <c r="J194" s="255"/>
      <c r="K194" s="255"/>
      <c r="L194" s="255"/>
      <c r="M194" s="255"/>
      <c r="N194" s="565"/>
      <c r="O194" s="565"/>
      <c r="P194" s="565"/>
      <c r="R194" s="991">
        <f t="shared" ref="R194:R203" si="23">SUM(G194:P194)</f>
        <v>0</v>
      </c>
    </row>
    <row r="195" spans="1:18" ht="28.5" customHeight="1" x14ac:dyDescent="0.25">
      <c r="B195" s="1257" t="str">
        <f>"per 31/12/"&amp;$H$13</f>
        <v>per 31/12/2016</v>
      </c>
      <c r="C195" s="1258"/>
      <c r="D195" s="1258"/>
      <c r="E195" s="1259"/>
      <c r="F195" s="168"/>
      <c r="G195" s="255">
        <f t="shared" ref="G195:G201" si="24">+G194+G98</f>
        <v>0</v>
      </c>
      <c r="H195" s="255">
        <f>+H$21+H98</f>
        <v>0</v>
      </c>
      <c r="I195" s="255"/>
      <c r="J195" s="255"/>
      <c r="K195" s="255"/>
      <c r="L195" s="255"/>
      <c r="M195" s="255"/>
      <c r="N195" s="565"/>
      <c r="O195" s="565"/>
      <c r="P195" s="565"/>
      <c r="R195" s="991">
        <f t="shared" si="23"/>
        <v>0</v>
      </c>
    </row>
    <row r="196" spans="1:18" ht="28.5" customHeight="1" x14ac:dyDescent="0.25">
      <c r="B196" s="1257" t="str">
        <f>"per 31/12/"&amp;$I$13</f>
        <v>per 31/12/2017</v>
      </c>
      <c r="C196" s="1258"/>
      <c r="D196" s="1258"/>
      <c r="E196" s="1259"/>
      <c r="F196" s="168"/>
      <c r="G196" s="255">
        <f t="shared" si="24"/>
        <v>0</v>
      </c>
      <c r="H196" s="255">
        <f t="shared" ref="H196:H201" si="25">+H195+H99</f>
        <v>0</v>
      </c>
      <c r="I196" s="255">
        <f>+I$21+I99</f>
        <v>0</v>
      </c>
      <c r="J196" s="255"/>
      <c r="K196" s="255"/>
      <c r="L196" s="255"/>
      <c r="M196" s="255"/>
      <c r="N196" s="565"/>
      <c r="O196" s="565"/>
      <c r="P196" s="565"/>
      <c r="R196" s="991">
        <f t="shared" si="23"/>
        <v>0</v>
      </c>
    </row>
    <row r="197" spans="1:18" ht="28.5" customHeight="1" x14ac:dyDescent="0.25">
      <c r="B197" s="1257" t="str">
        <f>"per 31/12/"&amp;$J$13</f>
        <v>per 31/12/2018</v>
      </c>
      <c r="C197" s="1258"/>
      <c r="D197" s="1258"/>
      <c r="E197" s="1259"/>
      <c r="F197" s="168"/>
      <c r="G197" s="255">
        <f t="shared" si="24"/>
        <v>0</v>
      </c>
      <c r="H197" s="255">
        <f t="shared" si="25"/>
        <v>0</v>
      </c>
      <c r="I197" s="255">
        <f>+I196+I100</f>
        <v>0</v>
      </c>
      <c r="J197" s="255">
        <f>+J$21+J100</f>
        <v>0</v>
      </c>
      <c r="K197" s="255"/>
      <c r="L197" s="255"/>
      <c r="M197" s="255"/>
      <c r="N197" s="565"/>
      <c r="O197" s="565"/>
      <c r="P197" s="565"/>
      <c r="R197" s="991">
        <f t="shared" si="23"/>
        <v>0</v>
      </c>
    </row>
    <row r="198" spans="1:18" ht="28.5" customHeight="1" x14ac:dyDescent="0.25">
      <c r="B198" s="1257" t="str">
        <f>"per 31/12/"&amp;$K$13</f>
        <v>per 31/12/2019</v>
      </c>
      <c r="C198" s="1258"/>
      <c r="D198" s="1258"/>
      <c r="E198" s="1259"/>
      <c r="F198" s="168"/>
      <c r="G198" s="255">
        <f t="shared" si="24"/>
        <v>0</v>
      </c>
      <c r="H198" s="255">
        <f t="shared" si="25"/>
        <v>0</v>
      </c>
      <c r="I198" s="255">
        <f>+I197+I101</f>
        <v>0</v>
      </c>
      <c r="J198" s="255">
        <f>+J197+J101</f>
        <v>0</v>
      </c>
      <c r="K198" s="255">
        <f>+K$21+K101</f>
        <v>0</v>
      </c>
      <c r="L198" s="255"/>
      <c r="M198" s="255"/>
      <c r="N198" s="565"/>
      <c r="O198" s="565"/>
      <c r="P198" s="565"/>
      <c r="R198" s="991">
        <f t="shared" si="23"/>
        <v>0</v>
      </c>
    </row>
    <row r="199" spans="1:18" ht="28.5" customHeight="1" x14ac:dyDescent="0.25">
      <c r="B199" s="1257" t="str">
        <f>"per 31/12/"&amp;$L$13</f>
        <v>per 31/12/2020</v>
      </c>
      <c r="C199" s="1258"/>
      <c r="D199" s="1258"/>
      <c r="E199" s="1259"/>
      <c r="F199" s="168"/>
      <c r="G199" s="255">
        <f t="shared" si="24"/>
        <v>0</v>
      </c>
      <c r="H199" s="255">
        <f t="shared" si="25"/>
        <v>0</v>
      </c>
      <c r="I199" s="255">
        <f>+I198+I102</f>
        <v>0</v>
      </c>
      <c r="J199" s="255">
        <f>+J198+J102</f>
        <v>0</v>
      </c>
      <c r="K199" s="255">
        <f>+K198+K102</f>
        <v>0</v>
      </c>
      <c r="L199" s="255">
        <f>+L$21+L102</f>
        <v>0</v>
      </c>
      <c r="M199" s="255"/>
      <c r="N199" s="565"/>
      <c r="O199" s="565"/>
      <c r="P199" s="565"/>
      <c r="R199" s="991">
        <f t="shared" si="23"/>
        <v>0</v>
      </c>
    </row>
    <row r="200" spans="1:18" ht="28.5" customHeight="1" x14ac:dyDescent="0.25">
      <c r="B200" s="1257" t="str">
        <f>"per 31/12/"&amp;$M$13</f>
        <v>per 31/12/2021</v>
      </c>
      <c r="C200" s="1258"/>
      <c r="D200" s="1258"/>
      <c r="E200" s="1259"/>
      <c r="F200" s="168"/>
      <c r="G200" s="255">
        <f t="shared" si="24"/>
        <v>0</v>
      </c>
      <c r="H200" s="255">
        <f t="shared" si="25"/>
        <v>0</v>
      </c>
      <c r="I200" s="255">
        <f>+I199+I103</f>
        <v>0</v>
      </c>
      <c r="J200" s="255">
        <f>+J199+J103</f>
        <v>0</v>
      </c>
      <c r="K200" s="255">
        <f>+K199+K103</f>
        <v>0</v>
      </c>
      <c r="L200" s="255">
        <f>+L199+L103</f>
        <v>0</v>
      </c>
      <c r="M200" s="255">
        <f>+M$21+M103</f>
        <v>0</v>
      </c>
      <c r="N200" s="565"/>
      <c r="O200" s="565"/>
      <c r="P200" s="565"/>
      <c r="R200" s="991">
        <f t="shared" si="23"/>
        <v>0</v>
      </c>
    </row>
    <row r="201" spans="1:18" ht="28.5" customHeight="1" x14ac:dyDescent="0.25">
      <c r="B201" s="1248" t="str">
        <f>"per 31/12/"&amp;$N$13</f>
        <v>per 31/12/2022</v>
      </c>
      <c r="C201" s="1249"/>
      <c r="D201" s="1249"/>
      <c r="E201" s="1250"/>
      <c r="F201" s="314"/>
      <c r="G201" s="565">
        <f t="shared" si="24"/>
        <v>0</v>
      </c>
      <c r="H201" s="565">
        <f t="shared" si="25"/>
        <v>0</v>
      </c>
      <c r="I201" s="565">
        <f>+I200+I104</f>
        <v>0</v>
      </c>
      <c r="J201" s="565">
        <f>+J200+J104</f>
        <v>0</v>
      </c>
      <c r="K201" s="565">
        <f>+K200+K104</f>
        <v>0</v>
      </c>
      <c r="L201" s="565">
        <f>+L200+L104</f>
        <v>0</v>
      </c>
      <c r="M201" s="565">
        <f>+M200+M104</f>
        <v>0</v>
      </c>
      <c r="N201" s="565">
        <f>+N$21+N104</f>
        <v>0</v>
      </c>
      <c r="O201" s="565"/>
      <c r="P201" s="565"/>
      <c r="Q201" s="845"/>
      <c r="R201" s="994">
        <f t="shared" si="23"/>
        <v>0</v>
      </c>
    </row>
    <row r="202" spans="1:18" ht="28.5" customHeight="1" x14ac:dyDescent="0.25">
      <c r="B202" s="1248" t="str">
        <f>"per 31/12/"&amp;$O$13</f>
        <v>per 31/12/2023</v>
      </c>
      <c r="C202" s="1249"/>
      <c r="D202" s="1249"/>
      <c r="E202" s="1250"/>
      <c r="F202" s="314"/>
      <c r="G202" s="565"/>
      <c r="H202" s="565"/>
      <c r="I202" s="565"/>
      <c r="J202" s="565"/>
      <c r="K202" s="565"/>
      <c r="L202" s="565">
        <f>+L201+L105</f>
        <v>0</v>
      </c>
      <c r="M202" s="565">
        <f>+M201+M105</f>
        <v>0</v>
      </c>
      <c r="N202" s="565">
        <f>+N201+N105</f>
        <v>0</v>
      </c>
      <c r="O202" s="565">
        <f>+O$21+O105</f>
        <v>0</v>
      </c>
      <c r="P202" s="565"/>
      <c r="Q202" s="845"/>
      <c r="R202" s="994">
        <f t="shared" si="23"/>
        <v>0</v>
      </c>
    </row>
    <row r="203" spans="1:18" ht="28.5" customHeight="1" x14ac:dyDescent="0.25">
      <c r="B203" s="1248" t="str">
        <f>"per 31/12/"&amp;$P$13</f>
        <v>per 31/12/2024</v>
      </c>
      <c r="C203" s="1249"/>
      <c r="D203" s="1249"/>
      <c r="E203" s="1250"/>
      <c r="F203" s="314"/>
      <c r="G203" s="565"/>
      <c r="H203" s="565"/>
      <c r="I203" s="565"/>
      <c r="J203" s="565"/>
      <c r="K203" s="565"/>
      <c r="L203" s="565"/>
      <c r="M203" s="565">
        <f>+M202+M106</f>
        <v>0</v>
      </c>
      <c r="N203" s="565">
        <f>+N202+N106</f>
        <v>0</v>
      </c>
      <c r="O203" s="565">
        <f>+O202+O106</f>
        <v>0</v>
      </c>
      <c r="P203" s="565">
        <f>+P$21+P106</f>
        <v>0</v>
      </c>
      <c r="Q203" s="845"/>
      <c r="R203" s="994">
        <f t="shared" si="23"/>
        <v>0</v>
      </c>
    </row>
    <row r="204" spans="1:18" ht="13" x14ac:dyDescent="0.25">
      <c r="G204" s="306"/>
      <c r="H204" s="306"/>
      <c r="I204" s="306"/>
      <c r="J204" s="306"/>
      <c r="K204" s="306"/>
      <c r="L204" s="306"/>
      <c r="M204" s="306"/>
      <c r="N204" s="839"/>
      <c r="O204" s="839"/>
      <c r="P204" s="839"/>
      <c r="R204" s="307"/>
    </row>
    <row r="205" spans="1:18" s="224" customFormat="1" ht="13" x14ac:dyDescent="0.25">
      <c r="B205" s="315"/>
      <c r="C205" s="316"/>
      <c r="D205" s="316"/>
      <c r="E205" s="317"/>
      <c r="F205" s="283"/>
      <c r="G205" s="975">
        <v>2015</v>
      </c>
      <c r="H205" s="166">
        <f>+G205+1</f>
        <v>2016</v>
      </c>
      <c r="I205" s="166">
        <f>+H205+1</f>
        <v>2017</v>
      </c>
      <c r="J205" s="166">
        <f>+I205+1</f>
        <v>2018</v>
      </c>
      <c r="K205" s="166">
        <f>+J205+1</f>
        <v>2019</v>
      </c>
      <c r="L205" s="166">
        <f t="shared" ref="L205:P205" si="26">+K205+1</f>
        <v>2020</v>
      </c>
      <c r="M205" s="166">
        <f t="shared" si="26"/>
        <v>2021</v>
      </c>
      <c r="N205" s="837">
        <f t="shared" si="26"/>
        <v>2022</v>
      </c>
      <c r="O205" s="837">
        <f t="shared" si="26"/>
        <v>2023</v>
      </c>
      <c r="P205" s="837">
        <f t="shared" si="26"/>
        <v>2024</v>
      </c>
      <c r="Q205" s="209"/>
      <c r="R205" s="166" t="s">
        <v>20</v>
      </c>
    </row>
    <row r="206" spans="1:18" ht="20.25" customHeight="1" x14ac:dyDescent="0.25">
      <c r="B206" s="1251" t="s">
        <v>158</v>
      </c>
      <c r="C206" s="1252"/>
      <c r="D206" s="1252"/>
      <c r="E206" s="1253"/>
      <c r="F206" s="170"/>
      <c r="G206" s="171"/>
      <c r="H206" s="171"/>
      <c r="I206" s="171"/>
      <c r="J206" s="171"/>
      <c r="K206" s="171"/>
      <c r="L206" s="171"/>
      <c r="M206" s="171"/>
      <c r="N206" s="843"/>
      <c r="O206" s="843"/>
      <c r="P206" s="843"/>
      <c r="R206" s="171"/>
    </row>
    <row r="207" spans="1:18" ht="28.5" customHeight="1" x14ac:dyDescent="0.25">
      <c r="A207" s="209">
        <v>2015</v>
      </c>
      <c r="B207" s="1240" t="str">
        <f>"per 31/12/"&amp;$G$13</f>
        <v>per 31/12/2015</v>
      </c>
      <c r="C207" s="1241"/>
      <c r="D207" s="1241"/>
      <c r="E207" s="1242"/>
      <c r="F207" s="318"/>
      <c r="G207" s="995">
        <f t="shared" ref="G207:G214" si="27">SUMIFS(G$128:G$203,$B$128:$B$203,$B207)</f>
        <v>0</v>
      </c>
      <c r="H207" s="995"/>
      <c r="I207" s="995"/>
      <c r="J207" s="995"/>
      <c r="K207" s="995"/>
      <c r="L207" s="995"/>
      <c r="M207" s="995"/>
      <c r="N207" s="996"/>
      <c r="O207" s="996"/>
      <c r="P207" s="996"/>
      <c r="R207" s="997">
        <f t="shared" ref="R207:R216" si="28">SUMIFS(R$128:R$203,$B$128:$B$203,$B207)</f>
        <v>0</v>
      </c>
    </row>
    <row r="208" spans="1:18" ht="28.5" customHeight="1" x14ac:dyDescent="0.25">
      <c r="A208" s="209">
        <v>2016</v>
      </c>
      <c r="B208" s="1240" t="str">
        <f>"per 31/12/"&amp;$H$13</f>
        <v>per 31/12/2016</v>
      </c>
      <c r="C208" s="1241"/>
      <c r="D208" s="1241"/>
      <c r="E208" s="1242"/>
      <c r="F208" s="318"/>
      <c r="G208" s="995">
        <f t="shared" si="27"/>
        <v>0</v>
      </c>
      <c r="H208" s="995">
        <f t="shared" ref="H208:H214" si="29">SUMIFS(H$128:H$203,$B$128:$B$203,$B208)</f>
        <v>0</v>
      </c>
      <c r="I208" s="995"/>
      <c r="J208" s="995"/>
      <c r="K208" s="995"/>
      <c r="L208" s="995"/>
      <c r="M208" s="995"/>
      <c r="N208" s="996"/>
      <c r="O208" s="996"/>
      <c r="P208" s="996"/>
      <c r="R208" s="997">
        <f t="shared" si="28"/>
        <v>0</v>
      </c>
    </row>
    <row r="209" spans="1:18" ht="28.5" customHeight="1" x14ac:dyDescent="0.25">
      <c r="A209" s="209">
        <v>2017</v>
      </c>
      <c r="B209" s="1240" t="str">
        <f>"per 31/12/"&amp;$I$13</f>
        <v>per 31/12/2017</v>
      </c>
      <c r="C209" s="1241"/>
      <c r="D209" s="1241"/>
      <c r="E209" s="1242"/>
      <c r="F209" s="318"/>
      <c r="G209" s="995">
        <f t="shared" si="27"/>
        <v>0</v>
      </c>
      <c r="H209" s="995">
        <f t="shared" si="29"/>
        <v>0</v>
      </c>
      <c r="I209" s="995">
        <f t="shared" ref="I209:I214" si="30">SUMIFS(I$128:I$203,$B$128:$B$203,$B209)</f>
        <v>0</v>
      </c>
      <c r="J209" s="995"/>
      <c r="K209" s="995"/>
      <c r="L209" s="995"/>
      <c r="M209" s="995"/>
      <c r="N209" s="996"/>
      <c r="O209" s="996"/>
      <c r="P209" s="996"/>
      <c r="R209" s="997">
        <f t="shared" si="28"/>
        <v>0</v>
      </c>
    </row>
    <row r="210" spans="1:18" ht="28.5" customHeight="1" x14ac:dyDescent="0.25">
      <c r="A210" s="209">
        <v>2018</v>
      </c>
      <c r="B210" s="1240" t="str">
        <f>"per 31/12/"&amp;$J$13</f>
        <v>per 31/12/2018</v>
      </c>
      <c r="C210" s="1241"/>
      <c r="D210" s="1241"/>
      <c r="E210" s="1242"/>
      <c r="F210" s="318"/>
      <c r="G210" s="995">
        <f t="shared" si="27"/>
        <v>0</v>
      </c>
      <c r="H210" s="995">
        <f t="shared" si="29"/>
        <v>0</v>
      </c>
      <c r="I210" s="995">
        <f t="shared" si="30"/>
        <v>0</v>
      </c>
      <c r="J210" s="995">
        <f>SUMIFS(J$128:J$203,$B$128:$B$203,$B210)</f>
        <v>0</v>
      </c>
      <c r="K210" s="995"/>
      <c r="L210" s="995"/>
      <c r="M210" s="995"/>
      <c r="N210" s="996"/>
      <c r="O210" s="996"/>
      <c r="P210" s="996"/>
      <c r="R210" s="997">
        <f t="shared" si="28"/>
        <v>0</v>
      </c>
    </row>
    <row r="211" spans="1:18" ht="28.5" customHeight="1" x14ac:dyDescent="0.25">
      <c r="A211" s="209">
        <v>2019</v>
      </c>
      <c r="B211" s="1240" t="str">
        <f>"per 31/12/"&amp;$K$13</f>
        <v>per 31/12/2019</v>
      </c>
      <c r="C211" s="1241"/>
      <c r="D211" s="1241"/>
      <c r="E211" s="1242"/>
      <c r="F211" s="318"/>
      <c r="G211" s="995">
        <f t="shared" si="27"/>
        <v>0</v>
      </c>
      <c r="H211" s="995">
        <f t="shared" si="29"/>
        <v>0</v>
      </c>
      <c r="I211" s="995">
        <f t="shared" si="30"/>
        <v>0</v>
      </c>
      <c r="J211" s="995">
        <f>SUMIFS(J$128:J$203,$B$128:$B$203,$B211)</f>
        <v>0</v>
      </c>
      <c r="K211" s="995">
        <f>SUMIFS(K$128:K$203,$B$128:$B$203,$B211)</f>
        <v>0</v>
      </c>
      <c r="L211" s="995"/>
      <c r="M211" s="995"/>
      <c r="N211" s="996"/>
      <c r="O211" s="996"/>
      <c r="P211" s="996"/>
      <c r="R211" s="997">
        <f t="shared" si="28"/>
        <v>0</v>
      </c>
    </row>
    <row r="212" spans="1:18" ht="28.5" customHeight="1" x14ac:dyDescent="0.25">
      <c r="A212" s="209">
        <v>2020</v>
      </c>
      <c r="B212" s="1240" t="str">
        <f>"per 31/12/"&amp;$L$13</f>
        <v>per 31/12/2020</v>
      </c>
      <c r="C212" s="1241"/>
      <c r="D212" s="1241"/>
      <c r="E212" s="1242"/>
      <c r="F212" s="318"/>
      <c r="G212" s="995">
        <f t="shared" si="27"/>
        <v>0</v>
      </c>
      <c r="H212" s="995">
        <f t="shared" si="29"/>
        <v>0</v>
      </c>
      <c r="I212" s="995">
        <f t="shared" si="30"/>
        <v>0</v>
      </c>
      <c r="J212" s="995">
        <f>SUMIFS(J$128:J$203,$B$128:$B$203,$B212)</f>
        <v>0</v>
      </c>
      <c r="K212" s="995">
        <f>SUMIFS(K$128:K$203,$B$128:$B$203,$B212)</f>
        <v>0</v>
      </c>
      <c r="L212" s="995">
        <f>SUMIFS(L$128:L$203,$B$128:$B$203,$B212)</f>
        <v>0</v>
      </c>
      <c r="M212" s="995"/>
      <c r="N212" s="996"/>
      <c r="O212" s="996"/>
      <c r="P212" s="996"/>
      <c r="R212" s="997">
        <f t="shared" si="28"/>
        <v>0</v>
      </c>
    </row>
    <row r="213" spans="1:18" ht="28.5" customHeight="1" x14ac:dyDescent="0.25">
      <c r="A213" s="209">
        <v>2021</v>
      </c>
      <c r="B213" s="1240" t="str">
        <f>"per 31/12/"&amp;$M$13</f>
        <v>per 31/12/2021</v>
      </c>
      <c r="C213" s="1241"/>
      <c r="D213" s="1241"/>
      <c r="E213" s="1242"/>
      <c r="F213" s="318"/>
      <c r="G213" s="995">
        <f t="shared" si="27"/>
        <v>0</v>
      </c>
      <c r="H213" s="995">
        <f t="shared" si="29"/>
        <v>0</v>
      </c>
      <c r="I213" s="995">
        <f t="shared" si="30"/>
        <v>0</v>
      </c>
      <c r="J213" s="995">
        <f>SUMIFS(J$128:J$203,$B$128:$B$203,$B213)</f>
        <v>0</v>
      </c>
      <c r="K213" s="995">
        <f>SUMIFS(K$128:K$203,$B$128:$B$203,$B213)</f>
        <v>0</v>
      </c>
      <c r="L213" s="995">
        <f>SUMIFS(L$128:L$203,$B$128:$B$203,$B213)</f>
        <v>0</v>
      </c>
      <c r="M213" s="995">
        <f>SUMIFS(M$128:M$203,$B$128:$B$203,$B213)</f>
        <v>0</v>
      </c>
      <c r="N213" s="996"/>
      <c r="O213" s="996"/>
      <c r="P213" s="996"/>
      <c r="R213" s="997">
        <f t="shared" si="28"/>
        <v>0</v>
      </c>
    </row>
    <row r="214" spans="1:18" ht="28.5" customHeight="1" x14ac:dyDescent="0.25">
      <c r="A214" s="209">
        <v>2022</v>
      </c>
      <c r="B214" s="1243" t="str">
        <f>"per 31/12/"&amp;$N$13</f>
        <v>per 31/12/2022</v>
      </c>
      <c r="C214" s="1244"/>
      <c r="D214" s="1244"/>
      <c r="E214" s="1245"/>
      <c r="F214" s="846"/>
      <c r="G214" s="996">
        <f t="shared" si="27"/>
        <v>0</v>
      </c>
      <c r="H214" s="996">
        <f t="shared" si="29"/>
        <v>0</v>
      </c>
      <c r="I214" s="996">
        <f t="shared" si="30"/>
        <v>0</v>
      </c>
      <c r="J214" s="996">
        <f>SUMIFS(J$128:J$203,$B$128:$B$203,$B214)</f>
        <v>0</v>
      </c>
      <c r="K214" s="996">
        <f>SUMIFS(K$128:K$203,$B$128:$B$203,$B214)</f>
        <v>0</v>
      </c>
      <c r="L214" s="996">
        <f>SUMIFS(L$128:L$203,$B$128:$B$203,$B214)</f>
        <v>0</v>
      </c>
      <c r="M214" s="996">
        <f>SUMIFS(M$128:M$203,$B$128:$B$203,$B214)</f>
        <v>0</v>
      </c>
      <c r="N214" s="996">
        <f>SUMIFS(N$128:N$203,$B$128:$B$203,$B214)</f>
        <v>0</v>
      </c>
      <c r="O214" s="996"/>
      <c r="P214" s="996"/>
      <c r="Q214" s="845"/>
      <c r="R214" s="998">
        <f t="shared" si="28"/>
        <v>0</v>
      </c>
    </row>
    <row r="215" spans="1:18" ht="28.5" customHeight="1" x14ac:dyDescent="0.25">
      <c r="A215" s="209">
        <v>2023</v>
      </c>
      <c r="B215" s="1243" t="str">
        <f>"per 31/12/"&amp;$O$13</f>
        <v>per 31/12/2023</v>
      </c>
      <c r="C215" s="1244"/>
      <c r="D215" s="1244"/>
      <c r="E215" s="1245"/>
      <c r="F215" s="846"/>
      <c r="G215" s="996"/>
      <c r="H215" s="996"/>
      <c r="I215" s="996"/>
      <c r="J215" s="996"/>
      <c r="K215" s="996"/>
      <c r="L215" s="996">
        <f>SUMIFS(L$128:L$203,$B$128:$B$203,$B215)</f>
        <v>0</v>
      </c>
      <c r="M215" s="996">
        <f>SUMIFS(M$128:M$203,$B$128:$B$203,$B215)</f>
        <v>0</v>
      </c>
      <c r="N215" s="996">
        <f>SUMIFS(N$128:N$203,$B$128:$B$203,$B215)</f>
        <v>0</v>
      </c>
      <c r="O215" s="996">
        <f>SUMIFS(O$128:O$203,$B$128:$B$203,$B215)</f>
        <v>0</v>
      </c>
      <c r="P215" s="996"/>
      <c r="Q215" s="845"/>
      <c r="R215" s="998">
        <f t="shared" si="28"/>
        <v>0</v>
      </c>
    </row>
    <row r="216" spans="1:18" ht="28.5" customHeight="1" x14ac:dyDescent="0.25">
      <c r="A216" s="209">
        <v>2024</v>
      </c>
      <c r="B216" s="1243" t="str">
        <f>"per 31/12/"&amp;$P$13</f>
        <v>per 31/12/2024</v>
      </c>
      <c r="C216" s="1244"/>
      <c r="D216" s="1244"/>
      <c r="E216" s="1245"/>
      <c r="F216" s="846"/>
      <c r="G216" s="996"/>
      <c r="H216" s="996"/>
      <c r="I216" s="996"/>
      <c r="J216" s="996"/>
      <c r="K216" s="996"/>
      <c r="L216" s="996"/>
      <c r="M216" s="996">
        <f>SUMIFS(M$128:M$203,$B$128:$B$203,$B216)</f>
        <v>0</v>
      </c>
      <c r="N216" s="996">
        <f>SUMIFS(N$128:N$203,$B$128:$B$203,$B216)</f>
        <v>0</v>
      </c>
      <c r="O216" s="996">
        <f>SUMIFS(O$128:O$203,$B$128:$B$203,$B216)</f>
        <v>0</v>
      </c>
      <c r="P216" s="996">
        <f>SUMIFS(P$128:P$203,$B$128:$B$203,$B216)</f>
        <v>0</v>
      </c>
      <c r="Q216" s="845"/>
      <c r="R216" s="998">
        <f t="shared" si="28"/>
        <v>0</v>
      </c>
    </row>
    <row r="217" spans="1:18" s="224" customFormat="1" ht="13" x14ac:dyDescent="0.25">
      <c r="B217" s="1246" t="s">
        <v>123</v>
      </c>
      <c r="C217" s="1246"/>
      <c r="D217" s="1246"/>
      <c r="E217" s="1246"/>
      <c r="G217" s="309">
        <f>IF($E$2="ex-ante",(INDEX(G$207:G$216,MATCH($D$2,$A$207:$A$216,0),1))-T5A!C64,IF($E$2="ex-post",(INDEX(G$207:G$216,MATCH($D$2,$A$207:$A$216,0),1))-T5A!C64+SUMIFS(T5A!C$70:C$79,T5A!$B$70:$B$79,$D$2+1),"FOUT"))</f>
        <v>0</v>
      </c>
      <c r="H217" s="309">
        <f>IF($E$2="ex-ante",(INDEX(H$207:H$216,MATCH($D$2,$A$207:$A$216,0),1))-T5A!D64,IF($E$2="ex-post",(INDEX(H$207:H$216,MATCH($D$2,$A$207:$A$216,0),1))-T5A!D64+SUMIFS(T5A!D$70:D$79,T5A!$B$70:$B$79,$D$2+1),"FOUT"))</f>
        <v>0</v>
      </c>
      <c r="I217" s="309">
        <f>IF($E$2="ex-ante",(INDEX(I$207:I$216,MATCH($D$2,$A$207:$A$216,0),1))-T5A!E64,IF($E$2="ex-post",(INDEX(I$207:I$216,MATCH($D$2,$A$207:$A$216,0),1))-T5A!E64+SUMIFS(T5A!E$70:E$79,T5A!$B$70:$B$79,$D$2+1),"FOUT"))</f>
        <v>0</v>
      </c>
      <c r="J217" s="309">
        <f>IF($E$2="ex-ante",(INDEX(J$207:J$216,MATCH($D$2,$A$207:$A$216,0),1))-T5A!F64,IF($E$2="ex-post",(INDEX(J$207:J$216,MATCH($D$2,$A$207:$A$216,0),1))-T5A!F64+SUMIFS(T5A!F$70:F$79,T5A!$B$70:$B$79,$D$2+1),"FOUT"))</f>
        <v>0</v>
      </c>
      <c r="K217" s="309">
        <f>IF($E$2="ex-ante",(INDEX(K$207:K$216,MATCH($D$2,$A$207:$A$216,0),1))-T5A!G64,IF($E$2="ex-post",(INDEX(K$207:K$216,MATCH($D$2,$A$207:$A$216,0),1))-T5A!G64+SUMIFS(T5A!G$70:G$79,T5A!$B$70:$B$79,$D$2+1),"FOUT"))</f>
        <v>0</v>
      </c>
      <c r="L217" s="309">
        <f>IF($E$2="ex-ante",(INDEX(L$207:L$216,MATCH($D$2,$A$207:$A$216,0),1))-T5A!H64,IF($E$2="ex-post",(INDEX(L$207:L$216,MATCH($D$2,$A$207:$A$216,0),1))-T5A!H64+SUMIFS(T5A!H$70:H$79,T5A!$B$70:$B$79,$D$2+1),"FOUT"))</f>
        <v>0</v>
      </c>
      <c r="M217" s="309">
        <f>IF($E$2="ex-ante",(INDEX(M$207:M$216,MATCH($D$2,$A$207:$A$216,0),1))-T5A!I64,IF($E$2="ex-post",(INDEX(M$207:M$216,MATCH($D$2,$A$207:$A$216,0),1))-T5A!I64+SUMIFS(T5A!I$70:I$79,T5A!$B$70:$B$79,$D$2+1),"FOUT"))</f>
        <v>0</v>
      </c>
      <c r="N217" s="841">
        <f>IF($E$2="ex-ante",(INDEX(N$207:N$216,MATCH($D$2,$A$207:$A$216,0),1))-T5A!J64,IF($E$2="ex-post",(INDEX(N$207:N$216,MATCH($D$2,$A$207:$A$216,0),1))-T5A!J64+SUMIFS(T5A!J$70:J$79,T5A!$B$70:$B$79,$D$2+1),"FOUT"))</f>
        <v>0</v>
      </c>
      <c r="O217" s="841">
        <f>IF($E$2="ex-ante",(INDEX(O$207:O$216,MATCH($D$2,$A$207:$A$216,0),1))-T5A!K64,IF($E$2="ex-post",(INDEX(O$207:O$216,MATCH($D$2,$A$207:$A$216,0),1))-T5A!K64+SUMIFS(T5A!K$70:K$79,T5A!$B$70:$B$79,$D$2+1),"FOUT"))</f>
        <v>0</v>
      </c>
      <c r="P217" s="841">
        <f>IF($E$2="ex-ante",(INDEX(P$207:P$216,MATCH($D$2,$A$207:$A$216,0),1))-T5A!L64,IF($E$2="ex-post",(INDEX(P$207:P$216,MATCH($D$2,$A$207:$A$216,0),1))-T5A!L64+SUMIFS(T5A!L$70:L$79,T5A!$B$70:$B$79,$D$2+1),"FOUT"))</f>
        <v>0</v>
      </c>
      <c r="Q217" s="211"/>
      <c r="R217" s="309">
        <f>IF($E$2="ex-ante",(INDEX(R$207:R$216,MATCH($D$2,$A$207:$A$216,0),1))-T5A!N64,IF($E$2="ex-post",(INDEX(R$207:R$216,MATCH($D$2,$A$207:$A$216,0),1))-T5A!N64+SUMIFS(T5A!N$70:N$79,T5A!$B$70:$B$79,$D$2+1),"FOUT"))</f>
        <v>0</v>
      </c>
    </row>
    <row r="218" spans="1:18" ht="13" x14ac:dyDescent="0.25">
      <c r="B218" s="310"/>
      <c r="C218" s="310"/>
      <c r="D218" s="310"/>
      <c r="E218" s="310"/>
      <c r="F218" s="311"/>
      <c r="G218" s="312"/>
      <c r="H218" s="312"/>
      <c r="I218" s="312"/>
      <c r="J218" s="312"/>
      <c r="K218" s="312"/>
      <c r="L218" s="312"/>
      <c r="M218" s="312"/>
      <c r="N218" s="312"/>
      <c r="O218" s="312"/>
      <c r="P218" s="312"/>
      <c r="R218" s="312"/>
    </row>
    <row r="219" spans="1:18" ht="13" x14ac:dyDescent="0.25">
      <c r="B219" s="310"/>
      <c r="C219" s="310"/>
      <c r="D219" s="310"/>
      <c r="E219" s="310"/>
      <c r="F219" s="311"/>
      <c r="G219" s="312"/>
      <c r="H219" s="312"/>
      <c r="I219" s="312"/>
      <c r="J219" s="312"/>
      <c r="K219" s="312"/>
      <c r="L219" s="312"/>
      <c r="M219" s="312"/>
      <c r="N219" s="312"/>
      <c r="O219" s="312"/>
      <c r="P219" s="312"/>
      <c r="R219" s="312"/>
    </row>
    <row r="220" spans="1:18" ht="13" x14ac:dyDescent="0.25">
      <c r="B220" s="310"/>
      <c r="C220" s="310"/>
      <c r="D220" s="310"/>
      <c r="E220" s="310"/>
      <c r="F220" s="311"/>
      <c r="G220" s="313" t="s">
        <v>32</v>
      </c>
      <c r="H220" s="312"/>
      <c r="I220" s="312"/>
      <c r="J220" s="312"/>
      <c r="K220" s="312"/>
      <c r="L220" s="312"/>
      <c r="M220" s="312"/>
      <c r="N220" s="312"/>
      <c r="O220" s="312"/>
      <c r="P220" s="312"/>
      <c r="R220" s="312"/>
    </row>
    <row r="221" spans="1:18" ht="13" x14ac:dyDescent="0.25">
      <c r="G221" s="313" t="s">
        <v>33</v>
      </c>
      <c r="H221" s="312"/>
      <c r="I221" s="312"/>
      <c r="J221" s="312"/>
    </row>
    <row r="222" spans="1:18" ht="78" x14ac:dyDescent="0.25">
      <c r="B222" s="1268" t="s">
        <v>65</v>
      </c>
      <c r="C222" s="1269"/>
      <c r="D222" s="1269"/>
      <c r="E222" s="1270"/>
      <c r="F222" s="168"/>
      <c r="G222" s="166" t="str">
        <f>"Afbouw van het regulatoir saldo inzake volumeverschillen op te nemen in het toegelaten inkomen voor boekjaar "&amp;D2</f>
        <v>Afbouw van het regulatoir saldo inzake volumeverschillen op te nemen in het toegelaten inkomen voor boekjaar 2021</v>
      </c>
      <c r="H222" s="312"/>
      <c r="I222" s="312"/>
      <c r="J222" s="312"/>
    </row>
    <row r="223" spans="1:18" ht="13" x14ac:dyDescent="0.25">
      <c r="B223" s="325"/>
      <c r="C223" s="302"/>
      <c r="D223" s="302"/>
      <c r="E223" s="302"/>
      <c r="F223" s="303"/>
      <c r="G223" s="981"/>
      <c r="H223" s="312"/>
      <c r="I223" s="312"/>
      <c r="J223" s="312"/>
    </row>
    <row r="224" spans="1:18" ht="30" customHeight="1" x14ac:dyDescent="0.25">
      <c r="B224" s="1261" t="s">
        <v>240</v>
      </c>
      <c r="C224" s="1261"/>
      <c r="D224" s="1261"/>
      <c r="E224" s="1261"/>
      <c r="F224" s="168"/>
      <c r="G224" s="255">
        <f>VLOOKUP($D$2,B301:C304,2,FALSE)+VLOOKUP($D$2,B387:C390,2,FALSE)+VLOOKUP($D$2,B528:C531,2,FALSE)</f>
        <v>0</v>
      </c>
      <c r="H224" s="312"/>
      <c r="I224" s="312"/>
      <c r="J224" s="312"/>
    </row>
    <row r="225" spans="2:18" ht="30" customHeight="1" x14ac:dyDescent="0.25">
      <c r="B225" s="1261" t="s">
        <v>66</v>
      </c>
      <c r="C225" s="1261"/>
      <c r="D225" s="1261"/>
      <c r="E225" s="1261"/>
      <c r="F225" s="168"/>
      <c r="G225" s="255">
        <f>VLOOKUP($D$2,B376:C379,2,FALSE)</f>
        <v>0</v>
      </c>
      <c r="H225" s="312"/>
      <c r="I225" s="312"/>
      <c r="J225" s="312"/>
    </row>
    <row r="226" spans="2:18" ht="30" customHeight="1" x14ac:dyDescent="0.25">
      <c r="B226" s="1261" t="s">
        <v>67</v>
      </c>
      <c r="C226" s="1261"/>
      <c r="D226" s="1261"/>
      <c r="E226" s="1261"/>
      <c r="F226" s="168"/>
      <c r="G226" s="255">
        <f>VLOOKUP($D$2,B462:C465,2,FALSE)</f>
        <v>0</v>
      </c>
      <c r="H226" s="312"/>
      <c r="I226" s="312"/>
      <c r="J226" s="312"/>
    </row>
    <row r="227" spans="2:18" ht="30" customHeight="1" x14ac:dyDescent="0.25">
      <c r="B227" s="1261" t="s">
        <v>118</v>
      </c>
      <c r="C227" s="1261"/>
      <c r="D227" s="1261"/>
      <c r="E227" s="1261"/>
      <c r="F227" s="168"/>
      <c r="G227" s="255">
        <f>VLOOKUP($D$2,B603:C606,2,FALSE)</f>
        <v>0</v>
      </c>
      <c r="H227" s="312"/>
      <c r="I227" s="312"/>
      <c r="J227" s="312"/>
    </row>
    <row r="228" spans="2:18" ht="30" customHeight="1" x14ac:dyDescent="0.25">
      <c r="B228" s="1261" t="s">
        <v>68</v>
      </c>
      <c r="C228" s="1261"/>
      <c r="D228" s="1261"/>
      <c r="E228" s="1261"/>
      <c r="F228" s="168"/>
      <c r="G228" s="255">
        <f>VLOOKUP($D$2,B678:C681,2,FALSE)</f>
        <v>0</v>
      </c>
      <c r="H228" s="312"/>
      <c r="I228" s="312"/>
      <c r="J228" s="312"/>
    </row>
    <row r="229" spans="2:18" ht="13" x14ac:dyDescent="0.25">
      <c r="H229" s="312"/>
      <c r="I229" s="312"/>
      <c r="J229" s="312"/>
    </row>
    <row r="230" spans="2:18" ht="29.15" customHeight="1" x14ac:dyDescent="0.25">
      <c r="B230" s="1265" t="s">
        <v>22</v>
      </c>
      <c r="C230" s="1266"/>
      <c r="D230" s="1266"/>
      <c r="E230" s="1267"/>
      <c r="F230" s="182"/>
      <c r="G230" s="169">
        <f>SUM(G224:G228)</f>
        <v>0</v>
      </c>
      <c r="H230" s="312"/>
      <c r="I230" s="312"/>
      <c r="J230" s="312"/>
    </row>
    <row r="231" spans="2:18" x14ac:dyDescent="0.25">
      <c r="Q231" s="212"/>
    </row>
    <row r="232" spans="2:18" x14ac:dyDescent="0.25">
      <c r="Q232" s="212"/>
    </row>
    <row r="233" spans="2:18" ht="13" x14ac:dyDescent="0.25">
      <c r="B233" s="326" t="s">
        <v>240</v>
      </c>
      <c r="C233" s="327"/>
      <c r="D233" s="327"/>
      <c r="E233" s="327"/>
      <c r="F233" s="328"/>
      <c r="G233" s="328"/>
      <c r="H233" s="328"/>
      <c r="I233" s="328"/>
      <c r="J233" s="328"/>
      <c r="K233" s="328"/>
      <c r="L233" s="328"/>
      <c r="M233" s="328"/>
      <c r="N233" s="328"/>
      <c r="O233" s="328"/>
      <c r="P233" s="328"/>
      <c r="Q233" s="329"/>
      <c r="R233" s="328"/>
    </row>
    <row r="234" spans="2:18" x14ac:dyDescent="0.25">
      <c r="Q234" s="212"/>
    </row>
    <row r="235" spans="2:18" ht="13" x14ac:dyDescent="0.25">
      <c r="B235" s="281" t="s">
        <v>172</v>
      </c>
      <c r="F235" s="1000">
        <v>2017</v>
      </c>
      <c r="Q235" s="212"/>
    </row>
    <row r="236" spans="2:18" x14ac:dyDescent="0.25">
      <c r="P236" s="212"/>
      <c r="Q236" s="167"/>
    </row>
    <row r="237" spans="2:18" ht="104.15" customHeight="1" x14ac:dyDescent="0.25">
      <c r="B237" s="1231" t="s">
        <v>173</v>
      </c>
      <c r="C237" s="1232"/>
      <c r="D237" s="1232"/>
      <c r="E237" s="1233"/>
      <c r="F237" s="282"/>
      <c r="G237" s="166" t="str">
        <f>"Nog af te bouwen regulatoir saldo einde "&amp;F235-1</f>
        <v>Nog af te bouwen regulatoir saldo einde 2016</v>
      </c>
      <c r="H237" s="166" t="str">
        <f>"Afbouw oudste openstaande regulatoir saldo vanaf boekjaar "&amp;F235-3&amp;" en vroeger, door aanwending van compensatie met regulatoir saldo ontstaan over boekjaar "&amp;F235-2</f>
        <v>Afbouw oudste openstaande regulatoir saldo vanaf boekjaar 2014 en vroeger, door aanwending van compensatie met regulatoir saldo ontstaan over boekjaar 2015</v>
      </c>
      <c r="I237" s="166" t="str">
        <f>"Nog af te bouwen regulatoir saldo na compensatie einde "&amp;F235-1</f>
        <v>Nog af te bouwen regulatoir saldo na compensatie einde 2016</v>
      </c>
      <c r="J237" s="166" t="str">
        <f>"Aanwending van "&amp;IF($B$7="elektriciteit","75%",IF($B$7="gas","40%","FALSE"))&amp;" van het geaccumuleerd regulatoir saldo door te rekenen volgens de tariefmethodologie in het boekjaar "&amp;F235</f>
        <v>Aanwending van 75% van het geaccumuleerd regulatoir saldo door te rekenen volgens de tariefmethodologie in het boekjaar 2017</v>
      </c>
      <c r="K237" s="166" t="str">
        <f>"Nog af te bouwen regulatoir saldo einde "&amp;F235</f>
        <v>Nog af te bouwen regulatoir saldo einde 2017</v>
      </c>
      <c r="L237" s="228"/>
      <c r="M237" s="228"/>
      <c r="N237" s="228"/>
      <c r="O237" s="228"/>
      <c r="P237" s="212"/>
      <c r="Q237" s="167"/>
    </row>
    <row r="238" spans="2:18" ht="13" x14ac:dyDescent="0.25">
      <c r="B238" s="1228">
        <v>2015</v>
      </c>
      <c r="C238" s="1229"/>
      <c r="D238" s="1229"/>
      <c r="E238" s="1230"/>
      <c r="F238" s="283"/>
      <c r="G238" s="177">
        <f>G129</f>
        <v>0</v>
      </c>
      <c r="H238" s="566">
        <v>0</v>
      </c>
      <c r="I238" s="177">
        <f>+G238+H238</f>
        <v>0</v>
      </c>
      <c r="J238" s="1008">
        <f>-I238*IF($B$7="elektriciteit",0.75,IF($B$7="gas",0.4,"FALSE"))</f>
        <v>0</v>
      </c>
      <c r="K238" s="1001">
        <f>+J238+G238</f>
        <v>0</v>
      </c>
      <c r="L238" s="1002"/>
      <c r="M238" s="1002"/>
      <c r="N238" s="1002"/>
      <c r="O238" s="1002"/>
      <c r="P238" s="212"/>
      <c r="Q238" s="167"/>
    </row>
    <row r="239" spans="2:18" x14ac:dyDescent="0.25">
      <c r="H239" s="221"/>
      <c r="P239" s="212"/>
      <c r="Q239" s="167"/>
    </row>
    <row r="240" spans="2:18" ht="13" x14ac:dyDescent="0.25">
      <c r="B240" s="281" t="s">
        <v>172</v>
      </c>
      <c r="F240" s="1000">
        <v>2018</v>
      </c>
      <c r="H240" s="221"/>
      <c r="Q240" s="212"/>
    </row>
    <row r="241" spans="2:17" x14ac:dyDescent="0.25">
      <c r="H241" s="221"/>
      <c r="Q241" s="212"/>
    </row>
    <row r="242" spans="2:17" ht="104.15" customHeight="1" x14ac:dyDescent="0.25">
      <c r="B242" s="1231" t="s">
        <v>173</v>
      </c>
      <c r="C242" s="1232"/>
      <c r="D242" s="1232"/>
      <c r="E242" s="1233"/>
      <c r="F242" s="282"/>
      <c r="G242" s="166" t="str">
        <f>"Nog af te bouwen regulatoir saldo einde "&amp;F240-1</f>
        <v>Nog af te bouwen regulatoir saldo einde 2017</v>
      </c>
      <c r="H242" s="166" t="str">
        <f>"Afbouw oudste openstaande regulatoir saldo vanaf boekjaar "&amp;F240-3&amp;" en vroeger, door aanwending van compensatie met regulatoir saldo ontstaan over boekjaar "&amp;F240-2</f>
        <v>Afbouw oudste openstaande regulatoir saldo vanaf boekjaar 2015 en vroeger, door aanwending van compensatie met regulatoir saldo ontstaan over boekjaar 2016</v>
      </c>
      <c r="I242" s="166" t="str">
        <f>"Nog af te bouwen regulatoir saldo na compensatie einde "&amp;F240-1</f>
        <v>Nog af te bouwen regulatoir saldo na compensatie einde 2017</v>
      </c>
      <c r="J242" s="166" t="str">
        <f>"Aanwending van "&amp;IF($B$7="elektriciteit","75%",IF($B$7="gas","40%","FALSE"))&amp;" van het geaccumuleerd regulatoir saldo door te rekenen volgens de tariefmethodologie in het boekjaar "&amp;F240</f>
        <v>Aanwending van 75% van het geaccumuleerd regulatoir saldo door te rekenen volgens de tariefmethodologie in het boekjaar 2018</v>
      </c>
      <c r="K242" s="166" t="str">
        <f>"Aanwending van "&amp;IF($B$7="elektriciteit","75%",IF($B$7="gas","40%","FALSE"))&amp;" van het geaccumuleerd regulatoir saldo door te rekenen volgens de tariefmethodologie in het boekjaar "&amp;F240</f>
        <v>Aanwending van 75% van het geaccumuleerd regulatoir saldo door te rekenen volgens de tariefmethodologie in het boekjaar 2018</v>
      </c>
      <c r="L242" s="166" t="str">
        <f>"Totale afbouw over "&amp;F240</f>
        <v>Totale afbouw over 2018</v>
      </c>
      <c r="M242" s="166" t="str">
        <f>"Nog af te bouwen regulatoir saldo einde "&amp;F240</f>
        <v>Nog af te bouwen regulatoir saldo einde 2018</v>
      </c>
      <c r="N242" s="212"/>
      <c r="Q242" s="167"/>
    </row>
    <row r="243" spans="2:17" ht="13" x14ac:dyDescent="0.25">
      <c r="B243" s="1228">
        <v>2015</v>
      </c>
      <c r="C243" s="1229"/>
      <c r="D243" s="1229"/>
      <c r="E243" s="1230"/>
      <c r="F243" s="283"/>
      <c r="G243" s="177">
        <f>K238</f>
        <v>0</v>
      </c>
      <c r="H243" s="566">
        <f>IF(SIGN(G244*K238)&lt;0,IF(G243&lt;&gt;0,-SIGN(G243)*MIN(ABS(G244),ABS(G243)),0),0)</f>
        <v>0</v>
      </c>
      <c r="I243" s="177">
        <f>+G243+H243</f>
        <v>0</v>
      </c>
      <c r="J243" s="1009"/>
      <c r="K243" s="1010">
        <f>-MIN(ABS(I243),ABS(J245))*SIGN(I243)</f>
        <v>0</v>
      </c>
      <c r="L243" s="1003">
        <f>+K243+H243</f>
        <v>0</v>
      </c>
      <c r="M243" s="177">
        <f>+I243+K243</f>
        <v>0</v>
      </c>
      <c r="N243" s="212"/>
      <c r="Q243" s="167"/>
    </row>
    <row r="244" spans="2:17" ht="13" x14ac:dyDescent="0.25">
      <c r="B244" s="1228">
        <v>2016</v>
      </c>
      <c r="C244" s="1229"/>
      <c r="D244" s="1229"/>
      <c r="E244" s="1230"/>
      <c r="F244" s="283"/>
      <c r="G244" s="177">
        <f>H130</f>
        <v>0</v>
      </c>
      <c r="H244" s="1003">
        <f>IF(SIGN(G244*K238)&lt;0,-H243,0)</f>
        <v>0</v>
      </c>
      <c r="I244" s="177">
        <f>+G244+H244</f>
        <v>0</v>
      </c>
      <c r="J244" s="1009"/>
      <c r="K244" s="1010">
        <f>-MIN(ABS(I244),ABS(J245-K243))*SIGN(I244)</f>
        <v>0</v>
      </c>
      <c r="L244" s="1003">
        <f>+K244+H244</f>
        <v>0</v>
      </c>
      <c r="M244" s="177">
        <f>+I244+K244</f>
        <v>0</v>
      </c>
      <c r="N244" s="212"/>
      <c r="Q244" s="167"/>
    </row>
    <row r="245" spans="2:17" s="281" customFormat="1" ht="13" x14ac:dyDescent="0.3">
      <c r="G245" s="284">
        <f>SUM(G243:G244)</f>
        <v>0</v>
      </c>
      <c r="H245" s="169">
        <f>SUM(H243:H244)</f>
        <v>0</v>
      </c>
      <c r="I245" s="284">
        <f>SUM(I243:I244)</f>
        <v>0</v>
      </c>
      <c r="J245" s="214">
        <f>-I245*IF($B$7="elektriciteit",0.75,IF($B$7="gas",0.4,"FALSE"))</f>
        <v>0</v>
      </c>
      <c r="K245" s="291">
        <f>SUM(K243:K244)</f>
        <v>0</v>
      </c>
      <c r="L245" s="570"/>
      <c r="M245" s="284">
        <f>SUM(M243:M244)</f>
        <v>0</v>
      </c>
    </row>
    <row r="246" spans="2:17" x14ac:dyDescent="0.25">
      <c r="H246" s="221"/>
      <c r="J246" s="12"/>
      <c r="K246" s="12"/>
      <c r="Q246" s="167"/>
    </row>
    <row r="247" spans="2:17" ht="13" x14ac:dyDescent="0.25">
      <c r="B247" s="281" t="s">
        <v>172</v>
      </c>
      <c r="F247" s="1000">
        <v>2019</v>
      </c>
      <c r="H247" s="221"/>
      <c r="J247" s="12"/>
      <c r="K247" s="12"/>
      <c r="Q247" s="167"/>
    </row>
    <row r="248" spans="2:17" x14ac:dyDescent="0.25">
      <c r="H248" s="221"/>
      <c r="J248" s="12"/>
      <c r="K248" s="12"/>
      <c r="Q248" s="167"/>
    </row>
    <row r="249" spans="2:17" ht="104.15" customHeight="1" x14ac:dyDescent="0.25">
      <c r="B249" s="1231" t="s">
        <v>173</v>
      </c>
      <c r="C249" s="1232"/>
      <c r="D249" s="1232"/>
      <c r="E249" s="1233"/>
      <c r="F249" s="282"/>
      <c r="G249" s="166" t="str">
        <f>"Nog af te bouwen regulatoir saldo einde "&amp;F247-1</f>
        <v>Nog af te bouwen regulatoir saldo einde 2018</v>
      </c>
      <c r="H249" s="166" t="str">
        <f>"Afbouw oudste openstaande regulatoir saldo vanaf boekjaar "&amp;F247-3&amp;" en vroeger, door aanwending van compensatie met regulatoir saldo ontstaan over boekjaar "&amp;F247-2</f>
        <v>Afbouw oudste openstaande regulatoir saldo vanaf boekjaar 2016 en vroeger, door aanwending van compensatie met regulatoir saldo ontstaan over boekjaar 2017</v>
      </c>
      <c r="I249" s="166" t="str">
        <f>"Nog af te bouwen regulatoir saldo na compensatie einde "&amp;F247-1</f>
        <v>Nog af te bouwen regulatoir saldo na compensatie einde 2018</v>
      </c>
      <c r="J249" s="166" t="str">
        <f>"Aanwending van "&amp;IF($B$7="elektriciteit","75%",IF($B$7="gas","40%","FALSE"))&amp;" van het geaccumuleerd regulatoir saldo door te rekenen volgens de tariefmethodologie in het boekjaar "&amp;F247</f>
        <v>Aanwending van 75% van het geaccumuleerd regulatoir saldo door te rekenen volgens de tariefmethodologie in het boekjaar 2019</v>
      </c>
      <c r="K249" s="166" t="str">
        <f>"Aanwending van "&amp;IF($B$7="elektriciteit","75%",IF($B$7="gas","40%","FALSE"))&amp;" van het geaccumuleerd regulatoir saldo door te rekenen volgens de tariefmethodologie in het boekjaar "&amp;F247</f>
        <v>Aanwending van 75% van het geaccumuleerd regulatoir saldo door te rekenen volgens de tariefmethodologie in het boekjaar 2019</v>
      </c>
      <c r="L249" s="166" t="str">
        <f>"Totale afbouw over "&amp;F247</f>
        <v>Totale afbouw over 2019</v>
      </c>
      <c r="M249" s="166" t="str">
        <f>"Nog af te bouwen regulatoir saldo einde "&amp;F247</f>
        <v>Nog af te bouwen regulatoir saldo einde 2019</v>
      </c>
      <c r="N249" s="212"/>
      <c r="Q249" s="167"/>
    </row>
    <row r="250" spans="2:17" ht="13" x14ac:dyDescent="0.25">
      <c r="B250" s="1228">
        <v>2015</v>
      </c>
      <c r="C250" s="1229"/>
      <c r="D250" s="1229"/>
      <c r="E250" s="1230"/>
      <c r="F250" s="283"/>
      <c r="G250" s="177">
        <f>+M243</f>
        <v>0</v>
      </c>
      <c r="H250" s="1003">
        <f>IF(SIGN(G252*M245)&lt;0,IF(G250&lt;&gt;0,-SIGN(G250)*MIN(ABS(G252),ABS(G250)),0),0)</f>
        <v>0</v>
      </c>
      <c r="I250" s="177">
        <f>+G250+H250</f>
        <v>0</v>
      </c>
      <c r="J250" s="1009"/>
      <c r="K250" s="1010">
        <f>-MIN(ABS(I250),ABS(J253))*SIGN(I250)</f>
        <v>0</v>
      </c>
      <c r="L250" s="1003">
        <f>+K250+H250</f>
        <v>0</v>
      </c>
      <c r="M250" s="177">
        <f>+I250+K250</f>
        <v>0</v>
      </c>
      <c r="N250" s="212"/>
      <c r="Q250" s="167"/>
    </row>
    <row r="251" spans="2:17" ht="13" x14ac:dyDescent="0.25">
      <c r="B251" s="1228">
        <v>2016</v>
      </c>
      <c r="C251" s="1229"/>
      <c r="D251" s="1229">
        <v>2016</v>
      </c>
      <c r="E251" s="1230"/>
      <c r="F251" s="283"/>
      <c r="G251" s="177">
        <f>+M244</f>
        <v>0</v>
      </c>
      <c r="H251" s="1003">
        <f>IF(SIGN(G252*M245)&lt;0,IF(G251&lt;&gt;0,-SIGN(G251)*MIN(ABS(G252-H250),ABS(G251)),0),0)</f>
        <v>0</v>
      </c>
      <c r="I251" s="177">
        <f>+G251+H251</f>
        <v>0</v>
      </c>
      <c r="J251" s="1009"/>
      <c r="K251" s="1010">
        <f>-MIN(ABS(I251),ABS(J253-K250))*SIGN(I251)</f>
        <v>0</v>
      </c>
      <c r="L251" s="1003">
        <f>+K251+H251</f>
        <v>0</v>
      </c>
      <c r="M251" s="177">
        <f>+I251+K251</f>
        <v>0</v>
      </c>
      <c r="N251" s="212"/>
      <c r="Q251" s="167"/>
    </row>
    <row r="252" spans="2:17" ht="13" x14ac:dyDescent="0.25">
      <c r="B252" s="1228">
        <v>2017</v>
      </c>
      <c r="C252" s="1229"/>
      <c r="D252" s="1229"/>
      <c r="E252" s="1230"/>
      <c r="F252" s="283"/>
      <c r="G252" s="177">
        <f>I131</f>
        <v>0</v>
      </c>
      <c r="H252" s="1003">
        <f>IF(SIGN(G252*M245)&lt;0,-SUM(H250:H251),0)</f>
        <v>0</v>
      </c>
      <c r="I252" s="177">
        <f>+G252+H252</f>
        <v>0</v>
      </c>
      <c r="J252" s="1009"/>
      <c r="K252" s="1010">
        <f>-MIN(ABS(I252),ABS(J253-K250-K251))*SIGN(I252)</f>
        <v>0</v>
      </c>
      <c r="L252" s="1003">
        <f>+K252+H252</f>
        <v>0</v>
      </c>
      <c r="M252" s="177">
        <f>+I252+K252</f>
        <v>0</v>
      </c>
      <c r="N252" s="212"/>
      <c r="Q252" s="167"/>
    </row>
    <row r="253" spans="2:17" s="281" customFormat="1" ht="13" x14ac:dyDescent="0.3">
      <c r="G253" s="284">
        <f>SUM(G250:G252)</f>
        <v>0</v>
      </c>
      <c r="H253" s="169">
        <f>SUM(H250:H252)</f>
        <v>0</v>
      </c>
      <c r="I253" s="284">
        <f>SUM(I250:I252)</f>
        <v>0</v>
      </c>
      <c r="J253" s="214">
        <f>-I253*IF($B$7="elektriciteit",0.75,IF($B$7="gas",0.4,"FALSE"))</f>
        <v>0</v>
      </c>
      <c r="K253" s="291">
        <f>SUM(K250:K252)</f>
        <v>0</v>
      </c>
      <c r="L253" s="570"/>
      <c r="M253" s="284">
        <f>SUM(M250:M252)</f>
        <v>0</v>
      </c>
    </row>
    <row r="254" spans="2:17" x14ac:dyDescent="0.25">
      <c r="H254" s="221"/>
      <c r="J254" s="12"/>
      <c r="K254" s="12"/>
      <c r="Q254" s="167"/>
    </row>
    <row r="255" spans="2:17" ht="13" x14ac:dyDescent="0.25">
      <c r="B255" s="281" t="s">
        <v>172</v>
      </c>
      <c r="F255" s="1000">
        <v>2020</v>
      </c>
      <c r="H255" s="221"/>
      <c r="J255" s="12"/>
      <c r="K255" s="12"/>
      <c r="Q255" s="167"/>
    </row>
    <row r="256" spans="2:17" x14ac:dyDescent="0.25">
      <c r="H256" s="221"/>
      <c r="J256" s="12"/>
      <c r="K256" s="12"/>
      <c r="Q256" s="167"/>
    </row>
    <row r="257" spans="2:17" ht="104.15" customHeight="1" x14ac:dyDescent="0.25">
      <c r="B257" s="1231" t="s">
        <v>173</v>
      </c>
      <c r="C257" s="1232"/>
      <c r="D257" s="1232"/>
      <c r="E257" s="1233"/>
      <c r="F257" s="282"/>
      <c r="G257" s="166" t="str">
        <f>"Nog af te bouwen regulatoir saldo einde "&amp;F255-1</f>
        <v>Nog af te bouwen regulatoir saldo einde 2019</v>
      </c>
      <c r="H257" s="166" t="str">
        <f>"Afbouw oudste openstaande regulatoir saldo vanaf boekjaar "&amp;F255-3&amp;" en vroeger, door aanwending van compensatie met regulatoir saldo ontstaan over boekjaar "&amp;F255-2</f>
        <v>Afbouw oudste openstaande regulatoir saldo vanaf boekjaar 2017 en vroeger, door aanwending van compensatie met regulatoir saldo ontstaan over boekjaar 2018</v>
      </c>
      <c r="I257" s="166" t="str">
        <f>"Nog af te bouwen regulatoir saldo na compensatie einde "&amp;F255-1</f>
        <v>Nog af te bouwen regulatoir saldo na compensatie einde 2019</v>
      </c>
      <c r="J257" s="166" t="str">
        <f>"Aanwending van "&amp;IF($B$7="elektriciteit","75%",IF($B$7="gas","40%","FALSE"))&amp;" van het geaccumuleerd regulatoir saldo door te rekenen volgens de tariefmethodologie in het boekjaar "&amp;F255</f>
        <v>Aanwending van 75% van het geaccumuleerd regulatoir saldo door te rekenen volgens de tariefmethodologie in het boekjaar 2020</v>
      </c>
      <c r="K257" s="166" t="str">
        <f>"Aanwending van "&amp;IF($B$7="elektriciteit","75%",IF($B$7="gas","40%","FALSE"))&amp;" van het geaccumuleerd regulatoir saldo door te rekenen volgens de tariefmethodologie in het boekjaar "&amp;F255</f>
        <v>Aanwending van 75% van het geaccumuleerd regulatoir saldo door te rekenen volgens de tariefmethodologie in het boekjaar 2020</v>
      </c>
      <c r="L257" s="166" t="str">
        <f>"Totale afbouw over "&amp;F255</f>
        <v>Totale afbouw over 2020</v>
      </c>
      <c r="M257" s="166" t="str">
        <f>"Nog af te bouwen regulatoir saldo einde "&amp;F255</f>
        <v>Nog af te bouwen regulatoir saldo einde 2020</v>
      </c>
      <c r="N257" s="212"/>
      <c r="Q257" s="167"/>
    </row>
    <row r="258" spans="2:17" ht="13" x14ac:dyDescent="0.25">
      <c r="B258" s="1228">
        <v>2015</v>
      </c>
      <c r="C258" s="1229"/>
      <c r="D258" s="1229"/>
      <c r="E258" s="1230"/>
      <c r="F258" s="283"/>
      <c r="G258" s="177">
        <f>+M250</f>
        <v>0</v>
      </c>
      <c r="H258" s="1003">
        <f>IF(SIGN(G261*M253)&lt;0,IF(G258&lt;&gt;0,-SIGN(G258)*MIN(ABS(G261),ABS(G258)),0),0)</f>
        <v>0</v>
      </c>
      <c r="I258" s="177">
        <f>+G258+H258</f>
        <v>0</v>
      </c>
      <c r="J258" s="1009"/>
      <c r="K258" s="1010">
        <f>-MIN(ABS(I258),ABS(J262))*SIGN(I258)</f>
        <v>0</v>
      </c>
      <c r="L258" s="1003">
        <f>+K258+H258</f>
        <v>0</v>
      </c>
      <c r="M258" s="177">
        <f>+I258+K258</f>
        <v>0</v>
      </c>
      <c r="N258" s="212"/>
      <c r="Q258" s="167"/>
    </row>
    <row r="259" spans="2:17" ht="13" x14ac:dyDescent="0.25">
      <c r="B259" s="1228">
        <v>2016</v>
      </c>
      <c r="C259" s="1229"/>
      <c r="D259" s="1229"/>
      <c r="E259" s="1230"/>
      <c r="F259" s="283"/>
      <c r="G259" s="177">
        <f>+M251</f>
        <v>0</v>
      </c>
      <c r="H259" s="1003">
        <f>IF(SIGN(G261*M253)&lt;0,IF(G259&lt;&gt;0,-SIGN(G259)*MIN(ABS(G261-H258),ABS(G259)),0),0)</f>
        <v>0</v>
      </c>
      <c r="I259" s="177">
        <f>+G259+H259</f>
        <v>0</v>
      </c>
      <c r="J259" s="1009"/>
      <c r="K259" s="1010">
        <f>-MIN(ABS(I259),ABS(J262-K258))*SIGN(I259)</f>
        <v>0</v>
      </c>
      <c r="L259" s="1003">
        <f>+K259+H259</f>
        <v>0</v>
      </c>
      <c r="M259" s="177">
        <f>+I259+K259</f>
        <v>0</v>
      </c>
      <c r="N259" s="212"/>
      <c r="Q259" s="167"/>
    </row>
    <row r="260" spans="2:17" ht="13" x14ac:dyDescent="0.25">
      <c r="B260" s="1228">
        <v>2017</v>
      </c>
      <c r="C260" s="1229"/>
      <c r="D260" s="1229">
        <v>2016</v>
      </c>
      <c r="E260" s="1230"/>
      <c r="F260" s="283"/>
      <c r="G260" s="177">
        <f>+M252</f>
        <v>0</v>
      </c>
      <c r="H260" s="1003">
        <f>IF(SIGN(G261*M253)&lt;0,IF(G260&lt;&gt;0,-SIGN(G260)*MIN(ABS(G261-H258-H259),ABS(G260)),0),0)</f>
        <v>0</v>
      </c>
      <c r="I260" s="177">
        <f>+G260+H260</f>
        <v>0</v>
      </c>
      <c r="J260" s="1009"/>
      <c r="K260" s="1010">
        <f>-MIN(ABS(I260),ABS(J262-K258-K259))*SIGN(I260)</f>
        <v>0</v>
      </c>
      <c r="L260" s="1003">
        <f>+K260+H260</f>
        <v>0</v>
      </c>
      <c r="M260" s="177">
        <f>+I260+K260</f>
        <v>0</v>
      </c>
      <c r="N260" s="212"/>
      <c r="Q260" s="167"/>
    </row>
    <row r="261" spans="2:17" ht="13" x14ac:dyDescent="0.25">
      <c r="B261" s="1228">
        <v>2018</v>
      </c>
      <c r="C261" s="1229"/>
      <c r="D261" s="1229"/>
      <c r="E261" s="1230"/>
      <c r="F261" s="283"/>
      <c r="G261" s="177">
        <f>J132</f>
        <v>0</v>
      </c>
      <c r="H261" s="1003">
        <f>IF(SIGN(G261*M253)&lt;0,-SUM(H258:H260),0)</f>
        <v>0</v>
      </c>
      <c r="I261" s="177">
        <f>+G261+H261</f>
        <v>0</v>
      </c>
      <c r="J261" s="1009"/>
      <c r="K261" s="1010">
        <f>-MIN(ABS(I261),ABS(J262-K258-K259-K260))*SIGN(I261)</f>
        <v>0</v>
      </c>
      <c r="L261" s="1003">
        <f>+K261+H261</f>
        <v>0</v>
      </c>
      <c r="M261" s="177">
        <f>+I261+K261</f>
        <v>0</v>
      </c>
      <c r="N261" s="212"/>
      <c r="Q261" s="167"/>
    </row>
    <row r="262" spans="2:17" s="281" customFormat="1" ht="13" x14ac:dyDescent="0.3">
      <c r="G262" s="284">
        <f>SUM(G258:G261)</f>
        <v>0</v>
      </c>
      <c r="H262" s="169">
        <f>SUM(H258:H261)</f>
        <v>0</v>
      </c>
      <c r="I262" s="284">
        <f>SUM(I258:I261)</f>
        <v>0</v>
      </c>
      <c r="J262" s="214">
        <f>-I262*IF($B$7="elektriciteit",0.75,IF($B$7="gas",0.4,"FALSE"))</f>
        <v>0</v>
      </c>
      <c r="K262" s="291">
        <f>SUM(K258:K261)</f>
        <v>0</v>
      </c>
      <c r="L262" s="169"/>
      <c r="M262" s="284">
        <f>SUM(M258:M261)</f>
        <v>0</v>
      </c>
    </row>
    <row r="263" spans="2:17" x14ac:dyDescent="0.25">
      <c r="H263" s="221"/>
      <c r="Q263" s="167"/>
    </row>
    <row r="264" spans="2:17" ht="13" x14ac:dyDescent="0.25">
      <c r="B264" s="281" t="s">
        <v>172</v>
      </c>
      <c r="F264" s="1000">
        <v>2021</v>
      </c>
      <c r="H264" s="221"/>
      <c r="Q264" s="167"/>
    </row>
    <row r="265" spans="2:17" x14ac:dyDescent="0.25">
      <c r="H265" s="221"/>
      <c r="Q265" s="167"/>
    </row>
    <row r="266" spans="2:17" ht="78" customHeight="1" x14ac:dyDescent="0.25">
      <c r="B266" s="1231" t="s">
        <v>173</v>
      </c>
      <c r="C266" s="1232"/>
      <c r="D266" s="1232"/>
      <c r="E266" s="1233"/>
      <c r="F266" s="282"/>
      <c r="G266" s="166" t="str">
        <f>"Nog af te bouwen regulatoir saldo einde "&amp;F264-1</f>
        <v>Nog af te bouwen regulatoir saldo einde 2020</v>
      </c>
      <c r="H266" s="166" t="str">
        <f>"50% van oorspronkelijk saldo door te rekenen volgens de tariefmethodologie in het boekjaar "&amp;F264</f>
        <v>50% van oorspronkelijk saldo door te rekenen volgens de tariefmethodologie in het boekjaar 2021</v>
      </c>
      <c r="I266" s="166" t="str">
        <f>"Nog af te bouwen regulatoir saldo einde "&amp;F264</f>
        <v>Nog af te bouwen regulatoir saldo einde 2021</v>
      </c>
      <c r="J266" s="212"/>
      <c r="Q266" s="167"/>
    </row>
    <row r="267" spans="2:17" ht="13" x14ac:dyDescent="0.25">
      <c r="B267" s="1228">
        <v>2015</v>
      </c>
      <c r="C267" s="1229"/>
      <c r="D267" s="1229"/>
      <c r="E267" s="1230"/>
      <c r="F267" s="283"/>
      <c r="G267" s="177">
        <f>M258</f>
        <v>0</v>
      </c>
      <c r="H267" s="566">
        <f>-G267*0.5</f>
        <v>0</v>
      </c>
      <c r="I267" s="177">
        <f>+G267+H267</f>
        <v>0</v>
      </c>
      <c r="J267" s="212"/>
      <c r="Q267" s="167"/>
    </row>
    <row r="268" spans="2:17" ht="13" x14ac:dyDescent="0.25">
      <c r="B268" s="1228">
        <v>2016</v>
      </c>
      <c r="C268" s="1229"/>
      <c r="D268" s="1229"/>
      <c r="E268" s="1230"/>
      <c r="F268" s="283"/>
      <c r="G268" s="177">
        <f t="shared" ref="G268:G270" si="31">M259</f>
        <v>0</v>
      </c>
      <c r="H268" s="566">
        <f t="shared" ref="H268:H271" si="32">-G268*0.5</f>
        <v>0</v>
      </c>
      <c r="I268" s="177">
        <f t="shared" ref="I268:I271" si="33">+G268+H268</f>
        <v>0</v>
      </c>
      <c r="J268" s="212"/>
      <c r="Q268" s="167"/>
    </row>
    <row r="269" spans="2:17" ht="13" x14ac:dyDescent="0.25">
      <c r="B269" s="1228">
        <v>2017</v>
      </c>
      <c r="C269" s="1229"/>
      <c r="D269" s="1229">
        <v>2016</v>
      </c>
      <c r="E269" s="1230"/>
      <c r="F269" s="283"/>
      <c r="G269" s="177">
        <f t="shared" si="31"/>
        <v>0</v>
      </c>
      <c r="H269" s="566">
        <f t="shared" si="32"/>
        <v>0</v>
      </c>
      <c r="I269" s="177">
        <f t="shared" si="33"/>
        <v>0</v>
      </c>
      <c r="J269" s="212"/>
      <c r="Q269" s="167"/>
    </row>
    <row r="270" spans="2:17" ht="13" x14ac:dyDescent="0.25">
      <c r="B270" s="1228">
        <v>2018</v>
      </c>
      <c r="C270" s="1229"/>
      <c r="D270" s="1229"/>
      <c r="E270" s="1230"/>
      <c r="F270" s="283"/>
      <c r="G270" s="177">
        <f t="shared" si="31"/>
        <v>0</v>
      </c>
      <c r="H270" s="566">
        <f t="shared" si="32"/>
        <v>0</v>
      </c>
      <c r="I270" s="177">
        <f t="shared" si="33"/>
        <v>0</v>
      </c>
      <c r="J270" s="212"/>
      <c r="Q270" s="167"/>
    </row>
    <row r="271" spans="2:17" ht="13" x14ac:dyDescent="0.25">
      <c r="B271" s="1228">
        <v>2019</v>
      </c>
      <c r="C271" s="1229"/>
      <c r="D271" s="1229"/>
      <c r="E271" s="1230"/>
      <c r="F271" s="283"/>
      <c r="G271" s="177">
        <f>K133</f>
        <v>0</v>
      </c>
      <c r="H271" s="566">
        <f t="shared" si="32"/>
        <v>0</v>
      </c>
      <c r="I271" s="177">
        <f t="shared" si="33"/>
        <v>0</v>
      </c>
      <c r="J271" s="212"/>
      <c r="Q271" s="167"/>
    </row>
    <row r="272" spans="2:17" s="281" customFormat="1" ht="13" x14ac:dyDescent="0.25">
      <c r="G272" s="284">
        <f>SUM(G267:G271)</f>
        <v>0</v>
      </c>
      <c r="H272" s="169">
        <f>SUM(H267:H271)</f>
        <v>0</v>
      </c>
      <c r="I272" s="284">
        <f>SUM(I267:I271)</f>
        <v>0</v>
      </c>
    </row>
    <row r="273" spans="2:17" x14ac:dyDescent="0.25">
      <c r="H273" s="221"/>
      <c r="Q273" s="167"/>
    </row>
    <row r="274" spans="2:17" ht="13" x14ac:dyDescent="0.25">
      <c r="B274" s="847" t="s">
        <v>172</v>
      </c>
      <c r="C274" s="842"/>
      <c r="D274" s="842"/>
      <c r="E274" s="842"/>
      <c r="F274" s="1004">
        <v>2022</v>
      </c>
      <c r="G274" s="842"/>
      <c r="H274" s="855"/>
      <c r="I274" s="842"/>
      <c r="Q274" s="167"/>
    </row>
    <row r="275" spans="2:17" x14ac:dyDescent="0.25">
      <c r="B275" s="842"/>
      <c r="C275" s="842"/>
      <c r="D275" s="842"/>
      <c r="E275" s="842"/>
      <c r="F275" s="842"/>
      <c r="G275" s="842"/>
      <c r="H275" s="855"/>
      <c r="I275" s="842"/>
      <c r="Q275" s="167"/>
    </row>
    <row r="276" spans="2:17" ht="78" customHeight="1" x14ac:dyDescent="0.25">
      <c r="B276" s="1237" t="s">
        <v>173</v>
      </c>
      <c r="C276" s="1238"/>
      <c r="D276" s="1238"/>
      <c r="E276" s="1239"/>
      <c r="F276" s="848"/>
      <c r="G276" s="837" t="str">
        <f>"Nog af te bouwen regulatoir saldo einde "&amp;F274-1</f>
        <v>Nog af te bouwen regulatoir saldo einde 2021</v>
      </c>
      <c r="H276" s="837" t="str">
        <f>"50% van oorspronkelijk saldo door te rekenen volgens de tariefmethodologie in het boekjaar "&amp;F274</f>
        <v>50% van oorspronkelijk saldo door te rekenen volgens de tariefmethodologie in het boekjaar 2022</v>
      </c>
      <c r="I276" s="837" t="str">
        <f>"Nog af te bouwen regulatoir saldo einde "&amp;F274</f>
        <v>Nog af te bouwen regulatoir saldo einde 2022</v>
      </c>
      <c r="J276" s="212"/>
      <c r="Q276" s="167"/>
    </row>
    <row r="277" spans="2:17" ht="13" x14ac:dyDescent="0.25">
      <c r="B277" s="1234">
        <v>2015</v>
      </c>
      <c r="C277" s="1235"/>
      <c r="D277" s="1235"/>
      <c r="E277" s="1236"/>
      <c r="F277" s="341"/>
      <c r="G277" s="339">
        <f>+I267</f>
        <v>0</v>
      </c>
      <c r="H277" s="568">
        <f>-G267*0.5</f>
        <v>0</v>
      </c>
      <c r="I277" s="339">
        <f>+G277+H277</f>
        <v>0</v>
      </c>
      <c r="J277" s="212"/>
      <c r="Q277" s="167"/>
    </row>
    <row r="278" spans="2:17" ht="13" x14ac:dyDescent="0.25">
      <c r="B278" s="1234">
        <v>2016</v>
      </c>
      <c r="C278" s="1235"/>
      <c r="D278" s="1235"/>
      <c r="E278" s="1236"/>
      <c r="F278" s="341"/>
      <c r="G278" s="339">
        <f t="shared" ref="G278:G281" si="34">+I268</f>
        <v>0</v>
      </c>
      <c r="H278" s="568">
        <f>-G268*0.5</f>
        <v>0</v>
      </c>
      <c r="I278" s="339">
        <f t="shared" ref="I278:I282" si="35">+G278+H278</f>
        <v>0</v>
      </c>
      <c r="J278" s="212"/>
      <c r="Q278" s="167"/>
    </row>
    <row r="279" spans="2:17" ht="13" x14ac:dyDescent="0.25">
      <c r="B279" s="1234">
        <v>2017</v>
      </c>
      <c r="C279" s="1235"/>
      <c r="D279" s="1235">
        <v>2016</v>
      </c>
      <c r="E279" s="1236"/>
      <c r="F279" s="341"/>
      <c r="G279" s="339">
        <f t="shared" si="34"/>
        <v>0</v>
      </c>
      <c r="H279" s="568">
        <f t="shared" ref="H279:H281" si="36">-G269*0.5</f>
        <v>0</v>
      </c>
      <c r="I279" s="339">
        <f t="shared" si="35"/>
        <v>0</v>
      </c>
      <c r="J279" s="212"/>
      <c r="Q279" s="167"/>
    </row>
    <row r="280" spans="2:17" ht="13" x14ac:dyDescent="0.25">
      <c r="B280" s="1234">
        <v>2018</v>
      </c>
      <c r="C280" s="1235"/>
      <c r="D280" s="1235"/>
      <c r="E280" s="1236"/>
      <c r="F280" s="341"/>
      <c r="G280" s="339">
        <f t="shared" si="34"/>
        <v>0</v>
      </c>
      <c r="H280" s="568">
        <f t="shared" si="36"/>
        <v>0</v>
      </c>
      <c r="I280" s="339">
        <f t="shared" si="35"/>
        <v>0</v>
      </c>
      <c r="J280" s="212"/>
      <c r="Q280" s="167"/>
    </row>
    <row r="281" spans="2:17" ht="13" x14ac:dyDescent="0.25">
      <c r="B281" s="1234">
        <v>2019</v>
      </c>
      <c r="C281" s="1235"/>
      <c r="D281" s="1235"/>
      <c r="E281" s="1236"/>
      <c r="F281" s="341"/>
      <c r="G281" s="339">
        <f t="shared" si="34"/>
        <v>0</v>
      </c>
      <c r="H281" s="568">
        <f t="shared" si="36"/>
        <v>0</v>
      </c>
      <c r="I281" s="339">
        <f t="shared" si="35"/>
        <v>0</v>
      </c>
      <c r="J281" s="212"/>
      <c r="Q281" s="167"/>
    </row>
    <row r="282" spans="2:17" ht="13" x14ac:dyDescent="0.25">
      <c r="B282" s="1234">
        <v>2020</v>
      </c>
      <c r="C282" s="1235"/>
      <c r="D282" s="1235"/>
      <c r="E282" s="1236"/>
      <c r="F282" s="341"/>
      <c r="G282" s="339">
        <f>L134</f>
        <v>0</v>
      </c>
      <c r="H282" s="568">
        <f t="shared" ref="H282" si="37">-G282*0.5</f>
        <v>0</v>
      </c>
      <c r="I282" s="339">
        <f t="shared" si="35"/>
        <v>0</v>
      </c>
      <c r="J282" s="212"/>
      <c r="Q282" s="167"/>
    </row>
    <row r="283" spans="2:17" s="281" customFormat="1" ht="13" x14ac:dyDescent="0.25">
      <c r="B283" s="847"/>
      <c r="C283" s="847"/>
      <c r="D283" s="847"/>
      <c r="E283" s="847"/>
      <c r="F283" s="847"/>
      <c r="G283" s="849">
        <f>SUM(G277:G282)</f>
        <v>0</v>
      </c>
      <c r="H283" s="856">
        <f t="shared" ref="H283:I283" si="38">SUM(H277:H282)</f>
        <v>0</v>
      </c>
      <c r="I283" s="849">
        <f t="shared" si="38"/>
        <v>0</v>
      </c>
    </row>
    <row r="284" spans="2:17" x14ac:dyDescent="0.25">
      <c r="B284" s="842"/>
      <c r="C284" s="842"/>
      <c r="D284" s="842"/>
      <c r="E284" s="842"/>
      <c r="F284" s="842"/>
      <c r="G284" s="842"/>
      <c r="H284" s="855"/>
      <c r="I284" s="842"/>
      <c r="Q284" s="167"/>
    </row>
    <row r="285" spans="2:17" ht="13" x14ac:dyDescent="0.25">
      <c r="B285" s="847" t="s">
        <v>172</v>
      </c>
      <c r="C285" s="842"/>
      <c r="D285" s="842"/>
      <c r="E285" s="842"/>
      <c r="F285" s="1004">
        <v>2023</v>
      </c>
      <c r="G285" s="842"/>
      <c r="H285" s="855"/>
      <c r="I285" s="842"/>
      <c r="Q285" s="167"/>
    </row>
    <row r="286" spans="2:17" x14ac:dyDescent="0.25">
      <c r="B286" s="842"/>
      <c r="C286" s="842"/>
      <c r="D286" s="842"/>
      <c r="E286" s="842"/>
      <c r="F286" s="842"/>
      <c r="G286" s="842"/>
      <c r="H286" s="855"/>
      <c r="I286" s="842"/>
      <c r="Q286" s="167"/>
    </row>
    <row r="287" spans="2:17" ht="78" customHeight="1" x14ac:dyDescent="0.25">
      <c r="B287" s="1237" t="s">
        <v>173</v>
      </c>
      <c r="C287" s="1238"/>
      <c r="D287" s="1238"/>
      <c r="E287" s="1239"/>
      <c r="F287" s="848"/>
      <c r="G287" s="837" t="str">
        <f>"Nog af te bouwen regulatoir saldo einde "&amp;F285-1</f>
        <v>Nog af te bouwen regulatoir saldo einde 2022</v>
      </c>
      <c r="H287" s="837" t="str">
        <f>"50% van oorspronkelijk saldo door te rekenen volgens de tariefmethodologie in het boekjaar "&amp;F285</f>
        <v>50% van oorspronkelijk saldo door te rekenen volgens de tariefmethodologie in het boekjaar 2023</v>
      </c>
      <c r="I287" s="837" t="str">
        <f>"Nog af te bouwen regulatoir saldo einde "&amp;F285</f>
        <v>Nog af te bouwen regulatoir saldo einde 2023</v>
      </c>
      <c r="J287" s="212"/>
      <c r="Q287" s="167"/>
    </row>
    <row r="288" spans="2:17" ht="13" x14ac:dyDescent="0.25">
      <c r="B288" s="1234">
        <v>2020</v>
      </c>
      <c r="C288" s="1235"/>
      <c r="D288" s="1235"/>
      <c r="E288" s="1236"/>
      <c r="F288" s="341"/>
      <c r="G288" s="339">
        <f>+I282</f>
        <v>0</v>
      </c>
      <c r="H288" s="568">
        <f>-G282*0.5</f>
        <v>0</v>
      </c>
      <c r="I288" s="339">
        <f t="shared" ref="I288:I289" si="39">+G288+H288</f>
        <v>0</v>
      </c>
      <c r="J288" s="212"/>
      <c r="Q288" s="167"/>
    </row>
    <row r="289" spans="2:17" ht="13" x14ac:dyDescent="0.25">
      <c r="B289" s="1234">
        <v>2021</v>
      </c>
      <c r="C289" s="1235"/>
      <c r="D289" s="1235"/>
      <c r="E289" s="1236"/>
      <c r="F289" s="341"/>
      <c r="G289" s="339">
        <f>M135</f>
        <v>0</v>
      </c>
      <c r="H289" s="568">
        <f t="shared" ref="H289" si="40">-G289*0.5</f>
        <v>0</v>
      </c>
      <c r="I289" s="339">
        <f t="shared" si="39"/>
        <v>0</v>
      </c>
      <c r="J289" s="212"/>
      <c r="Q289" s="167"/>
    </row>
    <row r="290" spans="2:17" s="281" customFormat="1" ht="13" x14ac:dyDescent="0.25">
      <c r="B290" s="847"/>
      <c r="C290" s="847"/>
      <c r="D290" s="847"/>
      <c r="E290" s="847"/>
      <c r="F290" s="847"/>
      <c r="G290" s="849">
        <f>SUM(G288:G289)</f>
        <v>0</v>
      </c>
      <c r="H290" s="856">
        <f>SUM(H288:H289)</f>
        <v>0</v>
      </c>
      <c r="I290" s="849">
        <f>SUM(I288:I289)</f>
        <v>0</v>
      </c>
    </row>
    <row r="291" spans="2:17" x14ac:dyDescent="0.25">
      <c r="B291" s="842"/>
      <c r="C291" s="842"/>
      <c r="D291" s="842"/>
      <c r="E291" s="842"/>
      <c r="F291" s="842"/>
      <c r="G291" s="842"/>
      <c r="H291" s="855"/>
      <c r="I291" s="842"/>
      <c r="Q291" s="167"/>
    </row>
    <row r="292" spans="2:17" ht="13" x14ac:dyDescent="0.25">
      <c r="B292" s="847" t="s">
        <v>172</v>
      </c>
      <c r="C292" s="842"/>
      <c r="D292" s="842"/>
      <c r="E292" s="842"/>
      <c r="F292" s="1004">
        <v>2024</v>
      </c>
      <c r="G292" s="842"/>
      <c r="H292" s="855"/>
      <c r="I292" s="842"/>
      <c r="Q292" s="167"/>
    </row>
    <row r="293" spans="2:17" x14ac:dyDescent="0.25">
      <c r="B293" s="842"/>
      <c r="C293" s="842"/>
      <c r="D293" s="842"/>
      <c r="E293" s="842"/>
      <c r="F293" s="842"/>
      <c r="G293" s="842"/>
      <c r="H293" s="855"/>
      <c r="I293" s="842"/>
      <c r="Q293" s="167"/>
    </row>
    <row r="294" spans="2:17" ht="78" customHeight="1" x14ac:dyDescent="0.25">
      <c r="B294" s="1237" t="s">
        <v>173</v>
      </c>
      <c r="C294" s="1238"/>
      <c r="D294" s="1238"/>
      <c r="E294" s="1239"/>
      <c r="F294" s="848"/>
      <c r="G294" s="837" t="str">
        <f>"Nog af te bouwen regulatoir saldo einde "&amp;F292-1</f>
        <v>Nog af te bouwen regulatoir saldo einde 2023</v>
      </c>
      <c r="H294" s="837" t="str">
        <f>"50% van oorspronkelijk saldo door te rekenen volgens de tariefmethodologie in het boekjaar "&amp;F292</f>
        <v>50% van oorspronkelijk saldo door te rekenen volgens de tariefmethodologie in het boekjaar 2024</v>
      </c>
      <c r="I294" s="837" t="str">
        <f>"Nog af te bouwen regulatoir saldo einde "&amp;F292</f>
        <v>Nog af te bouwen regulatoir saldo einde 2024</v>
      </c>
      <c r="J294" s="212"/>
      <c r="Q294" s="167"/>
    </row>
    <row r="295" spans="2:17" ht="13" x14ac:dyDescent="0.25">
      <c r="B295" s="1234">
        <v>2021</v>
      </c>
      <c r="C295" s="1235"/>
      <c r="D295" s="1235"/>
      <c r="E295" s="1236"/>
      <c r="F295" s="341"/>
      <c r="G295" s="339">
        <f>+I289</f>
        <v>0</v>
      </c>
      <c r="H295" s="568">
        <f>-G289*0.5</f>
        <v>0</v>
      </c>
      <c r="I295" s="339">
        <f t="shared" ref="I295:I296" si="41">+G295+H295</f>
        <v>0</v>
      </c>
      <c r="J295" s="212"/>
      <c r="Q295" s="167"/>
    </row>
    <row r="296" spans="2:17" ht="13" x14ac:dyDescent="0.25">
      <c r="B296" s="1234">
        <v>2022</v>
      </c>
      <c r="C296" s="1235"/>
      <c r="D296" s="1235"/>
      <c r="E296" s="1236"/>
      <c r="F296" s="341"/>
      <c r="G296" s="339">
        <f>N136</f>
        <v>0</v>
      </c>
      <c r="H296" s="568">
        <f t="shared" ref="H296" si="42">-G296*0.5</f>
        <v>0</v>
      </c>
      <c r="I296" s="339">
        <f t="shared" si="41"/>
        <v>0</v>
      </c>
      <c r="J296" s="212"/>
      <c r="Q296" s="167"/>
    </row>
    <row r="297" spans="2:17" s="281" customFormat="1" ht="13" x14ac:dyDescent="0.25">
      <c r="B297" s="847"/>
      <c r="C297" s="847"/>
      <c r="D297" s="847"/>
      <c r="E297" s="847"/>
      <c r="F297" s="847"/>
      <c r="G297" s="849">
        <f>SUM(G295:G296)</f>
        <v>0</v>
      </c>
      <c r="H297" s="856">
        <f>SUM(H295:H296)</f>
        <v>0</v>
      </c>
      <c r="I297" s="849">
        <f>SUM(I295:I296)</f>
        <v>0</v>
      </c>
    </row>
    <row r="298" spans="2:17" ht="13" x14ac:dyDescent="0.25">
      <c r="B298" s="281" t="s">
        <v>240</v>
      </c>
      <c r="H298" s="221"/>
      <c r="Q298" s="167"/>
    </row>
    <row r="299" spans="2:17" ht="13" x14ac:dyDescent="0.25">
      <c r="B299" s="281" t="s">
        <v>174</v>
      </c>
      <c r="C299" s="224"/>
      <c r="D299" s="224"/>
      <c r="E299" s="224"/>
      <c r="H299" s="221"/>
      <c r="Q299" s="167"/>
    </row>
    <row r="300" spans="2:17" ht="13" x14ac:dyDescent="0.25">
      <c r="B300" s="281"/>
      <c r="C300" s="224"/>
      <c r="D300" s="224"/>
      <c r="E300" s="224"/>
      <c r="H300" s="221"/>
      <c r="Q300" s="167"/>
    </row>
    <row r="301" spans="2:17" ht="13" x14ac:dyDescent="0.25">
      <c r="B301" s="283">
        <f>F264</f>
        <v>2021</v>
      </c>
      <c r="C301" s="287">
        <f>+H272</f>
        <v>0</v>
      </c>
      <c r="D301" s="224"/>
      <c r="E301" s="224"/>
      <c r="H301" s="221"/>
      <c r="Q301" s="167"/>
    </row>
    <row r="302" spans="2:17" ht="13" x14ac:dyDescent="0.25">
      <c r="B302" s="341">
        <v>2022</v>
      </c>
      <c r="C302" s="342">
        <f>+H283</f>
        <v>0</v>
      </c>
      <c r="D302" s="224"/>
      <c r="E302" s="224"/>
      <c r="H302" s="221"/>
      <c r="Q302" s="167"/>
    </row>
    <row r="303" spans="2:17" ht="13" x14ac:dyDescent="0.25">
      <c r="B303" s="341">
        <v>2023</v>
      </c>
      <c r="C303" s="342">
        <f>+H290</f>
        <v>0</v>
      </c>
      <c r="D303" s="224"/>
      <c r="E303" s="224"/>
      <c r="H303" s="221"/>
      <c r="Q303" s="167"/>
    </row>
    <row r="304" spans="2:17" ht="13" x14ac:dyDescent="0.25">
      <c r="B304" s="341">
        <v>2024</v>
      </c>
      <c r="C304" s="342">
        <f>+H297</f>
        <v>0</v>
      </c>
      <c r="D304" s="224"/>
      <c r="E304" s="224"/>
      <c r="H304" s="221"/>
      <c r="Q304" s="167"/>
    </row>
    <row r="305" spans="2:17" x14ac:dyDescent="0.25">
      <c r="H305" s="221"/>
      <c r="Q305" s="167"/>
    </row>
    <row r="306" spans="2:17" x14ac:dyDescent="0.25">
      <c r="H306" s="221"/>
      <c r="Q306" s="167"/>
    </row>
    <row r="307" spans="2:17" ht="13" x14ac:dyDescent="0.25">
      <c r="B307" s="326" t="s">
        <v>66</v>
      </c>
      <c r="C307" s="327"/>
      <c r="D307" s="327"/>
      <c r="E307" s="327"/>
      <c r="F307" s="328"/>
      <c r="G307" s="328"/>
      <c r="H307" s="569"/>
      <c r="I307" s="328"/>
      <c r="J307" s="328"/>
      <c r="K307" s="328"/>
      <c r="L307" s="328"/>
      <c r="M307" s="328"/>
      <c r="Q307" s="167"/>
    </row>
    <row r="308" spans="2:17" x14ac:dyDescent="0.25">
      <c r="H308" s="221"/>
      <c r="Q308" s="167"/>
    </row>
    <row r="309" spans="2:17" ht="13" x14ac:dyDescent="0.25">
      <c r="B309" s="281" t="s">
        <v>172</v>
      </c>
      <c r="F309" s="1000">
        <v>2017</v>
      </c>
      <c r="H309" s="221"/>
      <c r="Q309" s="167"/>
    </row>
    <row r="310" spans="2:17" x14ac:dyDescent="0.25">
      <c r="H310" s="221"/>
      <c r="L310" s="212"/>
      <c r="Q310" s="167"/>
    </row>
    <row r="311" spans="2:17" ht="104.15" customHeight="1" x14ac:dyDescent="0.25">
      <c r="B311" s="1231" t="s">
        <v>173</v>
      </c>
      <c r="C311" s="1232"/>
      <c r="D311" s="1232"/>
      <c r="E311" s="1233"/>
      <c r="F311" s="282"/>
      <c r="G311" s="166" t="str">
        <f>"Nog af te bouwen regulatoir saldo einde "&amp;F309-1</f>
        <v>Nog af te bouwen regulatoir saldo einde 2016</v>
      </c>
      <c r="H311" s="166" t="str">
        <f>"Afbouw oudste openstaande regulatoir saldo vanaf boekjaar "&amp;F309-3&amp;" en vroeger, door aanwending van compensatie met regulatoir saldo ontstaan over boekjaar "&amp;F309-2</f>
        <v>Afbouw oudste openstaande regulatoir saldo vanaf boekjaar 2014 en vroeger, door aanwending van compensatie met regulatoir saldo ontstaan over boekjaar 2015</v>
      </c>
      <c r="I311" s="166" t="str">
        <f>"Nog af te bouwen regulatoir saldo na compensatie einde "&amp;F309-1</f>
        <v>Nog af te bouwen regulatoir saldo na compensatie einde 2016</v>
      </c>
      <c r="J311" s="166" t="str">
        <f>"Aanwending van "&amp;IF($B$7="elektriciteit","75%",IF($B$7="gas","40%","FALSE"))&amp;" van het geaccumuleerd regulatoir saldo door te rekenen volgens de tariefmethodologie in het boekjaar "&amp;F309</f>
        <v>Aanwending van 75% van het geaccumuleerd regulatoir saldo door te rekenen volgens de tariefmethodologie in het boekjaar 2017</v>
      </c>
      <c r="K311" s="166" t="str">
        <f>"Nog af te bouwen regulatoir saldo einde "&amp;F309</f>
        <v>Nog af te bouwen regulatoir saldo einde 2017</v>
      </c>
      <c r="L311" s="212"/>
      <c r="Q311" s="167"/>
    </row>
    <row r="312" spans="2:17" ht="13" x14ac:dyDescent="0.25">
      <c r="B312" s="1228">
        <v>2015</v>
      </c>
      <c r="C312" s="1229"/>
      <c r="D312" s="1229"/>
      <c r="E312" s="1230"/>
      <c r="F312" s="283"/>
      <c r="G312" s="177">
        <f>G140</f>
        <v>0</v>
      </c>
      <c r="H312" s="566">
        <v>0</v>
      </c>
      <c r="I312" s="177">
        <f>+G312+H312</f>
        <v>0</v>
      </c>
      <c r="J312" s="1008">
        <f>-I312*IF($B$7="elektriciteit",0.75,IF($B$7="gas",0.4,"FALSE"))</f>
        <v>0</v>
      </c>
      <c r="K312" s="1001">
        <f>+J312+G312</f>
        <v>0</v>
      </c>
      <c r="L312" s="212"/>
      <c r="Q312" s="167"/>
    </row>
    <row r="313" spans="2:17" x14ac:dyDescent="0.25">
      <c r="H313" s="221"/>
      <c r="L313" s="212"/>
      <c r="Q313" s="167"/>
    </row>
    <row r="314" spans="2:17" ht="13" x14ac:dyDescent="0.25">
      <c r="B314" s="281" t="s">
        <v>172</v>
      </c>
      <c r="F314" s="1000">
        <v>2018</v>
      </c>
      <c r="H314" s="221"/>
      <c r="Q314" s="167"/>
    </row>
    <row r="315" spans="2:17" x14ac:dyDescent="0.25">
      <c r="H315" s="221"/>
      <c r="Q315" s="167"/>
    </row>
    <row r="316" spans="2:17" ht="104.15" customHeight="1" x14ac:dyDescent="0.25">
      <c r="B316" s="1231" t="s">
        <v>173</v>
      </c>
      <c r="C316" s="1232"/>
      <c r="D316" s="1232"/>
      <c r="E316" s="1233"/>
      <c r="F316" s="282"/>
      <c r="G316" s="166" t="str">
        <f>"Nog af te bouwen regulatoir saldo einde "&amp;F314-1</f>
        <v>Nog af te bouwen regulatoir saldo einde 2017</v>
      </c>
      <c r="H316" s="166" t="str">
        <f>"Afbouw oudste openstaande regulatoir saldo vanaf boekjaar "&amp;F314-3&amp;" en vroeger, door aanwending van compensatie met regulatoir saldo ontstaan over boekjaar "&amp;F314-2</f>
        <v>Afbouw oudste openstaande regulatoir saldo vanaf boekjaar 2015 en vroeger, door aanwending van compensatie met regulatoir saldo ontstaan over boekjaar 2016</v>
      </c>
      <c r="I316" s="166" t="str">
        <f>"Nog af te bouwen regulatoir saldo na compensatie einde "&amp;F314-1</f>
        <v>Nog af te bouwen regulatoir saldo na compensatie einde 2017</v>
      </c>
      <c r="J316" s="166" t="str">
        <f>"Aanwending van "&amp;IF($B$7="elektriciteit","75%",IF($B$7="gas","40%","FALSE"))&amp;" van het geaccumuleerd regulatoir saldo door te rekenen volgens de tariefmethodologie in het boekjaar "&amp;F314</f>
        <v>Aanwending van 75% van het geaccumuleerd regulatoir saldo door te rekenen volgens de tariefmethodologie in het boekjaar 2018</v>
      </c>
      <c r="K316" s="166" t="str">
        <f>"Aanwending van "&amp;IF($B$7="elektriciteit","75%",IF($B$7="gas","40%","FALSE"))&amp;" van het geaccumuleerd regulatoir saldo door te rekenen volgens de tariefmethodologie in het boekjaar "&amp;F314</f>
        <v>Aanwending van 75% van het geaccumuleerd regulatoir saldo door te rekenen volgens de tariefmethodologie in het boekjaar 2018</v>
      </c>
      <c r="L316" s="166" t="str">
        <f>"Totale afbouw over "&amp;F314</f>
        <v>Totale afbouw over 2018</v>
      </c>
      <c r="M316" s="166" t="str">
        <f>"Nog af te bouwen regulatoir saldo einde "&amp;F314</f>
        <v>Nog af te bouwen regulatoir saldo einde 2018</v>
      </c>
      <c r="N316" s="212"/>
      <c r="Q316" s="167"/>
    </row>
    <row r="317" spans="2:17" ht="13" x14ac:dyDescent="0.25">
      <c r="B317" s="1228">
        <v>2015</v>
      </c>
      <c r="C317" s="1229"/>
      <c r="D317" s="1229"/>
      <c r="E317" s="1230"/>
      <c r="F317" s="283"/>
      <c r="G317" s="177">
        <f>K312</f>
        <v>0</v>
      </c>
      <c r="H317" s="566">
        <f>IF(SIGN(G318*K312)&lt;0,IF(G317&lt;&gt;0,-SIGN(G317)*MIN(ABS(G318),ABS(G317)),0),0)</f>
        <v>0</v>
      </c>
      <c r="I317" s="177">
        <f>+G317+H317</f>
        <v>0</v>
      </c>
      <c r="J317" s="1009"/>
      <c r="K317" s="1010">
        <f>-MIN(ABS(I317),ABS(J319))*SIGN(I317)</f>
        <v>0</v>
      </c>
      <c r="L317" s="1003">
        <f>+K317+H317</f>
        <v>0</v>
      </c>
      <c r="M317" s="177">
        <f>+I317+K317</f>
        <v>0</v>
      </c>
      <c r="N317" s="212"/>
      <c r="Q317" s="167"/>
    </row>
    <row r="318" spans="2:17" ht="13" x14ac:dyDescent="0.25">
      <c r="B318" s="1228">
        <v>2016</v>
      </c>
      <c r="C318" s="1229"/>
      <c r="D318" s="1229"/>
      <c r="E318" s="1230"/>
      <c r="F318" s="283"/>
      <c r="G318" s="177">
        <f>H141</f>
        <v>0</v>
      </c>
      <c r="H318" s="1003">
        <f>IF(SIGN(G318*K312)&lt;0,-H317,0)</f>
        <v>0</v>
      </c>
      <c r="I318" s="177">
        <f>+G318+H318</f>
        <v>0</v>
      </c>
      <c r="J318" s="1009"/>
      <c r="K318" s="1010">
        <f>-MIN(ABS(I318),ABS(J319-K317))*SIGN(I318)</f>
        <v>0</v>
      </c>
      <c r="L318" s="1003">
        <f>+K318+H318</f>
        <v>0</v>
      </c>
      <c r="M318" s="177">
        <f>+I318+K318</f>
        <v>0</v>
      </c>
      <c r="N318" s="212"/>
      <c r="Q318" s="167"/>
    </row>
    <row r="319" spans="2:17" s="281" customFormat="1" ht="13" x14ac:dyDescent="0.3">
      <c r="G319" s="284">
        <f>SUM(G317:G318)</f>
        <v>0</v>
      </c>
      <c r="H319" s="169">
        <f>SUM(H317:H318)</f>
        <v>0</v>
      </c>
      <c r="I319" s="284">
        <f>SUM(I317:I318)</f>
        <v>0</v>
      </c>
      <c r="J319" s="214">
        <f>-I319*IF($B$7="elektriciteit",0.75,IF($B$7="gas",0.4,"FALSE"))</f>
        <v>0</v>
      </c>
      <c r="K319" s="291">
        <f>SUM(K317:K318)</f>
        <v>0</v>
      </c>
      <c r="L319" s="286"/>
      <c r="M319" s="284">
        <f>SUM(M317:M318)</f>
        <v>0</v>
      </c>
    </row>
    <row r="320" spans="2:17" x14ac:dyDescent="0.25">
      <c r="H320" s="221"/>
      <c r="J320" s="12"/>
      <c r="K320" s="12"/>
      <c r="Q320" s="167"/>
    </row>
    <row r="321" spans="2:17" ht="13" x14ac:dyDescent="0.25">
      <c r="B321" s="281" t="s">
        <v>172</v>
      </c>
      <c r="F321" s="1000">
        <v>2019</v>
      </c>
      <c r="H321" s="221"/>
      <c r="J321" s="12"/>
      <c r="K321" s="12"/>
      <c r="Q321" s="167"/>
    </row>
    <row r="322" spans="2:17" x14ac:dyDescent="0.25">
      <c r="H322" s="221"/>
      <c r="J322" s="12"/>
      <c r="K322" s="12"/>
      <c r="Q322" s="167"/>
    </row>
    <row r="323" spans="2:17" ht="104.15" customHeight="1" x14ac:dyDescent="0.25">
      <c r="B323" s="1231" t="s">
        <v>173</v>
      </c>
      <c r="C323" s="1232"/>
      <c r="D323" s="1232"/>
      <c r="E323" s="1233"/>
      <c r="F323" s="282"/>
      <c r="G323" s="166" t="str">
        <f>"Nog af te bouwen regulatoir saldo einde "&amp;F321-1</f>
        <v>Nog af te bouwen regulatoir saldo einde 2018</v>
      </c>
      <c r="H323" s="166" t="str">
        <f>"Afbouw oudste openstaande regulatoir saldo vanaf boekjaar "&amp;F321-3&amp;" en vroeger, door aanwending van compensatie met regulatoir saldo ontstaan over boekjaar "&amp;F321-2</f>
        <v>Afbouw oudste openstaande regulatoir saldo vanaf boekjaar 2016 en vroeger, door aanwending van compensatie met regulatoir saldo ontstaan over boekjaar 2017</v>
      </c>
      <c r="I323" s="166" t="str">
        <f>"Nog af te bouwen regulatoir saldo na compensatie einde "&amp;F321-1</f>
        <v>Nog af te bouwen regulatoir saldo na compensatie einde 2018</v>
      </c>
      <c r="J323" s="166" t="str">
        <f>"Aanwending van "&amp;IF($B$7="elektriciteit","75%",IF($B$7="gas","40%","FALSE"))&amp;" van het geaccumuleerd regulatoir saldo door te rekenen volgens de tariefmethodologie in het boekjaar "&amp;F321</f>
        <v>Aanwending van 75% van het geaccumuleerd regulatoir saldo door te rekenen volgens de tariefmethodologie in het boekjaar 2019</v>
      </c>
      <c r="K323" s="166" t="str">
        <f>"Aanwending van "&amp;IF($B$7="elektriciteit","75%",IF($B$7="gas","40%","FALSE"))&amp;" van het geaccumuleerd regulatoir saldo door te rekenen volgens de tariefmethodologie in het boekjaar "&amp;F321</f>
        <v>Aanwending van 75% van het geaccumuleerd regulatoir saldo door te rekenen volgens de tariefmethodologie in het boekjaar 2019</v>
      </c>
      <c r="L323" s="166" t="str">
        <f>"Totale afbouw over "&amp;F321</f>
        <v>Totale afbouw over 2019</v>
      </c>
      <c r="M323" s="166" t="str">
        <f>"Nog af te bouwen regulatoir saldo einde "&amp;F321</f>
        <v>Nog af te bouwen regulatoir saldo einde 2019</v>
      </c>
      <c r="N323" s="212"/>
      <c r="Q323" s="167"/>
    </row>
    <row r="324" spans="2:17" ht="13" x14ac:dyDescent="0.25">
      <c r="B324" s="1228">
        <v>2015</v>
      </c>
      <c r="C324" s="1229"/>
      <c r="D324" s="1229"/>
      <c r="E324" s="1230"/>
      <c r="F324" s="283"/>
      <c r="G324" s="177">
        <f>+M317</f>
        <v>0</v>
      </c>
      <c r="H324" s="1003">
        <f>IF(SIGN(G326*M319)&lt;0,IF(G324&lt;&gt;0,-SIGN(G324)*MIN(ABS(G326),ABS(G324)),0),0)</f>
        <v>0</v>
      </c>
      <c r="I324" s="177">
        <f>+G324+H324</f>
        <v>0</v>
      </c>
      <c r="J324" s="1009"/>
      <c r="K324" s="1010">
        <f>-MIN(ABS(I324),ABS(J327))*SIGN(I324)</f>
        <v>0</v>
      </c>
      <c r="L324" s="1003">
        <f>+K324+H324</f>
        <v>0</v>
      </c>
      <c r="M324" s="177">
        <f>+I324+K324</f>
        <v>0</v>
      </c>
      <c r="N324" s="212"/>
      <c r="Q324" s="167"/>
    </row>
    <row r="325" spans="2:17" ht="13" x14ac:dyDescent="0.25">
      <c r="B325" s="1228">
        <v>2016</v>
      </c>
      <c r="C325" s="1229"/>
      <c r="D325" s="1229">
        <v>2016</v>
      </c>
      <c r="E325" s="1230"/>
      <c r="F325" s="283"/>
      <c r="G325" s="177">
        <f>+M318</f>
        <v>0</v>
      </c>
      <c r="H325" s="1003">
        <f>IF(SIGN(G326*M319)&lt;0,IF(G325&lt;&gt;0,-SIGN(G325)*MIN(ABS(G326-H324),ABS(G325)),0),0)</f>
        <v>0</v>
      </c>
      <c r="I325" s="177">
        <f>+G325+H325</f>
        <v>0</v>
      </c>
      <c r="J325" s="1009"/>
      <c r="K325" s="1010">
        <f>-MIN(ABS(I325),ABS(J327-K324))*SIGN(I325)</f>
        <v>0</v>
      </c>
      <c r="L325" s="1003">
        <f>+K325+H325</f>
        <v>0</v>
      </c>
      <c r="M325" s="177">
        <f>+I325+K325</f>
        <v>0</v>
      </c>
      <c r="N325" s="212"/>
      <c r="Q325" s="167"/>
    </row>
    <row r="326" spans="2:17" ht="13" x14ac:dyDescent="0.25">
      <c r="B326" s="1228">
        <v>2017</v>
      </c>
      <c r="C326" s="1229"/>
      <c r="D326" s="1229"/>
      <c r="E326" s="1230"/>
      <c r="F326" s="283"/>
      <c r="G326" s="177">
        <f>I142</f>
        <v>0</v>
      </c>
      <c r="H326" s="1003">
        <f>IF(SIGN(G326*M319)&lt;0,-SUM(H324:H325),0)</f>
        <v>0</v>
      </c>
      <c r="I326" s="177">
        <f>+G326+H326</f>
        <v>0</v>
      </c>
      <c r="J326" s="1009"/>
      <c r="K326" s="1010">
        <f>-MIN(ABS(I326),ABS(J327-K324-K325))*SIGN(I326)</f>
        <v>0</v>
      </c>
      <c r="L326" s="1003">
        <f>+K326+H326</f>
        <v>0</v>
      </c>
      <c r="M326" s="177">
        <f>+I326+K326</f>
        <v>0</v>
      </c>
      <c r="N326" s="212"/>
      <c r="Q326" s="167"/>
    </row>
    <row r="327" spans="2:17" s="281" customFormat="1" ht="13" x14ac:dyDescent="0.3">
      <c r="G327" s="284">
        <f>SUM(G324:G326)</f>
        <v>0</v>
      </c>
      <c r="H327" s="169">
        <f>SUM(H324:H326)</f>
        <v>0</v>
      </c>
      <c r="I327" s="284">
        <f>SUM(I324:I326)</f>
        <v>0</v>
      </c>
      <c r="J327" s="214">
        <f>-I327*IF($B$7="elektriciteit",0.75,IF($B$7="gas",0.4,"FALSE"))</f>
        <v>0</v>
      </c>
      <c r="K327" s="291">
        <f>SUM(K324:K326)</f>
        <v>0</v>
      </c>
      <c r="L327" s="570"/>
      <c r="M327" s="284">
        <f>SUM(M324:M326)</f>
        <v>0</v>
      </c>
    </row>
    <row r="328" spans="2:17" x14ac:dyDescent="0.25">
      <c r="H328" s="221"/>
      <c r="J328" s="12"/>
      <c r="K328" s="12"/>
      <c r="Q328" s="167"/>
    </row>
    <row r="329" spans="2:17" ht="13" x14ac:dyDescent="0.25">
      <c r="B329" s="281" t="s">
        <v>172</v>
      </c>
      <c r="F329" s="1000">
        <v>2020</v>
      </c>
      <c r="H329" s="221"/>
      <c r="J329" s="12"/>
      <c r="K329" s="12"/>
      <c r="Q329" s="167"/>
    </row>
    <row r="330" spans="2:17" x14ac:dyDescent="0.25">
      <c r="H330" s="221"/>
      <c r="J330" s="12"/>
      <c r="K330" s="12"/>
      <c r="Q330" s="167"/>
    </row>
    <row r="331" spans="2:17" ht="104.15" customHeight="1" x14ac:dyDescent="0.25">
      <c r="B331" s="1231" t="s">
        <v>173</v>
      </c>
      <c r="C331" s="1232"/>
      <c r="D331" s="1232"/>
      <c r="E331" s="1233"/>
      <c r="F331" s="282"/>
      <c r="G331" s="166" t="str">
        <f>"Nog af te bouwen regulatoir saldo einde "&amp;F329-1</f>
        <v>Nog af te bouwen regulatoir saldo einde 2019</v>
      </c>
      <c r="H331" s="166" t="str">
        <f>"Afbouw oudste openstaande regulatoir saldo vanaf boekjaar "&amp;F329-3&amp;" en vroeger, door aanwending van compensatie met regulatoir saldo ontstaan over boekjaar "&amp;F329-2</f>
        <v>Afbouw oudste openstaande regulatoir saldo vanaf boekjaar 2017 en vroeger, door aanwending van compensatie met regulatoir saldo ontstaan over boekjaar 2018</v>
      </c>
      <c r="I331" s="166" t="str">
        <f>"Nog af te bouwen regulatoir saldo na compensatie einde "&amp;F329-1</f>
        <v>Nog af te bouwen regulatoir saldo na compensatie einde 2019</v>
      </c>
      <c r="J331" s="166" t="str">
        <f>"Aanwending van "&amp;IF($B$7="elektriciteit","75%",IF($B$7="gas","40%","FALSE"))&amp;" van het geaccumuleerd regulatoir saldo door te rekenen volgens de tariefmethodologie in het boekjaar "&amp;F329</f>
        <v>Aanwending van 75% van het geaccumuleerd regulatoir saldo door te rekenen volgens de tariefmethodologie in het boekjaar 2020</v>
      </c>
      <c r="K331" s="166" t="str">
        <f>"Aanwending van "&amp;IF($B$7="elektriciteit","75%",IF($B$7="gas","40%","FALSE"))&amp;" van het geaccumuleerd regulatoir saldo door te rekenen volgens de tariefmethodologie in het boekjaar "&amp;F329</f>
        <v>Aanwending van 75% van het geaccumuleerd regulatoir saldo door te rekenen volgens de tariefmethodologie in het boekjaar 2020</v>
      </c>
      <c r="L331" s="166" t="str">
        <f>"Totale afbouw over "&amp;F329</f>
        <v>Totale afbouw over 2020</v>
      </c>
      <c r="M331" s="166" t="str">
        <f>"Nog af te bouwen regulatoir saldo einde "&amp;F329</f>
        <v>Nog af te bouwen regulatoir saldo einde 2020</v>
      </c>
      <c r="N331" s="212"/>
      <c r="Q331" s="167"/>
    </row>
    <row r="332" spans="2:17" ht="13" x14ac:dyDescent="0.25">
      <c r="B332" s="1228">
        <v>2015</v>
      </c>
      <c r="C332" s="1229"/>
      <c r="D332" s="1229"/>
      <c r="E332" s="1230"/>
      <c r="F332" s="283"/>
      <c r="G332" s="177">
        <f>+M324</f>
        <v>0</v>
      </c>
      <c r="H332" s="1003">
        <f>IF(SIGN(G335*M327)&lt;0,IF(G332&lt;&gt;0,-SIGN(G332)*MIN(ABS(G335),ABS(G332)),0),0)</f>
        <v>0</v>
      </c>
      <c r="I332" s="177">
        <f>+G332+H332</f>
        <v>0</v>
      </c>
      <c r="J332" s="1009"/>
      <c r="K332" s="1010">
        <f>-MIN(ABS(I332),ABS(J336))*SIGN(I332)</f>
        <v>0</v>
      </c>
      <c r="L332" s="1003">
        <f>+K332+H332</f>
        <v>0</v>
      </c>
      <c r="M332" s="177">
        <f>+I332+K332</f>
        <v>0</v>
      </c>
      <c r="N332" s="212"/>
      <c r="Q332" s="167"/>
    </row>
    <row r="333" spans="2:17" ht="13" x14ac:dyDescent="0.25">
      <c r="B333" s="1228">
        <v>2016</v>
      </c>
      <c r="C333" s="1229"/>
      <c r="D333" s="1229"/>
      <c r="E333" s="1230"/>
      <c r="F333" s="283"/>
      <c r="G333" s="177">
        <f>+M325</f>
        <v>0</v>
      </c>
      <c r="H333" s="1003">
        <f>IF(SIGN(G335*M327)&lt;0,IF(G333&lt;&gt;0,-SIGN(G333)*MIN(ABS(G335-H332),ABS(G333)),0),0)</f>
        <v>0</v>
      </c>
      <c r="I333" s="177">
        <f>+G333+H333</f>
        <v>0</v>
      </c>
      <c r="J333" s="1009"/>
      <c r="K333" s="1010">
        <f>-MIN(ABS(I333),ABS(J336-K332))*SIGN(I333)</f>
        <v>0</v>
      </c>
      <c r="L333" s="1003">
        <f>+K333+H333</f>
        <v>0</v>
      </c>
      <c r="M333" s="177">
        <f>+I333+K333</f>
        <v>0</v>
      </c>
      <c r="N333" s="212"/>
      <c r="Q333" s="167"/>
    </row>
    <row r="334" spans="2:17" ht="13" x14ac:dyDescent="0.25">
      <c r="B334" s="1228">
        <v>2017</v>
      </c>
      <c r="C334" s="1229"/>
      <c r="D334" s="1229">
        <v>2016</v>
      </c>
      <c r="E334" s="1230"/>
      <c r="F334" s="283"/>
      <c r="G334" s="177">
        <f>+M326</f>
        <v>0</v>
      </c>
      <c r="H334" s="1003">
        <f>IF(SIGN(G335*M327)&lt;0,IF(G334&lt;&gt;0,-SIGN(G334)*MIN(ABS(G335-H332-H333),ABS(G334)),0),0)</f>
        <v>0</v>
      </c>
      <c r="I334" s="177">
        <f>+G334+H334</f>
        <v>0</v>
      </c>
      <c r="J334" s="1009"/>
      <c r="K334" s="1010">
        <f>-MIN(ABS(I334),ABS(J336-K332-K333))*SIGN(I334)</f>
        <v>0</v>
      </c>
      <c r="L334" s="1003">
        <f>+K334+H334</f>
        <v>0</v>
      </c>
      <c r="M334" s="177">
        <f>+I334+K334</f>
        <v>0</v>
      </c>
      <c r="N334" s="212"/>
      <c r="Q334" s="167"/>
    </row>
    <row r="335" spans="2:17" ht="13" x14ac:dyDescent="0.25">
      <c r="B335" s="1228">
        <v>2018</v>
      </c>
      <c r="C335" s="1229"/>
      <c r="D335" s="1229"/>
      <c r="E335" s="1230"/>
      <c r="F335" s="283"/>
      <c r="G335" s="177">
        <f>J143</f>
        <v>0</v>
      </c>
      <c r="H335" s="1003">
        <f>IF(SIGN(G335*M327)&lt;0,-SUM(H332:H334),0)</f>
        <v>0</v>
      </c>
      <c r="I335" s="177">
        <f>+G335+H335</f>
        <v>0</v>
      </c>
      <c r="J335" s="1009"/>
      <c r="K335" s="1010">
        <f>-MIN(ABS(I335),ABS(J336-K332-K333-K334))*SIGN(I335)</f>
        <v>0</v>
      </c>
      <c r="L335" s="1003">
        <f>+K335+H335</f>
        <v>0</v>
      </c>
      <c r="M335" s="177">
        <f>+I335+K335</f>
        <v>0</v>
      </c>
      <c r="N335" s="212"/>
      <c r="Q335" s="167"/>
    </row>
    <row r="336" spans="2:17" s="281" customFormat="1" ht="13" x14ac:dyDescent="0.3">
      <c r="G336" s="284">
        <f>SUM(G332:G335)</f>
        <v>0</v>
      </c>
      <c r="H336" s="169">
        <f>SUM(H332:H335)</f>
        <v>0</v>
      </c>
      <c r="I336" s="284">
        <f>SUM(I332:I335)</f>
        <v>0</v>
      </c>
      <c r="J336" s="214">
        <f>-I336*IF($B$7="elektriciteit",0.75,IF($B$7="gas",0.4,"FALSE"))</f>
        <v>0</v>
      </c>
      <c r="K336" s="291">
        <f>SUM(K332:K335)</f>
        <v>0</v>
      </c>
      <c r="L336" s="169"/>
      <c r="M336" s="284">
        <f>SUM(M332:M335)</f>
        <v>0</v>
      </c>
    </row>
    <row r="337" spans="2:17" x14ac:dyDescent="0.25">
      <c r="H337" s="221"/>
      <c r="Q337" s="167"/>
    </row>
    <row r="338" spans="2:17" ht="13" x14ac:dyDescent="0.25">
      <c r="B338" s="281" t="s">
        <v>172</v>
      </c>
      <c r="F338" s="1000">
        <v>2021</v>
      </c>
      <c r="H338" s="221"/>
      <c r="Q338" s="167"/>
    </row>
    <row r="339" spans="2:17" x14ac:dyDescent="0.25">
      <c r="H339" s="221"/>
      <c r="Q339" s="167"/>
    </row>
    <row r="340" spans="2:17" ht="78" customHeight="1" x14ac:dyDescent="0.25">
      <c r="B340" s="1231" t="s">
        <v>173</v>
      </c>
      <c r="C340" s="1232"/>
      <c r="D340" s="1232"/>
      <c r="E340" s="1233"/>
      <c r="F340" s="282"/>
      <c r="G340" s="166" t="str">
        <f>"Nog af te bouwen regulatoir saldo einde "&amp;F338-1</f>
        <v>Nog af te bouwen regulatoir saldo einde 2020</v>
      </c>
      <c r="H340" s="166" t="str">
        <f>"50% van oorspronkelijk saldo door te rekenen volgens de tariefmethodologie in het boekjaar "&amp;F338</f>
        <v>50% van oorspronkelijk saldo door te rekenen volgens de tariefmethodologie in het boekjaar 2021</v>
      </c>
      <c r="I340" s="166" t="str">
        <f>"Nog af te bouwen regulatoir saldo einde "&amp;F338</f>
        <v>Nog af te bouwen regulatoir saldo einde 2021</v>
      </c>
      <c r="J340" s="212"/>
      <c r="Q340" s="167"/>
    </row>
    <row r="341" spans="2:17" ht="13" x14ac:dyDescent="0.25">
      <c r="B341" s="1228">
        <v>2015</v>
      </c>
      <c r="C341" s="1229"/>
      <c r="D341" s="1229"/>
      <c r="E341" s="1230"/>
      <c r="F341" s="283"/>
      <c r="G341" s="177">
        <f>M332</f>
        <v>0</v>
      </c>
      <c r="H341" s="566">
        <f>-G341*0.5</f>
        <v>0</v>
      </c>
      <c r="I341" s="177">
        <f>+G341+H341</f>
        <v>0</v>
      </c>
      <c r="J341" s="212"/>
      <c r="Q341" s="167"/>
    </row>
    <row r="342" spans="2:17" ht="13" x14ac:dyDescent="0.25">
      <c r="B342" s="1228">
        <v>2016</v>
      </c>
      <c r="C342" s="1229"/>
      <c r="D342" s="1229"/>
      <c r="E342" s="1230"/>
      <c r="F342" s="283"/>
      <c r="G342" s="177">
        <f t="shared" ref="G342:G344" si="43">M333</f>
        <v>0</v>
      </c>
      <c r="H342" s="566">
        <f t="shared" ref="H342:H345" si="44">-G342*0.5</f>
        <v>0</v>
      </c>
      <c r="I342" s="177">
        <f t="shared" ref="I342:I345" si="45">+G342+H342</f>
        <v>0</v>
      </c>
      <c r="J342" s="212"/>
      <c r="Q342" s="167"/>
    </row>
    <row r="343" spans="2:17" ht="13" x14ac:dyDescent="0.25">
      <c r="B343" s="1228">
        <v>2017</v>
      </c>
      <c r="C343" s="1229"/>
      <c r="D343" s="1229">
        <v>2016</v>
      </c>
      <c r="E343" s="1230"/>
      <c r="F343" s="283"/>
      <c r="G343" s="177">
        <f t="shared" si="43"/>
        <v>0</v>
      </c>
      <c r="H343" s="566">
        <f t="shared" si="44"/>
        <v>0</v>
      </c>
      <c r="I343" s="177">
        <f t="shared" si="45"/>
        <v>0</v>
      </c>
      <c r="J343" s="212"/>
      <c r="Q343" s="167"/>
    </row>
    <row r="344" spans="2:17" ht="13" x14ac:dyDescent="0.25">
      <c r="B344" s="1228">
        <v>2018</v>
      </c>
      <c r="C344" s="1229"/>
      <c r="D344" s="1229"/>
      <c r="E344" s="1230"/>
      <c r="F344" s="283"/>
      <c r="G344" s="177">
        <f t="shared" si="43"/>
        <v>0</v>
      </c>
      <c r="H344" s="566">
        <f t="shared" si="44"/>
        <v>0</v>
      </c>
      <c r="I344" s="177">
        <f t="shared" si="45"/>
        <v>0</v>
      </c>
      <c r="J344" s="212"/>
      <c r="Q344" s="167"/>
    </row>
    <row r="345" spans="2:17" ht="13" x14ac:dyDescent="0.25">
      <c r="B345" s="1228">
        <v>2019</v>
      </c>
      <c r="C345" s="1229"/>
      <c r="D345" s="1229"/>
      <c r="E345" s="1230"/>
      <c r="F345" s="283"/>
      <c r="G345" s="177">
        <f>K144</f>
        <v>0</v>
      </c>
      <c r="H345" s="566">
        <f t="shared" si="44"/>
        <v>0</v>
      </c>
      <c r="I345" s="177">
        <f t="shared" si="45"/>
        <v>0</v>
      </c>
      <c r="J345" s="212"/>
      <c r="Q345" s="167"/>
    </row>
    <row r="346" spans="2:17" s="281" customFormat="1" ht="13" x14ac:dyDescent="0.25">
      <c r="G346" s="284">
        <f>SUM(G341:G345)</f>
        <v>0</v>
      </c>
      <c r="H346" s="169">
        <f>SUM(H341:H345)</f>
        <v>0</v>
      </c>
      <c r="I346" s="284">
        <f>SUM(I341:I345)</f>
        <v>0</v>
      </c>
    </row>
    <row r="347" spans="2:17" x14ac:dyDescent="0.25">
      <c r="H347" s="221"/>
      <c r="Q347" s="167"/>
    </row>
    <row r="348" spans="2:17" ht="13" x14ac:dyDescent="0.25">
      <c r="B348" s="847" t="s">
        <v>172</v>
      </c>
      <c r="C348" s="842"/>
      <c r="D348" s="842"/>
      <c r="E348" s="842"/>
      <c r="F348" s="1004">
        <v>2022</v>
      </c>
      <c r="G348" s="842"/>
      <c r="H348" s="855"/>
      <c r="I348" s="842"/>
      <c r="Q348" s="167"/>
    </row>
    <row r="349" spans="2:17" x14ac:dyDescent="0.25">
      <c r="B349" s="842"/>
      <c r="C349" s="842"/>
      <c r="D349" s="842"/>
      <c r="E349" s="842"/>
      <c r="F349" s="842"/>
      <c r="G349" s="842"/>
      <c r="H349" s="855"/>
      <c r="I349" s="842"/>
      <c r="Q349" s="167"/>
    </row>
    <row r="350" spans="2:17" ht="78" customHeight="1" x14ac:dyDescent="0.25">
      <c r="B350" s="1237" t="s">
        <v>173</v>
      </c>
      <c r="C350" s="1238"/>
      <c r="D350" s="1238"/>
      <c r="E350" s="1239"/>
      <c r="F350" s="848"/>
      <c r="G350" s="837" t="str">
        <f>"Nog af te bouwen regulatoir saldo einde "&amp;F348-1</f>
        <v>Nog af te bouwen regulatoir saldo einde 2021</v>
      </c>
      <c r="H350" s="837" t="str">
        <f>"50% van oorspronkelijk saldo door te rekenen volgens de tariefmethodologie in het boekjaar "&amp;F348</f>
        <v>50% van oorspronkelijk saldo door te rekenen volgens de tariefmethodologie in het boekjaar 2022</v>
      </c>
      <c r="I350" s="837" t="str">
        <f>"Nog af te bouwen regulatoir saldo einde "&amp;F348</f>
        <v>Nog af te bouwen regulatoir saldo einde 2022</v>
      </c>
      <c r="J350" s="212"/>
      <c r="Q350" s="167"/>
    </row>
    <row r="351" spans="2:17" ht="13" x14ac:dyDescent="0.25">
      <c r="B351" s="1234">
        <v>2015</v>
      </c>
      <c r="C351" s="1235"/>
      <c r="D351" s="1235"/>
      <c r="E351" s="1236"/>
      <c r="F351" s="341"/>
      <c r="G351" s="339">
        <f>+I341</f>
        <v>0</v>
      </c>
      <c r="H351" s="568">
        <f>-G341*0.5</f>
        <v>0</v>
      </c>
      <c r="I351" s="339">
        <f>+G351+H351</f>
        <v>0</v>
      </c>
      <c r="J351" s="212"/>
      <c r="Q351" s="167"/>
    </row>
    <row r="352" spans="2:17" ht="13" x14ac:dyDescent="0.25">
      <c r="B352" s="1234">
        <v>2016</v>
      </c>
      <c r="C352" s="1235"/>
      <c r="D352" s="1235"/>
      <c r="E352" s="1236"/>
      <c r="F352" s="341"/>
      <c r="G352" s="339">
        <f t="shared" ref="G352:G355" si="46">+I342</f>
        <v>0</v>
      </c>
      <c r="H352" s="568">
        <f t="shared" ref="H352:H355" si="47">-G342*0.5</f>
        <v>0</v>
      </c>
      <c r="I352" s="339">
        <f t="shared" ref="I352:I356" si="48">+G352+H352</f>
        <v>0</v>
      </c>
      <c r="J352" s="212"/>
      <c r="Q352" s="167"/>
    </row>
    <row r="353" spans="2:17" ht="13" x14ac:dyDescent="0.25">
      <c r="B353" s="1234">
        <v>2017</v>
      </c>
      <c r="C353" s="1235"/>
      <c r="D353" s="1235">
        <v>2016</v>
      </c>
      <c r="E353" s="1236"/>
      <c r="F353" s="341"/>
      <c r="G353" s="339">
        <f t="shared" si="46"/>
        <v>0</v>
      </c>
      <c r="H353" s="568">
        <f t="shared" si="47"/>
        <v>0</v>
      </c>
      <c r="I353" s="339">
        <f t="shared" si="48"/>
        <v>0</v>
      </c>
      <c r="J353" s="212"/>
      <c r="Q353" s="167"/>
    </row>
    <row r="354" spans="2:17" ht="13" x14ac:dyDescent="0.25">
      <c r="B354" s="1234">
        <v>2018</v>
      </c>
      <c r="C354" s="1235"/>
      <c r="D354" s="1235"/>
      <c r="E354" s="1236"/>
      <c r="F354" s="341"/>
      <c r="G354" s="339">
        <f t="shared" si="46"/>
        <v>0</v>
      </c>
      <c r="H354" s="568">
        <f t="shared" si="47"/>
        <v>0</v>
      </c>
      <c r="I354" s="339">
        <f t="shared" si="48"/>
        <v>0</v>
      </c>
      <c r="J354" s="212"/>
      <c r="Q354" s="167"/>
    </row>
    <row r="355" spans="2:17" ht="13" x14ac:dyDescent="0.25">
      <c r="B355" s="1234">
        <v>2019</v>
      </c>
      <c r="C355" s="1235"/>
      <c r="D355" s="1235"/>
      <c r="E355" s="1236"/>
      <c r="F355" s="341"/>
      <c r="G355" s="339">
        <f t="shared" si="46"/>
        <v>0</v>
      </c>
      <c r="H355" s="568">
        <f t="shared" si="47"/>
        <v>0</v>
      </c>
      <c r="I355" s="339">
        <f t="shared" si="48"/>
        <v>0</v>
      </c>
      <c r="J355" s="212"/>
      <c r="Q355" s="167"/>
    </row>
    <row r="356" spans="2:17" ht="13" x14ac:dyDescent="0.25">
      <c r="B356" s="1234">
        <v>2020</v>
      </c>
      <c r="C356" s="1235"/>
      <c r="D356" s="1235"/>
      <c r="E356" s="1236"/>
      <c r="F356" s="341"/>
      <c r="G356" s="339">
        <f>L145</f>
        <v>0</v>
      </c>
      <c r="H356" s="568">
        <f t="shared" ref="H356" si="49">-G356*0.5</f>
        <v>0</v>
      </c>
      <c r="I356" s="339">
        <f t="shared" si="48"/>
        <v>0</v>
      </c>
      <c r="J356" s="212"/>
      <c r="Q356" s="167"/>
    </row>
    <row r="357" spans="2:17" s="281" customFormat="1" ht="13" x14ac:dyDescent="0.25">
      <c r="B357" s="847"/>
      <c r="C357" s="847"/>
      <c r="D357" s="847"/>
      <c r="E357" s="847"/>
      <c r="F357" s="847"/>
      <c r="G357" s="849">
        <f>SUM(G351:G356)</f>
        <v>0</v>
      </c>
      <c r="H357" s="856">
        <f t="shared" ref="H357:I357" si="50">SUM(H351:H356)</f>
        <v>0</v>
      </c>
      <c r="I357" s="849">
        <f t="shared" si="50"/>
        <v>0</v>
      </c>
    </row>
    <row r="358" spans="2:17" x14ac:dyDescent="0.25">
      <c r="B358" s="842"/>
      <c r="C358" s="842"/>
      <c r="D358" s="842"/>
      <c r="E358" s="842"/>
      <c r="F358" s="842"/>
      <c r="G358" s="842"/>
      <c r="H358" s="855"/>
      <c r="I358" s="842"/>
      <c r="Q358" s="167"/>
    </row>
    <row r="359" spans="2:17" ht="13" x14ac:dyDescent="0.25">
      <c r="B359" s="847" t="s">
        <v>172</v>
      </c>
      <c r="C359" s="842"/>
      <c r="D359" s="842"/>
      <c r="E359" s="842"/>
      <c r="F359" s="1004">
        <v>2023</v>
      </c>
      <c r="G359" s="842"/>
      <c r="H359" s="855"/>
      <c r="I359" s="842"/>
      <c r="Q359" s="167"/>
    </row>
    <row r="360" spans="2:17" x14ac:dyDescent="0.25">
      <c r="B360" s="842"/>
      <c r="C360" s="842"/>
      <c r="D360" s="842"/>
      <c r="E360" s="842"/>
      <c r="F360" s="842"/>
      <c r="G360" s="842"/>
      <c r="H360" s="855"/>
      <c r="I360" s="842"/>
      <c r="Q360" s="167"/>
    </row>
    <row r="361" spans="2:17" ht="78" customHeight="1" x14ac:dyDescent="0.25">
      <c r="B361" s="1237" t="s">
        <v>173</v>
      </c>
      <c r="C361" s="1238"/>
      <c r="D361" s="1238"/>
      <c r="E361" s="1239"/>
      <c r="F361" s="848"/>
      <c r="G361" s="837" t="str">
        <f>"Nog af te bouwen regulatoir saldo einde "&amp;F359-1</f>
        <v>Nog af te bouwen regulatoir saldo einde 2022</v>
      </c>
      <c r="H361" s="837" t="str">
        <f>"50% van oorspronkelijk saldo door te rekenen volgens de tariefmethodologie in het boekjaar "&amp;F359</f>
        <v>50% van oorspronkelijk saldo door te rekenen volgens de tariefmethodologie in het boekjaar 2023</v>
      </c>
      <c r="I361" s="837" t="str">
        <f>"Nog af te bouwen regulatoir saldo einde "&amp;F359</f>
        <v>Nog af te bouwen regulatoir saldo einde 2023</v>
      </c>
      <c r="J361" s="212"/>
      <c r="Q361" s="167"/>
    </row>
    <row r="362" spans="2:17" ht="13" x14ac:dyDescent="0.25">
      <c r="B362" s="1234">
        <v>2020</v>
      </c>
      <c r="C362" s="1235"/>
      <c r="D362" s="1235"/>
      <c r="E362" s="1236"/>
      <c r="F362" s="341"/>
      <c r="G362" s="339">
        <f>+I356</f>
        <v>0</v>
      </c>
      <c r="H362" s="568">
        <f>-G356*0.5</f>
        <v>0</v>
      </c>
      <c r="I362" s="339">
        <f t="shared" ref="I362:I363" si="51">+G362+H362</f>
        <v>0</v>
      </c>
      <c r="J362" s="212"/>
      <c r="Q362" s="167"/>
    </row>
    <row r="363" spans="2:17" ht="13" x14ac:dyDescent="0.25">
      <c r="B363" s="1234">
        <v>2021</v>
      </c>
      <c r="C363" s="1235"/>
      <c r="D363" s="1235"/>
      <c r="E363" s="1236"/>
      <c r="F363" s="341"/>
      <c r="G363" s="339">
        <f>M146</f>
        <v>0</v>
      </c>
      <c r="H363" s="568">
        <f t="shared" ref="H363" si="52">-G363*0.5</f>
        <v>0</v>
      </c>
      <c r="I363" s="339">
        <f t="shared" si="51"/>
        <v>0</v>
      </c>
      <c r="J363" s="212"/>
      <c r="Q363" s="167"/>
    </row>
    <row r="364" spans="2:17" s="281" customFormat="1" ht="13" x14ac:dyDescent="0.25">
      <c r="B364" s="847"/>
      <c r="C364" s="847"/>
      <c r="D364" s="847"/>
      <c r="E364" s="847"/>
      <c r="F364" s="847"/>
      <c r="G364" s="849">
        <f>SUM(G362:G363)</f>
        <v>0</v>
      </c>
      <c r="H364" s="856">
        <f>SUM(H362:H363)</f>
        <v>0</v>
      </c>
      <c r="I364" s="849">
        <f>SUM(I362:I363)</f>
        <v>0</v>
      </c>
    </row>
    <row r="365" spans="2:17" x14ac:dyDescent="0.25">
      <c r="B365" s="842"/>
      <c r="C365" s="842"/>
      <c r="D365" s="842"/>
      <c r="E365" s="842"/>
      <c r="F365" s="842"/>
      <c r="G365" s="842"/>
      <c r="H365" s="855"/>
      <c r="I365" s="842"/>
      <c r="Q365" s="167"/>
    </row>
    <row r="366" spans="2:17" ht="13" x14ac:dyDescent="0.25">
      <c r="B366" s="847" t="s">
        <v>172</v>
      </c>
      <c r="C366" s="842"/>
      <c r="D366" s="842"/>
      <c r="E366" s="842"/>
      <c r="F366" s="1004">
        <v>2024</v>
      </c>
      <c r="G366" s="842"/>
      <c r="H366" s="855"/>
      <c r="I366" s="842"/>
      <c r="Q366" s="167"/>
    </row>
    <row r="367" spans="2:17" x14ac:dyDescent="0.25">
      <c r="B367" s="842"/>
      <c r="C367" s="842"/>
      <c r="D367" s="842"/>
      <c r="E367" s="842"/>
      <c r="F367" s="842"/>
      <c r="G367" s="842"/>
      <c r="H367" s="855"/>
      <c r="I367" s="842"/>
      <c r="Q367" s="167"/>
    </row>
    <row r="368" spans="2:17" ht="78" customHeight="1" x14ac:dyDescent="0.25">
      <c r="B368" s="1237" t="s">
        <v>173</v>
      </c>
      <c r="C368" s="1238"/>
      <c r="D368" s="1238"/>
      <c r="E368" s="1239"/>
      <c r="F368" s="848"/>
      <c r="G368" s="837" t="str">
        <f>"Nog af te bouwen regulatoir saldo einde "&amp;F366-1</f>
        <v>Nog af te bouwen regulatoir saldo einde 2023</v>
      </c>
      <c r="H368" s="837" t="str">
        <f>"50% van oorspronkelijk saldo door te rekenen volgens de tariefmethodologie in het boekjaar "&amp;F366</f>
        <v>50% van oorspronkelijk saldo door te rekenen volgens de tariefmethodologie in het boekjaar 2024</v>
      </c>
      <c r="I368" s="837" t="str">
        <f>"Nog af te bouwen regulatoir saldo einde "&amp;F366</f>
        <v>Nog af te bouwen regulatoir saldo einde 2024</v>
      </c>
      <c r="J368" s="212"/>
      <c r="Q368" s="167"/>
    </row>
    <row r="369" spans="2:17" ht="13" x14ac:dyDescent="0.25">
      <c r="B369" s="1234">
        <v>2021</v>
      </c>
      <c r="C369" s="1235"/>
      <c r="D369" s="1235"/>
      <c r="E369" s="1236"/>
      <c r="F369" s="341"/>
      <c r="G369" s="339">
        <f>+I363</f>
        <v>0</v>
      </c>
      <c r="H369" s="568">
        <f>-G363*0.5</f>
        <v>0</v>
      </c>
      <c r="I369" s="339">
        <f t="shared" ref="I369:I370" si="53">+G369+H369</f>
        <v>0</v>
      </c>
      <c r="J369" s="212"/>
      <c r="Q369" s="167"/>
    </row>
    <row r="370" spans="2:17" ht="13" x14ac:dyDescent="0.25">
      <c r="B370" s="1234">
        <v>2022</v>
      </c>
      <c r="C370" s="1235"/>
      <c r="D370" s="1235"/>
      <c r="E370" s="1236"/>
      <c r="F370" s="341"/>
      <c r="G370" s="339">
        <f>N147</f>
        <v>0</v>
      </c>
      <c r="H370" s="568">
        <f t="shared" ref="H370" si="54">-G370*0.5</f>
        <v>0</v>
      </c>
      <c r="I370" s="339">
        <f t="shared" si="53"/>
        <v>0</v>
      </c>
      <c r="J370" s="212"/>
      <c r="Q370" s="167"/>
    </row>
    <row r="371" spans="2:17" s="281" customFormat="1" ht="13" x14ac:dyDescent="0.25">
      <c r="B371" s="847"/>
      <c r="C371" s="847"/>
      <c r="D371" s="847"/>
      <c r="E371" s="847"/>
      <c r="F371" s="847"/>
      <c r="G371" s="849">
        <f>SUM(G369:G370)</f>
        <v>0</v>
      </c>
      <c r="H371" s="856">
        <f>SUM(H369:H370)</f>
        <v>0</v>
      </c>
      <c r="I371" s="849">
        <f>SUM(I369:I370)</f>
        <v>0</v>
      </c>
    </row>
    <row r="372" spans="2:17" x14ac:dyDescent="0.25">
      <c r="H372" s="221"/>
      <c r="Q372" s="167"/>
    </row>
    <row r="373" spans="2:17" ht="13" x14ac:dyDescent="0.25">
      <c r="B373" s="281" t="s">
        <v>66</v>
      </c>
      <c r="H373" s="221"/>
      <c r="Q373" s="167"/>
    </row>
    <row r="374" spans="2:17" ht="13" x14ac:dyDescent="0.25">
      <c r="B374" s="281" t="s">
        <v>174</v>
      </c>
      <c r="C374" s="224"/>
      <c r="D374" s="224"/>
      <c r="E374" s="224"/>
      <c r="H374" s="221"/>
      <c r="Q374" s="167"/>
    </row>
    <row r="375" spans="2:17" ht="13" x14ac:dyDescent="0.25">
      <c r="B375" s="281"/>
      <c r="C375" s="224"/>
      <c r="D375" s="224"/>
      <c r="E375" s="224"/>
      <c r="H375" s="221"/>
      <c r="Q375" s="167"/>
    </row>
    <row r="376" spans="2:17" ht="13" x14ac:dyDescent="0.25">
      <c r="B376" s="283">
        <v>2021</v>
      </c>
      <c r="C376" s="287">
        <f>+H346</f>
        <v>0</v>
      </c>
      <c r="D376" s="224"/>
      <c r="E376" s="224"/>
      <c r="H376" s="221"/>
      <c r="Q376" s="167"/>
    </row>
    <row r="377" spans="2:17" ht="13" x14ac:dyDescent="0.25">
      <c r="B377" s="341">
        <v>2022</v>
      </c>
      <c r="C377" s="342">
        <f>+H357</f>
        <v>0</v>
      </c>
      <c r="D377" s="224"/>
      <c r="E377" s="224"/>
      <c r="H377" s="221"/>
      <c r="Q377" s="167"/>
    </row>
    <row r="378" spans="2:17" ht="13" x14ac:dyDescent="0.25">
      <c r="B378" s="341">
        <v>2023</v>
      </c>
      <c r="C378" s="342">
        <f>+H364</f>
        <v>0</v>
      </c>
      <c r="D378" s="224"/>
      <c r="E378" s="224"/>
      <c r="H378" s="221"/>
      <c r="Q378" s="167"/>
    </row>
    <row r="379" spans="2:17" ht="13" x14ac:dyDescent="0.25">
      <c r="B379" s="341">
        <v>2024</v>
      </c>
      <c r="C379" s="342">
        <f>+H371</f>
        <v>0</v>
      </c>
      <c r="D379" s="224"/>
      <c r="E379" s="224"/>
      <c r="H379" s="221"/>
      <c r="Q379" s="167"/>
    </row>
    <row r="380" spans="2:17" x14ac:dyDescent="0.25">
      <c r="H380" s="221"/>
      <c r="Q380" s="167"/>
    </row>
    <row r="381" spans="2:17" x14ac:dyDescent="0.25">
      <c r="H381" s="221"/>
      <c r="Q381" s="167"/>
    </row>
    <row r="382" spans="2:17" ht="13" x14ac:dyDescent="0.25">
      <c r="B382" s="326" t="s">
        <v>205</v>
      </c>
      <c r="C382" s="327"/>
      <c r="D382" s="327"/>
      <c r="E382" s="327"/>
      <c r="F382" s="328"/>
      <c r="G382" s="328"/>
      <c r="H382" s="569"/>
      <c r="I382" s="328"/>
      <c r="J382" s="328"/>
      <c r="K382" s="328"/>
      <c r="L382" s="328"/>
      <c r="M382" s="328"/>
      <c r="Q382" s="167"/>
    </row>
    <row r="383" spans="2:17" x14ac:dyDescent="0.25">
      <c r="H383" s="221"/>
      <c r="Q383" s="167"/>
    </row>
    <row r="384" spans="2:17" ht="13" x14ac:dyDescent="0.25">
      <c r="B384" s="281" t="s">
        <v>205</v>
      </c>
      <c r="H384" s="221"/>
      <c r="Q384" s="167"/>
    </row>
    <row r="385" spans="2:17" ht="13" x14ac:dyDescent="0.25">
      <c r="B385" s="281" t="s">
        <v>174</v>
      </c>
      <c r="C385" s="224"/>
      <c r="D385" s="224"/>
      <c r="E385" s="224"/>
      <c r="H385" s="221"/>
      <c r="Q385" s="167"/>
    </row>
    <row r="386" spans="2:17" ht="13" x14ac:dyDescent="0.25">
      <c r="B386" s="281"/>
      <c r="C386" s="224"/>
      <c r="D386" s="224"/>
      <c r="E386" s="224"/>
      <c r="H386" s="221"/>
      <c r="Q386" s="167"/>
    </row>
    <row r="387" spans="2:17" ht="13" x14ac:dyDescent="0.25">
      <c r="B387" s="341">
        <v>2021</v>
      </c>
      <c r="C387" s="342">
        <v>0</v>
      </c>
      <c r="D387" s="224"/>
      <c r="E387" s="224"/>
      <c r="H387" s="221"/>
      <c r="Q387" s="167"/>
    </row>
    <row r="388" spans="2:17" ht="13" x14ac:dyDescent="0.25">
      <c r="B388" s="341">
        <v>2022</v>
      </c>
      <c r="C388" s="342">
        <v>0</v>
      </c>
      <c r="D388" s="224"/>
      <c r="E388" s="224"/>
      <c r="H388" s="221"/>
      <c r="Q388" s="167"/>
    </row>
    <row r="389" spans="2:17" ht="13" x14ac:dyDescent="0.25">
      <c r="B389" s="341">
        <v>2023</v>
      </c>
      <c r="C389" s="342">
        <v>0</v>
      </c>
      <c r="D389" s="224"/>
      <c r="E389" s="224"/>
      <c r="H389" s="221"/>
      <c r="Q389" s="167"/>
    </row>
    <row r="390" spans="2:17" ht="13" x14ac:dyDescent="0.25">
      <c r="B390" s="341">
        <v>2024</v>
      </c>
      <c r="C390" s="342">
        <v>0</v>
      </c>
      <c r="D390" s="224"/>
      <c r="E390" s="224"/>
      <c r="H390" s="221"/>
      <c r="Q390" s="167"/>
    </row>
    <row r="391" spans="2:17" x14ac:dyDescent="0.25">
      <c r="H391" s="221"/>
      <c r="Q391" s="167"/>
    </row>
    <row r="392" spans="2:17" x14ac:dyDescent="0.25">
      <c r="H392" s="221"/>
      <c r="Q392" s="167"/>
    </row>
    <row r="393" spans="2:17" ht="13" x14ac:dyDescent="0.25">
      <c r="B393" s="326" t="s">
        <v>67</v>
      </c>
      <c r="C393" s="327"/>
      <c r="D393" s="327"/>
      <c r="E393" s="327"/>
      <c r="F393" s="328"/>
      <c r="G393" s="328"/>
      <c r="H393" s="569"/>
      <c r="I393" s="328"/>
      <c r="J393" s="328"/>
      <c r="K393" s="328"/>
      <c r="L393" s="328"/>
      <c r="M393" s="328"/>
      <c r="Q393" s="167"/>
    </row>
    <row r="394" spans="2:17" x14ac:dyDescent="0.25">
      <c r="H394" s="221"/>
      <c r="Q394" s="167"/>
    </row>
    <row r="395" spans="2:17" ht="13" x14ac:dyDescent="0.25">
      <c r="B395" s="281" t="s">
        <v>172</v>
      </c>
      <c r="F395" s="1000">
        <v>2017</v>
      </c>
      <c r="H395" s="221"/>
      <c r="Q395" s="167"/>
    </row>
    <row r="396" spans="2:17" x14ac:dyDescent="0.25">
      <c r="H396" s="221"/>
      <c r="L396" s="212"/>
      <c r="Q396" s="167"/>
    </row>
    <row r="397" spans="2:17" ht="104.15" customHeight="1" x14ac:dyDescent="0.25">
      <c r="B397" s="1231" t="s">
        <v>173</v>
      </c>
      <c r="C397" s="1232"/>
      <c r="D397" s="1232"/>
      <c r="E397" s="1233"/>
      <c r="F397" s="282"/>
      <c r="G397" s="166" t="str">
        <f>"Nog af te bouwen regulatoir saldo einde "&amp;F395-1</f>
        <v>Nog af te bouwen regulatoir saldo einde 2016</v>
      </c>
      <c r="H397" s="166" t="str">
        <f>"Afbouw oudste openstaande regulatoir saldo vanaf boekjaar "&amp;F395-3&amp;" en vroeger, door aanwending van compensatie met regulatoir saldo ontstaan over boekjaar "&amp;F395-2</f>
        <v>Afbouw oudste openstaande regulatoir saldo vanaf boekjaar 2014 en vroeger, door aanwending van compensatie met regulatoir saldo ontstaan over boekjaar 2015</v>
      </c>
      <c r="I397" s="166" t="str">
        <f>"Nog af te bouwen regulatoir saldo na compensatie einde "&amp;F395-1</f>
        <v>Nog af te bouwen regulatoir saldo na compensatie einde 2016</v>
      </c>
      <c r="J397" s="166" t="str">
        <f>"Aanwending van "&amp;IF($B$7="elektriciteit","75%",IF($B$7="gas","40%","FALSE"))&amp;" van het geaccumuleerd regulatoir saldo door te rekenen volgens de tariefmethodologie in het boekjaar "&amp;F395</f>
        <v>Aanwending van 75% van het geaccumuleerd regulatoir saldo door te rekenen volgens de tariefmethodologie in het boekjaar 2017</v>
      </c>
      <c r="K397" s="166" t="str">
        <f>"Nog af te bouwen regulatoir saldo einde "&amp;F395</f>
        <v>Nog af te bouwen regulatoir saldo einde 2017</v>
      </c>
      <c r="L397" s="212"/>
      <c r="Q397" s="167"/>
    </row>
    <row r="398" spans="2:17" ht="13" x14ac:dyDescent="0.25">
      <c r="B398" s="1228">
        <v>2015</v>
      </c>
      <c r="C398" s="1229"/>
      <c r="D398" s="1229"/>
      <c r="E398" s="1230"/>
      <c r="F398" s="283"/>
      <c r="G398" s="177">
        <f>G162</f>
        <v>0</v>
      </c>
      <c r="H398" s="566">
        <v>0</v>
      </c>
      <c r="I398" s="177">
        <f>+G398+H398</f>
        <v>0</v>
      </c>
      <c r="J398" s="1008">
        <f>-I398*IF($B$7="elektriciteit",0.75,IF($B$7="gas",0.4,"FALSE"))</f>
        <v>0</v>
      </c>
      <c r="K398" s="1001">
        <f>+J398+G398</f>
        <v>0</v>
      </c>
      <c r="L398" s="212"/>
      <c r="Q398" s="167"/>
    </row>
    <row r="399" spans="2:17" x14ac:dyDescent="0.25">
      <c r="H399" s="221"/>
      <c r="L399" s="212"/>
      <c r="Q399" s="167"/>
    </row>
    <row r="400" spans="2:17" ht="13" x14ac:dyDescent="0.25">
      <c r="B400" s="281" t="s">
        <v>172</v>
      </c>
      <c r="F400" s="1000">
        <v>2018</v>
      </c>
      <c r="H400" s="221"/>
      <c r="Q400" s="167"/>
    </row>
    <row r="401" spans="2:17" x14ac:dyDescent="0.25">
      <c r="H401" s="221"/>
      <c r="Q401" s="167"/>
    </row>
    <row r="402" spans="2:17" ht="104.15" customHeight="1" x14ac:dyDescent="0.25">
      <c r="B402" s="1231" t="s">
        <v>173</v>
      </c>
      <c r="C402" s="1232"/>
      <c r="D402" s="1232"/>
      <c r="E402" s="1233"/>
      <c r="F402" s="282"/>
      <c r="G402" s="166" t="str">
        <f>"Nog af te bouwen regulatoir saldo einde "&amp;F400-1</f>
        <v>Nog af te bouwen regulatoir saldo einde 2017</v>
      </c>
      <c r="H402" s="166" t="str">
        <f>"Afbouw oudste openstaande regulatoir saldo vanaf boekjaar "&amp;F400-3&amp;" en vroeger, door aanwending van compensatie met regulatoir saldo ontstaan over boekjaar "&amp;F400-2</f>
        <v>Afbouw oudste openstaande regulatoir saldo vanaf boekjaar 2015 en vroeger, door aanwending van compensatie met regulatoir saldo ontstaan over boekjaar 2016</v>
      </c>
      <c r="I402" s="166" t="str">
        <f>"Nog af te bouwen regulatoir saldo na compensatie einde "&amp;F400-1</f>
        <v>Nog af te bouwen regulatoir saldo na compensatie einde 2017</v>
      </c>
      <c r="J402" s="166" t="str">
        <f>"Aanwending van "&amp;IF($B$7="elektriciteit","75%",IF($B$7="gas","40%","FALSE"))&amp;" van het geaccumuleerd regulatoir saldo door te rekenen volgens de tariefmethodologie in het boekjaar "&amp;F400</f>
        <v>Aanwending van 75% van het geaccumuleerd regulatoir saldo door te rekenen volgens de tariefmethodologie in het boekjaar 2018</v>
      </c>
      <c r="K402" s="166" t="str">
        <f>"Aanwending van "&amp;IF($B$7="elektriciteit","75%",IF($B$7="gas","40%","FALSE"))&amp;" van het geaccumuleerd regulatoir saldo door te rekenen volgens de tariefmethodologie in het boekjaar "&amp;F400</f>
        <v>Aanwending van 75% van het geaccumuleerd regulatoir saldo door te rekenen volgens de tariefmethodologie in het boekjaar 2018</v>
      </c>
      <c r="L402" s="166" t="str">
        <f>"Totale afbouw over "&amp;F400</f>
        <v>Totale afbouw over 2018</v>
      </c>
      <c r="M402" s="166" t="str">
        <f>"Nog af te bouwen regulatoir saldo einde "&amp;F400</f>
        <v>Nog af te bouwen regulatoir saldo einde 2018</v>
      </c>
      <c r="N402" s="212"/>
      <c r="Q402" s="167"/>
    </row>
    <row r="403" spans="2:17" ht="13" x14ac:dyDescent="0.25">
      <c r="B403" s="1228">
        <v>2015</v>
      </c>
      <c r="C403" s="1229"/>
      <c r="D403" s="1229"/>
      <c r="E403" s="1230"/>
      <c r="F403" s="283"/>
      <c r="G403" s="177">
        <f>K398</f>
        <v>0</v>
      </c>
      <c r="H403" s="566">
        <f>IF(SIGN(G404*K398)&lt;0,IF(G403&lt;&gt;0,-SIGN(G403)*MIN(ABS(G404),ABS(G403)),0),0)</f>
        <v>0</v>
      </c>
      <c r="I403" s="177">
        <f>+G403+H403</f>
        <v>0</v>
      </c>
      <c r="J403" s="1009"/>
      <c r="K403" s="1010">
        <f>-MIN(ABS(I403),ABS(J405))*SIGN(I403)</f>
        <v>0</v>
      </c>
      <c r="L403" s="1003">
        <f>+K403+H403</f>
        <v>0</v>
      </c>
      <c r="M403" s="177">
        <f>+I403+K403</f>
        <v>0</v>
      </c>
      <c r="N403" s="212"/>
      <c r="Q403" s="167"/>
    </row>
    <row r="404" spans="2:17" ht="13" x14ac:dyDescent="0.25">
      <c r="B404" s="1228">
        <v>2016</v>
      </c>
      <c r="C404" s="1229"/>
      <c r="D404" s="1229"/>
      <c r="E404" s="1230"/>
      <c r="F404" s="283"/>
      <c r="G404" s="177">
        <f>H163</f>
        <v>0</v>
      </c>
      <c r="H404" s="1003">
        <f>IF(SIGN(G404*K398)&lt;0,-H403,0)</f>
        <v>0</v>
      </c>
      <c r="I404" s="177">
        <f>+G404+H404</f>
        <v>0</v>
      </c>
      <c r="J404" s="1009"/>
      <c r="K404" s="1010">
        <f>-MIN(ABS(I404),ABS(J405-K403))*SIGN(I404)</f>
        <v>0</v>
      </c>
      <c r="L404" s="1003">
        <f>+K404+H404</f>
        <v>0</v>
      </c>
      <c r="M404" s="177">
        <f>+I404+K404</f>
        <v>0</v>
      </c>
      <c r="N404" s="212"/>
      <c r="Q404" s="167"/>
    </row>
    <row r="405" spans="2:17" s="281" customFormat="1" ht="13" x14ac:dyDescent="0.3">
      <c r="G405" s="284">
        <f>SUM(G403:G404)</f>
        <v>0</v>
      </c>
      <c r="H405" s="169">
        <f>SUM(H403:H404)</f>
        <v>0</v>
      </c>
      <c r="I405" s="284">
        <f>SUM(I403:I404)</f>
        <v>0</v>
      </c>
      <c r="J405" s="214">
        <f>-I405*IF($B$7="elektriciteit",0.75,IF($B$7="gas",0.4,"FALSE"))</f>
        <v>0</v>
      </c>
      <c r="K405" s="291">
        <f>SUM(K403:K404)</f>
        <v>0</v>
      </c>
      <c r="L405" s="570"/>
      <c r="M405" s="284">
        <f>SUM(M403:M404)</f>
        <v>0</v>
      </c>
    </row>
    <row r="406" spans="2:17" x14ac:dyDescent="0.25">
      <c r="H406" s="221"/>
      <c r="J406" s="12"/>
      <c r="K406" s="12"/>
      <c r="Q406" s="167"/>
    </row>
    <row r="407" spans="2:17" ht="13" x14ac:dyDescent="0.25">
      <c r="B407" s="281" t="s">
        <v>172</v>
      </c>
      <c r="F407" s="1000">
        <v>2019</v>
      </c>
      <c r="H407" s="221"/>
      <c r="J407" s="12"/>
      <c r="K407" s="12"/>
      <c r="Q407" s="167"/>
    </row>
    <row r="408" spans="2:17" x14ac:dyDescent="0.25">
      <c r="H408" s="221"/>
      <c r="J408" s="12"/>
      <c r="K408" s="12"/>
      <c r="Q408" s="167"/>
    </row>
    <row r="409" spans="2:17" ht="104.15" customHeight="1" x14ac:dyDescent="0.25">
      <c r="B409" s="1231" t="s">
        <v>173</v>
      </c>
      <c r="C409" s="1232"/>
      <c r="D409" s="1232"/>
      <c r="E409" s="1233"/>
      <c r="F409" s="282"/>
      <c r="G409" s="166" t="str">
        <f>"Nog af te bouwen regulatoir saldo einde "&amp;F407-1</f>
        <v>Nog af te bouwen regulatoir saldo einde 2018</v>
      </c>
      <c r="H409" s="166" t="str">
        <f>"Afbouw oudste openstaande regulatoir saldo vanaf boekjaar "&amp;F407-3&amp;" en vroeger, door aanwending van compensatie met regulatoir saldo ontstaan over boekjaar "&amp;F407-2</f>
        <v>Afbouw oudste openstaande regulatoir saldo vanaf boekjaar 2016 en vroeger, door aanwending van compensatie met regulatoir saldo ontstaan over boekjaar 2017</v>
      </c>
      <c r="I409" s="166" t="str">
        <f>"Nog af te bouwen regulatoir saldo na compensatie einde "&amp;F407-1</f>
        <v>Nog af te bouwen regulatoir saldo na compensatie einde 2018</v>
      </c>
      <c r="J409" s="166" t="str">
        <f>"Aanwending van "&amp;IF($B$7="elektriciteit","75%",IF($B$7="gas","40%","FALSE"))&amp;" van het geaccumuleerd regulatoir saldo door te rekenen volgens de tariefmethodologie in het boekjaar "&amp;F407</f>
        <v>Aanwending van 75% van het geaccumuleerd regulatoir saldo door te rekenen volgens de tariefmethodologie in het boekjaar 2019</v>
      </c>
      <c r="K409" s="166" t="str">
        <f>"Aanwending van "&amp;IF($B$7="elektriciteit","75%",IF($B$7="gas","40%","FALSE"))&amp;" van het geaccumuleerd regulatoir saldo door te rekenen volgens de tariefmethodologie in het boekjaar "&amp;F407</f>
        <v>Aanwending van 75% van het geaccumuleerd regulatoir saldo door te rekenen volgens de tariefmethodologie in het boekjaar 2019</v>
      </c>
      <c r="L409" s="166" t="str">
        <f>"Totale afbouw over "&amp;F407</f>
        <v>Totale afbouw over 2019</v>
      </c>
      <c r="M409" s="166" t="str">
        <f>"Nog af te bouwen regulatoir saldo einde "&amp;F407</f>
        <v>Nog af te bouwen regulatoir saldo einde 2019</v>
      </c>
      <c r="N409" s="212"/>
      <c r="Q409" s="167"/>
    </row>
    <row r="410" spans="2:17" ht="13" x14ac:dyDescent="0.25">
      <c r="B410" s="1228">
        <v>2015</v>
      </c>
      <c r="C410" s="1229"/>
      <c r="D410" s="1229"/>
      <c r="E410" s="1230"/>
      <c r="F410" s="283"/>
      <c r="G410" s="177">
        <f>+M403</f>
        <v>0</v>
      </c>
      <c r="H410" s="1003">
        <f>IF(SIGN(G412*M405)&lt;0,IF(G410&lt;&gt;0,-SIGN(G410)*MIN(ABS(G412),ABS(G410)),0),0)</f>
        <v>0</v>
      </c>
      <c r="I410" s="177">
        <f>+G410+H410</f>
        <v>0</v>
      </c>
      <c r="J410" s="1009"/>
      <c r="K410" s="1010">
        <f>-MIN(ABS(I410),ABS(J413))*SIGN(I410)</f>
        <v>0</v>
      </c>
      <c r="L410" s="1003">
        <f>+K410+H410</f>
        <v>0</v>
      </c>
      <c r="M410" s="177">
        <f>+I410+K410</f>
        <v>0</v>
      </c>
      <c r="N410" s="212"/>
      <c r="Q410" s="167"/>
    </row>
    <row r="411" spans="2:17" ht="13" x14ac:dyDescent="0.25">
      <c r="B411" s="1228">
        <v>2016</v>
      </c>
      <c r="C411" s="1229"/>
      <c r="D411" s="1229">
        <v>2016</v>
      </c>
      <c r="E411" s="1230"/>
      <c r="F411" s="283"/>
      <c r="G411" s="177">
        <f>+M404</f>
        <v>0</v>
      </c>
      <c r="H411" s="1003">
        <f>IF(SIGN(G412*M405)&lt;0,IF(G411&lt;&gt;0,-SIGN(G411)*MIN(ABS(G412-H410),ABS(G411)),0),0)</f>
        <v>0</v>
      </c>
      <c r="I411" s="177">
        <f>+G411+H411</f>
        <v>0</v>
      </c>
      <c r="J411" s="1009"/>
      <c r="K411" s="1010">
        <f>-MIN(ABS(I411),ABS(J413-K410))*SIGN(I411)</f>
        <v>0</v>
      </c>
      <c r="L411" s="1003">
        <f>+K411+H411</f>
        <v>0</v>
      </c>
      <c r="M411" s="177">
        <f>+I411+K411</f>
        <v>0</v>
      </c>
      <c r="N411" s="212"/>
      <c r="Q411" s="167"/>
    </row>
    <row r="412" spans="2:17" ht="13" x14ac:dyDescent="0.25">
      <c r="B412" s="1228">
        <v>2017</v>
      </c>
      <c r="C412" s="1229"/>
      <c r="D412" s="1229"/>
      <c r="E412" s="1230"/>
      <c r="F412" s="283"/>
      <c r="G412" s="177">
        <f>I164</f>
        <v>0</v>
      </c>
      <c r="H412" s="1003">
        <f>IF(SIGN(G412*M405)&lt;0,-SUM(H410:H411),0)</f>
        <v>0</v>
      </c>
      <c r="I412" s="177">
        <f>+G412+H412</f>
        <v>0</v>
      </c>
      <c r="J412" s="1009"/>
      <c r="K412" s="1010">
        <f>-MIN(ABS(I412),ABS(J413-K410-K411))*SIGN(I412)</f>
        <v>0</v>
      </c>
      <c r="L412" s="1003">
        <f>+K412+H412</f>
        <v>0</v>
      </c>
      <c r="M412" s="177">
        <f>+I412+K412</f>
        <v>0</v>
      </c>
      <c r="N412" s="212"/>
      <c r="Q412" s="167"/>
    </row>
    <row r="413" spans="2:17" s="281" customFormat="1" ht="13" x14ac:dyDescent="0.3">
      <c r="G413" s="284">
        <f>SUM(G410:G412)</f>
        <v>0</v>
      </c>
      <c r="H413" s="169">
        <f>SUM(H410:H412)</f>
        <v>0</v>
      </c>
      <c r="I413" s="284">
        <f>SUM(I410:I412)</f>
        <v>0</v>
      </c>
      <c r="J413" s="214">
        <f>-I413*IF($B$7="elektriciteit",0.75,IF($B$7="gas",0.4,"FALSE"))</f>
        <v>0</v>
      </c>
      <c r="K413" s="291">
        <f>SUM(K410:K412)</f>
        <v>0</v>
      </c>
      <c r="L413" s="570"/>
      <c r="M413" s="284">
        <f>SUM(M410:M412)</f>
        <v>0</v>
      </c>
    </row>
    <row r="414" spans="2:17" x14ac:dyDescent="0.25">
      <c r="H414" s="221"/>
      <c r="J414" s="12"/>
      <c r="K414" s="12"/>
      <c r="Q414" s="167"/>
    </row>
    <row r="415" spans="2:17" ht="13" x14ac:dyDescent="0.25">
      <c r="B415" s="281" t="s">
        <v>172</v>
      </c>
      <c r="F415" s="1000">
        <v>2020</v>
      </c>
      <c r="H415" s="221"/>
      <c r="J415" s="12"/>
      <c r="K415" s="12"/>
      <c r="Q415" s="167"/>
    </row>
    <row r="416" spans="2:17" x14ac:dyDescent="0.25">
      <c r="H416" s="221"/>
      <c r="J416" s="12"/>
      <c r="K416" s="12"/>
      <c r="Q416" s="167"/>
    </row>
    <row r="417" spans="2:17" ht="104.15" customHeight="1" x14ac:dyDescent="0.25">
      <c r="B417" s="1231" t="s">
        <v>173</v>
      </c>
      <c r="C417" s="1232"/>
      <c r="D417" s="1232"/>
      <c r="E417" s="1233"/>
      <c r="F417" s="282"/>
      <c r="G417" s="166" t="str">
        <f>"Nog af te bouwen regulatoir saldo einde "&amp;F415-1</f>
        <v>Nog af te bouwen regulatoir saldo einde 2019</v>
      </c>
      <c r="H417" s="166" t="str">
        <f>"Afbouw oudste openstaande regulatoir saldo vanaf boekjaar "&amp;F415-3&amp;" en vroeger, door aanwending van compensatie met regulatoir saldo ontstaan over boekjaar "&amp;F415-2</f>
        <v>Afbouw oudste openstaande regulatoir saldo vanaf boekjaar 2017 en vroeger, door aanwending van compensatie met regulatoir saldo ontstaan over boekjaar 2018</v>
      </c>
      <c r="I417" s="166" t="str">
        <f>"Nog af te bouwen regulatoir saldo na compensatie einde "&amp;F415-1</f>
        <v>Nog af te bouwen regulatoir saldo na compensatie einde 2019</v>
      </c>
      <c r="J417" s="166" t="str">
        <f>"Aanwending van "&amp;IF($B$7="elektriciteit","75%",IF($B$7="gas","40%","FALSE"))&amp;" van het geaccumuleerd regulatoir saldo door te rekenen volgens de tariefmethodologie in het boekjaar "&amp;F415</f>
        <v>Aanwending van 75% van het geaccumuleerd regulatoir saldo door te rekenen volgens de tariefmethodologie in het boekjaar 2020</v>
      </c>
      <c r="K417" s="166" t="str">
        <f>"Aanwending van "&amp;IF($B$7="elektriciteit","75%",IF($B$7="gas","40%","FALSE"))&amp;" van het geaccumuleerd regulatoir saldo door te rekenen volgens de tariefmethodologie in het boekjaar "&amp;F415</f>
        <v>Aanwending van 75% van het geaccumuleerd regulatoir saldo door te rekenen volgens de tariefmethodologie in het boekjaar 2020</v>
      </c>
      <c r="L417" s="166" t="str">
        <f>"Totale afbouw over "&amp;F415</f>
        <v>Totale afbouw over 2020</v>
      </c>
      <c r="M417" s="166" t="str">
        <f>"Nog af te bouwen regulatoir saldo einde "&amp;F415</f>
        <v>Nog af te bouwen regulatoir saldo einde 2020</v>
      </c>
      <c r="N417" s="212"/>
      <c r="Q417" s="167"/>
    </row>
    <row r="418" spans="2:17" ht="13" x14ac:dyDescent="0.25">
      <c r="B418" s="1228">
        <v>2015</v>
      </c>
      <c r="C418" s="1229"/>
      <c r="D418" s="1229"/>
      <c r="E418" s="1230"/>
      <c r="F418" s="283"/>
      <c r="G418" s="177">
        <f>+M410</f>
        <v>0</v>
      </c>
      <c r="H418" s="1003">
        <f>IF(SIGN(G421*M413)&lt;0,IF(G418&lt;&gt;0,-SIGN(G418)*MIN(ABS(G421),ABS(G418)),0),0)</f>
        <v>0</v>
      </c>
      <c r="I418" s="177">
        <f>+G418+H418</f>
        <v>0</v>
      </c>
      <c r="J418" s="1009"/>
      <c r="K418" s="1010">
        <f>-MIN(ABS(I418),ABS(J422))*SIGN(I418)</f>
        <v>0</v>
      </c>
      <c r="L418" s="1003">
        <f>+K418+H418</f>
        <v>0</v>
      </c>
      <c r="M418" s="177">
        <f>+I418+K418</f>
        <v>0</v>
      </c>
      <c r="N418" s="212"/>
      <c r="Q418" s="167"/>
    </row>
    <row r="419" spans="2:17" ht="13" x14ac:dyDescent="0.25">
      <c r="B419" s="1228">
        <v>2016</v>
      </c>
      <c r="C419" s="1229"/>
      <c r="D419" s="1229"/>
      <c r="E419" s="1230"/>
      <c r="F419" s="283"/>
      <c r="G419" s="177">
        <f>+M411</f>
        <v>0</v>
      </c>
      <c r="H419" s="1003">
        <f>IF(SIGN(G421*M413)&lt;0,IF(G419&lt;&gt;0,-SIGN(G419)*MIN(ABS(G421-H418),ABS(G419)),0),0)</f>
        <v>0</v>
      </c>
      <c r="I419" s="177">
        <f>+G419+H419</f>
        <v>0</v>
      </c>
      <c r="J419" s="1009"/>
      <c r="K419" s="1010">
        <f>-MIN(ABS(I419),ABS(J422-K418))*SIGN(I419)</f>
        <v>0</v>
      </c>
      <c r="L419" s="1003">
        <f>+K419+H419</f>
        <v>0</v>
      </c>
      <c r="M419" s="177">
        <f>+I419+K419</f>
        <v>0</v>
      </c>
      <c r="N419" s="212"/>
      <c r="Q419" s="167"/>
    </row>
    <row r="420" spans="2:17" ht="13" x14ac:dyDescent="0.25">
      <c r="B420" s="1228">
        <v>2017</v>
      </c>
      <c r="C420" s="1229"/>
      <c r="D420" s="1229">
        <v>2016</v>
      </c>
      <c r="E420" s="1230"/>
      <c r="F420" s="283"/>
      <c r="G420" s="177">
        <f>+M412</f>
        <v>0</v>
      </c>
      <c r="H420" s="1003">
        <f>IF(SIGN(G421*M413)&lt;0,IF(G420&lt;&gt;0,-SIGN(G420)*MIN(ABS(G421-H418-H419),ABS(G420)),0),0)</f>
        <v>0</v>
      </c>
      <c r="I420" s="177">
        <f>+G420+H420</f>
        <v>0</v>
      </c>
      <c r="J420" s="1009"/>
      <c r="K420" s="1010">
        <f>-MIN(ABS(I420),ABS(J422-K418-K419))*SIGN(I420)</f>
        <v>0</v>
      </c>
      <c r="L420" s="1003">
        <f>+K420+H420</f>
        <v>0</v>
      </c>
      <c r="M420" s="177">
        <f>+I420+K420</f>
        <v>0</v>
      </c>
      <c r="N420" s="212"/>
      <c r="Q420" s="167"/>
    </row>
    <row r="421" spans="2:17" ht="13" x14ac:dyDescent="0.25">
      <c r="B421" s="1228">
        <v>2018</v>
      </c>
      <c r="C421" s="1229"/>
      <c r="D421" s="1229"/>
      <c r="E421" s="1230"/>
      <c r="F421" s="283"/>
      <c r="G421" s="177">
        <f>J165</f>
        <v>0</v>
      </c>
      <c r="H421" s="1003">
        <f>IF(SIGN(G421*M413)&lt;0,-SUM(H418:H420),0)</f>
        <v>0</v>
      </c>
      <c r="I421" s="177">
        <f>+G421+H421</f>
        <v>0</v>
      </c>
      <c r="J421" s="1009"/>
      <c r="K421" s="1010">
        <f>-MIN(ABS(I421),ABS(J422-K418-K419-K420))*SIGN(I421)</f>
        <v>0</v>
      </c>
      <c r="L421" s="1003">
        <f>+K421+H421</f>
        <v>0</v>
      </c>
      <c r="M421" s="177">
        <f>+I421+K421</f>
        <v>0</v>
      </c>
      <c r="N421" s="212"/>
      <c r="Q421" s="167"/>
    </row>
    <row r="422" spans="2:17" s="281" customFormat="1" ht="13" x14ac:dyDescent="0.3">
      <c r="G422" s="284">
        <f>SUM(G418:G421)</f>
        <v>0</v>
      </c>
      <c r="H422" s="169">
        <f>SUM(H418:H421)</f>
        <v>0</v>
      </c>
      <c r="I422" s="284">
        <f>SUM(I418:I421)</f>
        <v>0</v>
      </c>
      <c r="J422" s="214">
        <f>-I422*IF($B$7="elektriciteit",0.75,IF($B$7="gas",0.4,"FALSE"))</f>
        <v>0</v>
      </c>
      <c r="K422" s="291">
        <f>SUM(K418:K421)</f>
        <v>0</v>
      </c>
      <c r="L422" s="169"/>
      <c r="M422" s="284">
        <f>SUM(M418:M421)</f>
        <v>0</v>
      </c>
    </row>
    <row r="423" spans="2:17" x14ac:dyDescent="0.25">
      <c r="H423" s="221"/>
      <c r="K423" s="221"/>
      <c r="L423" s="221"/>
      <c r="Q423" s="167"/>
    </row>
    <row r="424" spans="2:17" ht="13" x14ac:dyDescent="0.25">
      <c r="B424" s="281" t="s">
        <v>172</v>
      </c>
      <c r="F424" s="1000">
        <v>2021</v>
      </c>
      <c r="H424" s="221"/>
      <c r="Q424" s="167"/>
    </row>
    <row r="425" spans="2:17" x14ac:dyDescent="0.25">
      <c r="H425" s="221"/>
      <c r="Q425" s="167"/>
    </row>
    <row r="426" spans="2:17" ht="78" customHeight="1" x14ac:dyDescent="0.25">
      <c r="B426" s="1231" t="s">
        <v>173</v>
      </c>
      <c r="C426" s="1232"/>
      <c r="D426" s="1232"/>
      <c r="E426" s="1233"/>
      <c r="F426" s="282"/>
      <c r="G426" s="166" t="str">
        <f>"Nog af te bouwen regulatoir saldo einde "&amp;F424-1</f>
        <v>Nog af te bouwen regulatoir saldo einde 2020</v>
      </c>
      <c r="H426" s="166" t="str">
        <f>"50% van oorspronkelijk saldo door te rekenen volgens de tariefmethodologie in het boekjaar "&amp;F424</f>
        <v>50% van oorspronkelijk saldo door te rekenen volgens de tariefmethodologie in het boekjaar 2021</v>
      </c>
      <c r="I426" s="166" t="str">
        <f>"Nog af te bouwen regulatoir saldo einde "&amp;F424</f>
        <v>Nog af te bouwen regulatoir saldo einde 2021</v>
      </c>
      <c r="J426" s="212"/>
      <c r="Q426" s="167"/>
    </row>
    <row r="427" spans="2:17" ht="13" x14ac:dyDescent="0.25">
      <c r="B427" s="1228">
        <v>2015</v>
      </c>
      <c r="C427" s="1229"/>
      <c r="D427" s="1229"/>
      <c r="E427" s="1230"/>
      <c r="F427" s="283"/>
      <c r="G427" s="177">
        <f>M418</f>
        <v>0</v>
      </c>
      <c r="H427" s="566">
        <f>-G427*0.5</f>
        <v>0</v>
      </c>
      <c r="I427" s="177">
        <f>+G427+H427</f>
        <v>0</v>
      </c>
      <c r="J427" s="212"/>
      <c r="Q427" s="167"/>
    </row>
    <row r="428" spans="2:17" ht="13" x14ac:dyDescent="0.25">
      <c r="B428" s="1228">
        <v>2016</v>
      </c>
      <c r="C428" s="1229"/>
      <c r="D428" s="1229"/>
      <c r="E428" s="1230"/>
      <c r="F428" s="283"/>
      <c r="G428" s="177">
        <f t="shared" ref="G428:G430" si="55">M419</f>
        <v>0</v>
      </c>
      <c r="H428" s="566">
        <f t="shared" ref="H428:H431" si="56">-G428*0.5</f>
        <v>0</v>
      </c>
      <c r="I428" s="177">
        <f t="shared" ref="I428:I431" si="57">+G428+H428</f>
        <v>0</v>
      </c>
      <c r="J428" s="212"/>
      <c r="Q428" s="167"/>
    </row>
    <row r="429" spans="2:17" ht="13" x14ac:dyDescent="0.25">
      <c r="B429" s="1228">
        <v>2017</v>
      </c>
      <c r="C429" s="1229"/>
      <c r="D429" s="1229">
        <v>2016</v>
      </c>
      <c r="E429" s="1230"/>
      <c r="F429" s="283"/>
      <c r="G429" s="177">
        <f t="shared" si="55"/>
        <v>0</v>
      </c>
      <c r="H429" s="566">
        <f t="shared" si="56"/>
        <v>0</v>
      </c>
      <c r="I429" s="177">
        <f t="shared" si="57"/>
        <v>0</v>
      </c>
      <c r="J429" s="212"/>
      <c r="Q429" s="167"/>
    </row>
    <row r="430" spans="2:17" ht="13" x14ac:dyDescent="0.25">
      <c r="B430" s="1228">
        <v>2018</v>
      </c>
      <c r="C430" s="1229"/>
      <c r="D430" s="1229"/>
      <c r="E430" s="1230"/>
      <c r="F430" s="283"/>
      <c r="G430" s="177">
        <f t="shared" si="55"/>
        <v>0</v>
      </c>
      <c r="H430" s="566">
        <f t="shared" si="56"/>
        <v>0</v>
      </c>
      <c r="I430" s="177">
        <f t="shared" si="57"/>
        <v>0</v>
      </c>
      <c r="J430" s="212"/>
      <c r="Q430" s="167"/>
    </row>
    <row r="431" spans="2:17" ht="13" x14ac:dyDescent="0.25">
      <c r="B431" s="1228">
        <v>2019</v>
      </c>
      <c r="C431" s="1229"/>
      <c r="D431" s="1229"/>
      <c r="E431" s="1230"/>
      <c r="F431" s="283"/>
      <c r="G431" s="177">
        <f>K166</f>
        <v>0</v>
      </c>
      <c r="H431" s="566">
        <f t="shared" si="56"/>
        <v>0</v>
      </c>
      <c r="I431" s="177">
        <f t="shared" si="57"/>
        <v>0</v>
      </c>
      <c r="J431" s="212"/>
      <c r="Q431" s="167"/>
    </row>
    <row r="432" spans="2:17" s="281" customFormat="1" ht="13" x14ac:dyDescent="0.25">
      <c r="G432" s="284">
        <f>SUM(G427:G431)</f>
        <v>0</v>
      </c>
      <c r="H432" s="169">
        <f>SUM(H427:H431)</f>
        <v>0</v>
      </c>
      <c r="I432" s="284">
        <f>SUM(I427:I431)</f>
        <v>0</v>
      </c>
    </row>
    <row r="433" spans="2:17" x14ac:dyDescent="0.25">
      <c r="H433" s="221"/>
      <c r="Q433" s="167"/>
    </row>
    <row r="434" spans="2:17" ht="13" x14ac:dyDescent="0.25">
      <c r="B434" s="847" t="s">
        <v>172</v>
      </c>
      <c r="C434" s="842"/>
      <c r="D434" s="842"/>
      <c r="E434" s="842"/>
      <c r="F434" s="1004">
        <v>2022</v>
      </c>
      <c r="G434" s="842"/>
      <c r="H434" s="855"/>
      <c r="I434" s="842"/>
      <c r="Q434" s="167"/>
    </row>
    <row r="435" spans="2:17" x14ac:dyDescent="0.25">
      <c r="B435" s="842"/>
      <c r="C435" s="842"/>
      <c r="D435" s="842"/>
      <c r="E435" s="842"/>
      <c r="F435" s="842"/>
      <c r="G435" s="842"/>
      <c r="H435" s="855"/>
      <c r="I435" s="842"/>
      <c r="Q435" s="167"/>
    </row>
    <row r="436" spans="2:17" ht="78" customHeight="1" x14ac:dyDescent="0.25">
      <c r="B436" s="1237" t="s">
        <v>173</v>
      </c>
      <c r="C436" s="1238"/>
      <c r="D436" s="1238"/>
      <c r="E436" s="1239"/>
      <c r="F436" s="848"/>
      <c r="G436" s="837" t="str">
        <f>"Nog af te bouwen regulatoir saldo einde "&amp;F434-1</f>
        <v>Nog af te bouwen regulatoir saldo einde 2021</v>
      </c>
      <c r="H436" s="837" t="str">
        <f>"50% van oorspronkelijk saldo door te rekenen volgens de tariefmethodologie in het boekjaar "&amp;F434</f>
        <v>50% van oorspronkelijk saldo door te rekenen volgens de tariefmethodologie in het boekjaar 2022</v>
      </c>
      <c r="I436" s="837" t="str">
        <f>"Nog af te bouwen regulatoir saldo einde "&amp;F434</f>
        <v>Nog af te bouwen regulatoir saldo einde 2022</v>
      </c>
      <c r="J436" s="212"/>
      <c r="Q436" s="167"/>
    </row>
    <row r="437" spans="2:17" ht="13" x14ac:dyDescent="0.25">
      <c r="B437" s="1234">
        <v>2015</v>
      </c>
      <c r="C437" s="1235"/>
      <c r="D437" s="1235"/>
      <c r="E437" s="1236"/>
      <c r="F437" s="341"/>
      <c r="G437" s="339">
        <f>+I427</f>
        <v>0</v>
      </c>
      <c r="H437" s="568">
        <f>-G427*0.5</f>
        <v>0</v>
      </c>
      <c r="I437" s="339">
        <f>+G437+H437</f>
        <v>0</v>
      </c>
      <c r="J437" s="212"/>
      <c r="Q437" s="167"/>
    </row>
    <row r="438" spans="2:17" ht="13" x14ac:dyDescent="0.25">
      <c r="B438" s="1234">
        <v>2016</v>
      </c>
      <c r="C438" s="1235"/>
      <c r="D438" s="1235"/>
      <c r="E438" s="1236"/>
      <c r="F438" s="341"/>
      <c r="G438" s="339">
        <f t="shared" ref="G438:G441" si="58">+I428</f>
        <v>0</v>
      </c>
      <c r="H438" s="568">
        <f t="shared" ref="H438:H441" si="59">-G428*0.5</f>
        <v>0</v>
      </c>
      <c r="I438" s="339">
        <f t="shared" ref="I438:I442" si="60">+G438+H438</f>
        <v>0</v>
      </c>
      <c r="J438" s="212"/>
      <c r="Q438" s="167"/>
    </row>
    <row r="439" spans="2:17" ht="13" x14ac:dyDescent="0.25">
      <c r="B439" s="1234">
        <v>2017</v>
      </c>
      <c r="C439" s="1235"/>
      <c r="D439" s="1235">
        <v>2016</v>
      </c>
      <c r="E439" s="1236"/>
      <c r="F439" s="341"/>
      <c r="G439" s="339">
        <f t="shared" si="58"/>
        <v>0</v>
      </c>
      <c r="H439" s="568">
        <f t="shared" si="59"/>
        <v>0</v>
      </c>
      <c r="I439" s="339">
        <f t="shared" si="60"/>
        <v>0</v>
      </c>
      <c r="J439" s="212"/>
      <c r="Q439" s="167"/>
    </row>
    <row r="440" spans="2:17" ht="13" x14ac:dyDescent="0.25">
      <c r="B440" s="1234">
        <v>2018</v>
      </c>
      <c r="C440" s="1235"/>
      <c r="D440" s="1235"/>
      <c r="E440" s="1236"/>
      <c r="F440" s="341"/>
      <c r="G440" s="339">
        <f t="shared" si="58"/>
        <v>0</v>
      </c>
      <c r="H440" s="568">
        <f t="shared" si="59"/>
        <v>0</v>
      </c>
      <c r="I440" s="339">
        <f t="shared" si="60"/>
        <v>0</v>
      </c>
      <c r="J440" s="212"/>
      <c r="Q440" s="167"/>
    </row>
    <row r="441" spans="2:17" ht="13" x14ac:dyDescent="0.25">
      <c r="B441" s="1234">
        <v>2019</v>
      </c>
      <c r="C441" s="1235"/>
      <c r="D441" s="1235"/>
      <c r="E441" s="1236"/>
      <c r="F441" s="341"/>
      <c r="G441" s="339">
        <f t="shared" si="58"/>
        <v>0</v>
      </c>
      <c r="H441" s="568">
        <f t="shared" si="59"/>
        <v>0</v>
      </c>
      <c r="I441" s="339">
        <f t="shared" si="60"/>
        <v>0</v>
      </c>
      <c r="J441" s="212"/>
      <c r="Q441" s="167"/>
    </row>
    <row r="442" spans="2:17" ht="13" x14ac:dyDescent="0.25">
      <c r="B442" s="1234">
        <v>2020</v>
      </c>
      <c r="C442" s="1235"/>
      <c r="D442" s="1235"/>
      <c r="E442" s="1236"/>
      <c r="F442" s="341"/>
      <c r="G442" s="339">
        <f>L167</f>
        <v>0</v>
      </c>
      <c r="H442" s="568">
        <f t="shared" ref="H442" si="61">-G442*0.5</f>
        <v>0</v>
      </c>
      <c r="I442" s="339">
        <f t="shared" si="60"/>
        <v>0</v>
      </c>
      <c r="J442" s="212"/>
      <c r="Q442" s="167"/>
    </row>
    <row r="443" spans="2:17" s="281" customFormat="1" ht="13" x14ac:dyDescent="0.25">
      <c r="B443" s="847"/>
      <c r="C443" s="847"/>
      <c r="D443" s="847"/>
      <c r="E443" s="847"/>
      <c r="F443" s="847"/>
      <c r="G443" s="849">
        <f>SUM(G437:G442)</f>
        <v>0</v>
      </c>
      <c r="H443" s="856">
        <f t="shared" ref="H443:I443" si="62">SUM(H437:H442)</f>
        <v>0</v>
      </c>
      <c r="I443" s="849">
        <f t="shared" si="62"/>
        <v>0</v>
      </c>
    </row>
    <row r="444" spans="2:17" x14ac:dyDescent="0.25">
      <c r="B444" s="842"/>
      <c r="C444" s="842"/>
      <c r="D444" s="842"/>
      <c r="E444" s="842"/>
      <c r="F444" s="842"/>
      <c r="G444" s="842"/>
      <c r="H444" s="855"/>
      <c r="I444" s="842"/>
      <c r="Q444" s="167"/>
    </row>
    <row r="445" spans="2:17" ht="13" x14ac:dyDescent="0.25">
      <c r="B445" s="847" t="s">
        <v>172</v>
      </c>
      <c r="C445" s="842"/>
      <c r="D445" s="842"/>
      <c r="E445" s="842"/>
      <c r="F445" s="1004">
        <v>2023</v>
      </c>
      <c r="G445" s="842"/>
      <c r="H445" s="855"/>
      <c r="I445" s="842"/>
      <c r="Q445" s="167"/>
    </row>
    <row r="446" spans="2:17" x14ac:dyDescent="0.25">
      <c r="B446" s="842"/>
      <c r="C446" s="842"/>
      <c r="D446" s="842"/>
      <c r="E446" s="842"/>
      <c r="F446" s="842"/>
      <c r="G446" s="842"/>
      <c r="H446" s="855"/>
      <c r="I446" s="842"/>
      <c r="Q446" s="167"/>
    </row>
    <row r="447" spans="2:17" ht="78" customHeight="1" x14ac:dyDescent="0.25">
      <c r="B447" s="1237" t="s">
        <v>173</v>
      </c>
      <c r="C447" s="1238"/>
      <c r="D447" s="1238"/>
      <c r="E447" s="1239"/>
      <c r="F447" s="848"/>
      <c r="G447" s="837" t="str">
        <f>"Nog af te bouwen regulatoir saldo einde "&amp;F445-1</f>
        <v>Nog af te bouwen regulatoir saldo einde 2022</v>
      </c>
      <c r="H447" s="837" t="str">
        <f>"50% van oorspronkelijk saldo door te rekenen volgens de tariefmethodologie in het boekjaar "&amp;F445</f>
        <v>50% van oorspronkelijk saldo door te rekenen volgens de tariefmethodologie in het boekjaar 2023</v>
      </c>
      <c r="I447" s="837" t="str">
        <f>"Nog af te bouwen regulatoir saldo einde "&amp;F445</f>
        <v>Nog af te bouwen regulatoir saldo einde 2023</v>
      </c>
      <c r="J447" s="212"/>
      <c r="Q447" s="167"/>
    </row>
    <row r="448" spans="2:17" ht="13" x14ac:dyDescent="0.25">
      <c r="B448" s="1234">
        <v>2020</v>
      </c>
      <c r="C448" s="1235"/>
      <c r="D448" s="1235"/>
      <c r="E448" s="1236"/>
      <c r="F448" s="341"/>
      <c r="G448" s="339">
        <f>+I442</f>
        <v>0</v>
      </c>
      <c r="H448" s="568">
        <f>-G442*0.5</f>
        <v>0</v>
      </c>
      <c r="I448" s="339">
        <f t="shared" ref="I448:I449" si="63">+G448+H448</f>
        <v>0</v>
      </c>
      <c r="J448" s="212"/>
      <c r="Q448" s="167"/>
    </row>
    <row r="449" spans="2:17" ht="13" x14ac:dyDescent="0.25">
      <c r="B449" s="1234">
        <v>2021</v>
      </c>
      <c r="C449" s="1235"/>
      <c r="D449" s="1235"/>
      <c r="E449" s="1236"/>
      <c r="F449" s="341"/>
      <c r="G449" s="339">
        <f>M168</f>
        <v>0</v>
      </c>
      <c r="H449" s="568">
        <f t="shared" ref="H449" si="64">-G449*0.5</f>
        <v>0</v>
      </c>
      <c r="I449" s="339">
        <f t="shared" si="63"/>
        <v>0</v>
      </c>
      <c r="J449" s="212"/>
      <c r="Q449" s="167"/>
    </row>
    <row r="450" spans="2:17" s="281" customFormat="1" ht="13" x14ac:dyDescent="0.25">
      <c r="B450" s="847"/>
      <c r="C450" s="847"/>
      <c r="D450" s="847"/>
      <c r="E450" s="847"/>
      <c r="F450" s="847"/>
      <c r="G450" s="849">
        <f>SUM(G448:G449)</f>
        <v>0</v>
      </c>
      <c r="H450" s="856">
        <f>SUM(H448:H449)</f>
        <v>0</v>
      </c>
      <c r="I450" s="849">
        <f>SUM(I448:I449)</f>
        <v>0</v>
      </c>
    </row>
    <row r="451" spans="2:17" x14ac:dyDescent="0.25">
      <c r="B451" s="842"/>
      <c r="C451" s="842"/>
      <c r="D451" s="842"/>
      <c r="E451" s="842"/>
      <c r="F451" s="842"/>
      <c r="G451" s="842"/>
      <c r="H451" s="855"/>
      <c r="I451" s="842"/>
      <c r="Q451" s="167"/>
    </row>
    <row r="452" spans="2:17" ht="13" x14ac:dyDescent="0.25">
      <c r="B452" s="847" t="s">
        <v>172</v>
      </c>
      <c r="C452" s="842"/>
      <c r="D452" s="842"/>
      <c r="E452" s="842"/>
      <c r="F452" s="1004">
        <v>2024</v>
      </c>
      <c r="G452" s="842"/>
      <c r="H452" s="855"/>
      <c r="I452" s="842"/>
      <c r="Q452" s="167"/>
    </row>
    <row r="453" spans="2:17" x14ac:dyDescent="0.25">
      <c r="B453" s="842"/>
      <c r="C453" s="842"/>
      <c r="D453" s="842"/>
      <c r="E453" s="842"/>
      <c r="F453" s="842"/>
      <c r="G453" s="842"/>
      <c r="H453" s="855"/>
      <c r="I453" s="842"/>
      <c r="Q453" s="167"/>
    </row>
    <row r="454" spans="2:17" ht="78" customHeight="1" x14ac:dyDescent="0.25">
      <c r="B454" s="1237" t="s">
        <v>173</v>
      </c>
      <c r="C454" s="1238"/>
      <c r="D454" s="1238"/>
      <c r="E454" s="1239"/>
      <c r="F454" s="848"/>
      <c r="G454" s="837" t="str">
        <f>"Nog af te bouwen regulatoir saldo einde "&amp;F452-1</f>
        <v>Nog af te bouwen regulatoir saldo einde 2023</v>
      </c>
      <c r="H454" s="837" t="str">
        <f>"50% van oorspronkelijk saldo door te rekenen volgens de tariefmethodologie in het boekjaar "&amp;F452</f>
        <v>50% van oorspronkelijk saldo door te rekenen volgens de tariefmethodologie in het boekjaar 2024</v>
      </c>
      <c r="I454" s="837" t="str">
        <f>"Nog af te bouwen regulatoir saldo einde "&amp;F452</f>
        <v>Nog af te bouwen regulatoir saldo einde 2024</v>
      </c>
      <c r="J454" s="212"/>
      <c r="Q454" s="167"/>
    </row>
    <row r="455" spans="2:17" ht="13" x14ac:dyDescent="0.25">
      <c r="B455" s="1234">
        <v>2021</v>
      </c>
      <c r="C455" s="1235"/>
      <c r="D455" s="1235"/>
      <c r="E455" s="1236"/>
      <c r="F455" s="341"/>
      <c r="G455" s="339">
        <f>+I449</f>
        <v>0</v>
      </c>
      <c r="H455" s="568">
        <f>-G449*0.5</f>
        <v>0</v>
      </c>
      <c r="I455" s="339">
        <f t="shared" ref="I455:I456" si="65">+G455+H455</f>
        <v>0</v>
      </c>
      <c r="J455" s="212"/>
      <c r="Q455" s="167"/>
    </row>
    <row r="456" spans="2:17" ht="13" x14ac:dyDescent="0.25">
      <c r="B456" s="1234">
        <v>2022</v>
      </c>
      <c r="C456" s="1235"/>
      <c r="D456" s="1235"/>
      <c r="E456" s="1236"/>
      <c r="F456" s="341"/>
      <c r="G456" s="339">
        <f>N169</f>
        <v>0</v>
      </c>
      <c r="H456" s="568">
        <f t="shared" ref="H456" si="66">-G456*0.5</f>
        <v>0</v>
      </c>
      <c r="I456" s="339">
        <f t="shared" si="65"/>
        <v>0</v>
      </c>
      <c r="J456" s="212"/>
      <c r="Q456" s="167"/>
    </row>
    <row r="457" spans="2:17" s="281" customFormat="1" ht="13" x14ac:dyDescent="0.25">
      <c r="B457" s="847"/>
      <c r="C457" s="847"/>
      <c r="D457" s="847"/>
      <c r="E457" s="847"/>
      <c r="F457" s="847"/>
      <c r="G457" s="849">
        <f>SUM(G455:G456)</f>
        <v>0</v>
      </c>
      <c r="H457" s="856">
        <f>SUM(H455:H456)</f>
        <v>0</v>
      </c>
      <c r="I457" s="849">
        <f>SUM(I455:I456)</f>
        <v>0</v>
      </c>
    </row>
    <row r="458" spans="2:17" x14ac:dyDescent="0.25">
      <c r="H458" s="221"/>
      <c r="Q458" s="167"/>
    </row>
    <row r="459" spans="2:17" ht="13" x14ac:dyDescent="0.25">
      <c r="B459" s="281" t="s">
        <v>67</v>
      </c>
      <c r="H459" s="221"/>
      <c r="Q459" s="167"/>
    </row>
    <row r="460" spans="2:17" ht="13" x14ac:dyDescent="0.25">
      <c r="B460" s="281" t="s">
        <v>174</v>
      </c>
      <c r="C460" s="224"/>
      <c r="D460" s="224"/>
      <c r="E460" s="224"/>
      <c r="H460" s="221"/>
      <c r="Q460" s="167"/>
    </row>
    <row r="461" spans="2:17" ht="13" x14ac:dyDescent="0.25">
      <c r="B461" s="281"/>
      <c r="C461" s="224"/>
      <c r="D461" s="224"/>
      <c r="E461" s="224"/>
      <c r="H461" s="221"/>
      <c r="Q461" s="167"/>
    </row>
    <row r="462" spans="2:17" ht="13" x14ac:dyDescent="0.25">
      <c r="B462" s="283">
        <v>2021</v>
      </c>
      <c r="C462" s="287">
        <f>+H432</f>
        <v>0</v>
      </c>
      <c r="D462" s="224"/>
      <c r="E462" s="224"/>
      <c r="H462" s="221"/>
      <c r="Q462" s="167"/>
    </row>
    <row r="463" spans="2:17" ht="13" x14ac:dyDescent="0.25">
      <c r="B463" s="341">
        <v>2022</v>
      </c>
      <c r="C463" s="342">
        <f>+H443</f>
        <v>0</v>
      </c>
      <c r="D463" s="224"/>
      <c r="E463" s="224"/>
      <c r="H463" s="221"/>
      <c r="Q463" s="167"/>
    </row>
    <row r="464" spans="2:17" ht="13" x14ac:dyDescent="0.25">
      <c r="B464" s="341">
        <v>2023</v>
      </c>
      <c r="C464" s="342">
        <f>+H450</f>
        <v>0</v>
      </c>
      <c r="D464" s="224"/>
      <c r="E464" s="224"/>
      <c r="H464" s="221"/>
      <c r="Q464" s="167"/>
    </row>
    <row r="465" spans="2:17" ht="13" x14ac:dyDescent="0.25">
      <c r="B465" s="341">
        <v>2024</v>
      </c>
      <c r="C465" s="342">
        <f>+H457</f>
        <v>0</v>
      </c>
      <c r="D465" s="224"/>
      <c r="E465" s="224"/>
      <c r="H465" s="221"/>
      <c r="Q465" s="167"/>
    </row>
    <row r="466" spans="2:17" x14ac:dyDescent="0.25">
      <c r="H466" s="221"/>
      <c r="Q466" s="167"/>
    </row>
    <row r="467" spans="2:17" x14ac:dyDescent="0.25">
      <c r="H467" s="221"/>
      <c r="Q467" s="167"/>
    </row>
    <row r="468" spans="2:17" ht="13" x14ac:dyDescent="0.25">
      <c r="B468" s="326" t="s">
        <v>119</v>
      </c>
      <c r="C468" s="327"/>
      <c r="D468" s="327"/>
      <c r="E468" s="327"/>
      <c r="F468" s="328"/>
      <c r="G468" s="328"/>
      <c r="H468" s="569"/>
      <c r="I468" s="328"/>
      <c r="J468" s="328"/>
      <c r="K468" s="328"/>
      <c r="L468" s="328"/>
      <c r="M468" s="328"/>
      <c r="Q468" s="167"/>
    </row>
    <row r="469" spans="2:17" x14ac:dyDescent="0.25">
      <c r="H469" s="221"/>
      <c r="Q469" s="167"/>
    </row>
    <row r="470" spans="2:17" ht="13" x14ac:dyDescent="0.25">
      <c r="B470" s="281" t="s">
        <v>172</v>
      </c>
      <c r="F470" s="1000">
        <v>2017</v>
      </c>
      <c r="H470" s="221"/>
      <c r="Q470" s="167"/>
    </row>
    <row r="471" spans="2:17" x14ac:dyDescent="0.25">
      <c r="H471" s="221"/>
      <c r="L471" s="212"/>
      <c r="Q471" s="167"/>
    </row>
    <row r="472" spans="2:17" ht="104.15" customHeight="1" x14ac:dyDescent="0.25">
      <c r="B472" s="1231" t="s">
        <v>173</v>
      </c>
      <c r="C472" s="1232"/>
      <c r="D472" s="1232"/>
      <c r="E472" s="1233"/>
      <c r="F472" s="282"/>
      <c r="G472" s="166" t="str">
        <f>"Nog af te bouwen regulatoir saldo einde "&amp;F470-1</f>
        <v>Nog af te bouwen regulatoir saldo einde 2016</v>
      </c>
      <c r="H472" s="166" t="str">
        <f>"Afbouw oudste openstaande regulatoir saldo vanaf boekjaar "&amp;F470-3&amp;" en vroeger, door aanwending van compensatie met regulatoir saldo ontstaan over boekjaar "&amp;F470-2</f>
        <v>Afbouw oudste openstaande regulatoir saldo vanaf boekjaar 2014 en vroeger, door aanwending van compensatie met regulatoir saldo ontstaan over boekjaar 2015</v>
      </c>
      <c r="I472" s="166" t="str">
        <f>"Nog af te bouwen regulatoir saldo na compensatie einde "&amp;F470-1</f>
        <v>Nog af te bouwen regulatoir saldo na compensatie einde 2016</v>
      </c>
      <c r="J472" s="166" t="str">
        <f>"Aanwending van "&amp;IF($B$7="elektriciteit","75%",IF($B$7="gas","40%","FALSE"))&amp;" van het geaccumuleerd regulatoir saldo door te rekenen volgens de tariefmethodologie in het boekjaar "&amp;F470</f>
        <v>Aanwending van 75% van het geaccumuleerd regulatoir saldo door te rekenen volgens de tariefmethodologie in het boekjaar 2017</v>
      </c>
      <c r="K472" s="166" t="str">
        <f>"Nog af te bouwen regulatoir saldo einde "&amp;F470</f>
        <v>Nog af te bouwen regulatoir saldo einde 2017</v>
      </c>
      <c r="L472" s="212"/>
      <c r="Q472" s="167"/>
    </row>
    <row r="473" spans="2:17" ht="13" x14ac:dyDescent="0.25">
      <c r="B473" s="1228">
        <v>2015</v>
      </c>
      <c r="C473" s="1229"/>
      <c r="D473" s="1229"/>
      <c r="E473" s="1230"/>
      <c r="F473" s="283"/>
      <c r="G473" s="177">
        <f>G173</f>
        <v>0</v>
      </c>
      <c r="H473" s="566">
        <v>0</v>
      </c>
      <c r="I473" s="177">
        <f>+G473+H473</f>
        <v>0</v>
      </c>
      <c r="J473" s="1008">
        <f>-I473*IF($B$7="elektriciteit",0.75,IF($B$7="gas",0.4,"FALSE"))</f>
        <v>0</v>
      </c>
      <c r="K473" s="1001">
        <f>+J473+G473</f>
        <v>0</v>
      </c>
      <c r="L473" s="212"/>
      <c r="Q473" s="167"/>
    </row>
    <row r="474" spans="2:17" x14ac:dyDescent="0.25">
      <c r="H474" s="221"/>
      <c r="L474" s="212"/>
      <c r="Q474" s="167"/>
    </row>
    <row r="475" spans="2:17" ht="13" x14ac:dyDescent="0.25">
      <c r="B475" s="281" t="s">
        <v>172</v>
      </c>
      <c r="F475" s="1000">
        <v>2018</v>
      </c>
      <c r="H475" s="221"/>
      <c r="Q475" s="167"/>
    </row>
    <row r="476" spans="2:17" x14ac:dyDescent="0.25">
      <c r="H476" s="221"/>
      <c r="Q476" s="167"/>
    </row>
    <row r="477" spans="2:17" ht="104.15" customHeight="1" x14ac:dyDescent="0.25">
      <c r="B477" s="1231" t="s">
        <v>173</v>
      </c>
      <c r="C477" s="1232"/>
      <c r="D477" s="1232"/>
      <c r="E477" s="1233"/>
      <c r="F477" s="282"/>
      <c r="G477" s="166" t="str">
        <f>"Nog af te bouwen regulatoir saldo einde "&amp;F475-1</f>
        <v>Nog af te bouwen regulatoir saldo einde 2017</v>
      </c>
      <c r="H477" s="166" t="str">
        <f>"Afbouw oudste openstaande regulatoir saldo vanaf boekjaar "&amp;F475-3&amp;" en vroeger, door aanwending van compensatie met regulatoir saldo ontstaan over boekjaar "&amp;F475-2</f>
        <v>Afbouw oudste openstaande regulatoir saldo vanaf boekjaar 2015 en vroeger, door aanwending van compensatie met regulatoir saldo ontstaan over boekjaar 2016</v>
      </c>
      <c r="I477" s="166" t="str">
        <f>"Nog af te bouwen regulatoir saldo na compensatie einde "&amp;F475-1</f>
        <v>Nog af te bouwen regulatoir saldo na compensatie einde 2017</v>
      </c>
      <c r="J477" s="166" t="str">
        <f>"Aanwending van "&amp;IF($B$7="elektriciteit","75%",IF($B$7="gas","40%","FALSE"))&amp;" van het geaccumuleerd regulatoir saldo door te rekenen volgens de tariefmethodologie in het boekjaar "&amp;F475</f>
        <v>Aanwending van 75% van het geaccumuleerd regulatoir saldo door te rekenen volgens de tariefmethodologie in het boekjaar 2018</v>
      </c>
      <c r="K477" s="166" t="str">
        <f>"Aanwending van "&amp;IF($B$7="elektriciteit","75%",IF($B$7="gas","40%","FALSE"))&amp;" van het geaccumuleerd regulatoir saldo door te rekenen volgens de tariefmethodologie in het boekjaar "&amp;F475</f>
        <v>Aanwending van 75% van het geaccumuleerd regulatoir saldo door te rekenen volgens de tariefmethodologie in het boekjaar 2018</v>
      </c>
      <c r="L477" s="166" t="str">
        <f>"Totale afbouw over "&amp;F475</f>
        <v>Totale afbouw over 2018</v>
      </c>
      <c r="M477" s="166" t="str">
        <f>"Nog af te bouwen regulatoir saldo einde "&amp;F475</f>
        <v>Nog af te bouwen regulatoir saldo einde 2018</v>
      </c>
      <c r="N477" s="212"/>
      <c r="Q477" s="167"/>
    </row>
    <row r="478" spans="2:17" ht="13" x14ac:dyDescent="0.25">
      <c r="B478" s="1228">
        <v>2015</v>
      </c>
      <c r="C478" s="1229"/>
      <c r="D478" s="1229"/>
      <c r="E478" s="1230"/>
      <c r="F478" s="283"/>
      <c r="G478" s="177">
        <f>K473</f>
        <v>0</v>
      </c>
      <c r="H478" s="566">
        <f>IF(SIGN(G479*K473)&lt;0,IF(G478&lt;&gt;0,-SIGN(G478)*MIN(ABS(G479),ABS(G478)),0),0)</f>
        <v>0</v>
      </c>
      <c r="I478" s="177">
        <f>+G478+H478</f>
        <v>0</v>
      </c>
      <c r="J478" s="1009"/>
      <c r="K478" s="1010">
        <f>-MIN(ABS(I478),ABS(J480))*SIGN(I478)</f>
        <v>0</v>
      </c>
      <c r="L478" s="1003">
        <f>+K478+H478</f>
        <v>0</v>
      </c>
      <c r="M478" s="177">
        <f>+I478+K478</f>
        <v>0</v>
      </c>
      <c r="N478" s="212"/>
      <c r="Q478" s="167"/>
    </row>
    <row r="479" spans="2:17" ht="13" x14ac:dyDescent="0.25">
      <c r="B479" s="1228">
        <v>2016</v>
      </c>
      <c r="C479" s="1229"/>
      <c r="D479" s="1229"/>
      <c r="E479" s="1230"/>
      <c r="F479" s="283"/>
      <c r="G479" s="177">
        <f>H174</f>
        <v>0</v>
      </c>
      <c r="H479" s="1003">
        <f>IF(SIGN(G479*K473)&lt;0,-H478,0)</f>
        <v>0</v>
      </c>
      <c r="I479" s="177">
        <f>+G479+H479</f>
        <v>0</v>
      </c>
      <c r="J479" s="1009"/>
      <c r="K479" s="1010">
        <f>-MIN(ABS(I479),ABS(J480-K478))*SIGN(I479)</f>
        <v>0</v>
      </c>
      <c r="L479" s="1003">
        <f>+K479+H479</f>
        <v>0</v>
      </c>
      <c r="M479" s="177">
        <f>+I479+K479</f>
        <v>0</v>
      </c>
      <c r="N479" s="212"/>
      <c r="Q479" s="167"/>
    </row>
    <row r="480" spans="2:17" s="281" customFormat="1" ht="13" x14ac:dyDescent="0.3">
      <c r="G480" s="284">
        <f>SUM(G478:G479)</f>
        <v>0</v>
      </c>
      <c r="H480" s="169">
        <f>SUM(H478:H479)</f>
        <v>0</v>
      </c>
      <c r="I480" s="284">
        <f>SUM(I478:I479)</f>
        <v>0</v>
      </c>
      <c r="J480" s="214">
        <f>-I480*IF($B$7="elektriciteit",0.75,IF($B$7="gas",0.4,"FALSE"))</f>
        <v>0</v>
      </c>
      <c r="K480" s="291">
        <f>SUM(K478:K479)</f>
        <v>0</v>
      </c>
      <c r="L480" s="570"/>
      <c r="M480" s="284">
        <f>SUM(M478:M479)</f>
        <v>0</v>
      </c>
    </row>
    <row r="481" spans="2:17" x14ac:dyDescent="0.25">
      <c r="H481" s="221"/>
      <c r="J481" s="12"/>
      <c r="K481" s="12"/>
      <c r="Q481" s="167"/>
    </row>
    <row r="482" spans="2:17" ht="13" x14ac:dyDescent="0.25">
      <c r="B482" s="281" t="s">
        <v>172</v>
      </c>
      <c r="F482" s="1000">
        <v>2019</v>
      </c>
      <c r="H482" s="221"/>
      <c r="J482" s="12"/>
      <c r="K482" s="12"/>
      <c r="Q482" s="167"/>
    </row>
    <row r="483" spans="2:17" x14ac:dyDescent="0.25">
      <c r="H483" s="221"/>
      <c r="J483" s="12"/>
      <c r="K483" s="12"/>
      <c r="Q483" s="167"/>
    </row>
    <row r="484" spans="2:17" ht="104.15" customHeight="1" x14ac:dyDescent="0.25">
      <c r="B484" s="1231" t="s">
        <v>173</v>
      </c>
      <c r="C484" s="1232"/>
      <c r="D484" s="1232"/>
      <c r="E484" s="1233"/>
      <c r="F484" s="282"/>
      <c r="G484" s="166" t="str">
        <f>"Nog af te bouwen regulatoir saldo einde "&amp;F482-1</f>
        <v>Nog af te bouwen regulatoir saldo einde 2018</v>
      </c>
      <c r="H484" s="166" t="str">
        <f>"Afbouw oudste openstaande regulatoir saldo vanaf boekjaar "&amp;F482-3&amp;" en vroeger, door aanwending van compensatie met regulatoir saldo ontstaan over boekjaar "&amp;F482-2</f>
        <v>Afbouw oudste openstaande regulatoir saldo vanaf boekjaar 2016 en vroeger, door aanwending van compensatie met regulatoir saldo ontstaan over boekjaar 2017</v>
      </c>
      <c r="I484" s="166" t="str">
        <f>"Nog af te bouwen regulatoir saldo na compensatie einde "&amp;F482-1</f>
        <v>Nog af te bouwen regulatoir saldo na compensatie einde 2018</v>
      </c>
      <c r="J484" s="166" t="str">
        <f>"Aanwending van "&amp;IF($B$7="elektriciteit","75%",IF($B$7="gas","40%","FALSE"))&amp;" van het geaccumuleerd regulatoir saldo door te rekenen volgens de tariefmethodologie in het boekjaar "&amp;F482</f>
        <v>Aanwending van 75% van het geaccumuleerd regulatoir saldo door te rekenen volgens de tariefmethodologie in het boekjaar 2019</v>
      </c>
      <c r="K484" s="166" t="str">
        <f>"Aanwending van "&amp;IF($B$7="elektriciteit","75%",IF($B$7="gas","40%","FALSE"))&amp;" van het geaccumuleerd regulatoir saldo door te rekenen volgens de tariefmethodologie in het boekjaar "&amp;F482</f>
        <v>Aanwending van 75% van het geaccumuleerd regulatoir saldo door te rekenen volgens de tariefmethodologie in het boekjaar 2019</v>
      </c>
      <c r="L484" s="166" t="str">
        <f>"Totale afbouw over "&amp;F482</f>
        <v>Totale afbouw over 2019</v>
      </c>
      <c r="M484" s="166" t="str">
        <f>"Nog af te bouwen regulatoir saldo einde "&amp;F482</f>
        <v>Nog af te bouwen regulatoir saldo einde 2019</v>
      </c>
      <c r="N484" s="212"/>
      <c r="Q484" s="167"/>
    </row>
    <row r="485" spans="2:17" ht="13" x14ac:dyDescent="0.25">
      <c r="B485" s="1228">
        <v>2015</v>
      </c>
      <c r="C485" s="1229"/>
      <c r="D485" s="1229"/>
      <c r="E485" s="1230"/>
      <c r="F485" s="283"/>
      <c r="G485" s="177">
        <f>+M478</f>
        <v>0</v>
      </c>
      <c r="H485" s="1003">
        <f>IF(SIGN(G487*M480)&lt;0,IF(G485&lt;&gt;0,-SIGN(G485)*MIN(ABS(G487),ABS(G485)),0),0)</f>
        <v>0</v>
      </c>
      <c r="I485" s="177">
        <f>+G485+H485</f>
        <v>0</v>
      </c>
      <c r="J485" s="1009"/>
      <c r="K485" s="1010">
        <f>-MIN(ABS(I485),ABS(J488))*SIGN(I485)</f>
        <v>0</v>
      </c>
      <c r="L485" s="1003">
        <f>+K485+H485</f>
        <v>0</v>
      </c>
      <c r="M485" s="177">
        <f>+I485+K485</f>
        <v>0</v>
      </c>
      <c r="N485" s="212"/>
      <c r="Q485" s="167"/>
    </row>
    <row r="486" spans="2:17" ht="13" x14ac:dyDescent="0.25">
      <c r="B486" s="1228">
        <v>2016</v>
      </c>
      <c r="C486" s="1229"/>
      <c r="D486" s="1229">
        <v>2016</v>
      </c>
      <c r="E486" s="1230"/>
      <c r="F486" s="283"/>
      <c r="G486" s="177">
        <f>+M479</f>
        <v>0</v>
      </c>
      <c r="H486" s="1003">
        <f>IF(SIGN(G487*M480)&lt;0,IF(G486&lt;&gt;0,-SIGN(G486)*MIN(ABS(G487-H485),ABS(G486)),0),0)</f>
        <v>0</v>
      </c>
      <c r="I486" s="177">
        <f>+G486+H486</f>
        <v>0</v>
      </c>
      <c r="J486" s="1009"/>
      <c r="K486" s="1010">
        <f>-MIN(ABS(I486),ABS(J488-K485))*SIGN(I486)</f>
        <v>0</v>
      </c>
      <c r="L486" s="1003">
        <f>+K486+H486</f>
        <v>0</v>
      </c>
      <c r="M486" s="177">
        <f>+I486+K486</f>
        <v>0</v>
      </c>
      <c r="N486" s="212"/>
      <c r="Q486" s="167"/>
    </row>
    <row r="487" spans="2:17" ht="13" x14ac:dyDescent="0.25">
      <c r="B487" s="1228">
        <v>2017</v>
      </c>
      <c r="C487" s="1229"/>
      <c r="D487" s="1229"/>
      <c r="E487" s="1230"/>
      <c r="F487" s="283"/>
      <c r="G487" s="177">
        <f>I175</f>
        <v>0</v>
      </c>
      <c r="H487" s="1003">
        <f>IF(SIGN(G487*M480)&lt;0,-SUM(H485:H486),0)</f>
        <v>0</v>
      </c>
      <c r="I487" s="177">
        <f>+G487+H487</f>
        <v>0</v>
      </c>
      <c r="J487" s="1009"/>
      <c r="K487" s="1010">
        <f>-MIN(ABS(I487),ABS(J488-K485-K486))*SIGN(I487)</f>
        <v>0</v>
      </c>
      <c r="L487" s="1003">
        <f>+K487+H487</f>
        <v>0</v>
      </c>
      <c r="M487" s="177">
        <f>+I487+K487</f>
        <v>0</v>
      </c>
      <c r="N487" s="212"/>
      <c r="Q487" s="167"/>
    </row>
    <row r="488" spans="2:17" s="281" customFormat="1" ht="13" x14ac:dyDescent="0.3">
      <c r="G488" s="284">
        <f>SUM(G485:G487)</f>
        <v>0</v>
      </c>
      <c r="H488" s="169">
        <f>SUM(H485:H487)</f>
        <v>0</v>
      </c>
      <c r="I488" s="284">
        <f>SUM(I485:I487)</f>
        <v>0</v>
      </c>
      <c r="J488" s="214">
        <f>-I488*IF($B$7="elektriciteit",0.75,IF($B$7="gas",0.4,"FALSE"))</f>
        <v>0</v>
      </c>
      <c r="K488" s="291">
        <f>SUM(K485:K487)</f>
        <v>0</v>
      </c>
      <c r="L488" s="570"/>
      <c r="M488" s="284">
        <f>SUM(M485:M487)</f>
        <v>0</v>
      </c>
    </row>
    <row r="489" spans="2:17" x14ac:dyDescent="0.25">
      <c r="H489" s="221"/>
      <c r="J489" s="12"/>
      <c r="K489" s="12"/>
      <c r="Q489" s="167"/>
    </row>
    <row r="490" spans="2:17" ht="13" x14ac:dyDescent="0.25">
      <c r="B490" s="281" t="s">
        <v>172</v>
      </c>
      <c r="F490" s="1000">
        <v>2020</v>
      </c>
      <c r="H490" s="221"/>
      <c r="J490" s="12"/>
      <c r="K490" s="12"/>
      <c r="Q490" s="167"/>
    </row>
    <row r="491" spans="2:17" x14ac:dyDescent="0.25">
      <c r="H491" s="221"/>
      <c r="J491" s="12"/>
      <c r="K491" s="12"/>
      <c r="Q491" s="167"/>
    </row>
    <row r="492" spans="2:17" ht="104.15" customHeight="1" x14ac:dyDescent="0.25">
      <c r="B492" s="1231" t="s">
        <v>173</v>
      </c>
      <c r="C492" s="1232"/>
      <c r="D492" s="1232"/>
      <c r="E492" s="1233"/>
      <c r="F492" s="282"/>
      <c r="G492" s="166" t="str">
        <f>"Nog af te bouwen regulatoir saldo einde "&amp;F490-1</f>
        <v>Nog af te bouwen regulatoir saldo einde 2019</v>
      </c>
      <c r="H492" s="166" t="str">
        <f>"Afbouw oudste openstaande regulatoir saldo vanaf boekjaar "&amp;F490-3&amp;" en vroeger, door aanwending van compensatie met regulatoir saldo ontstaan over boekjaar "&amp;F490-2</f>
        <v>Afbouw oudste openstaande regulatoir saldo vanaf boekjaar 2017 en vroeger, door aanwending van compensatie met regulatoir saldo ontstaan over boekjaar 2018</v>
      </c>
      <c r="I492" s="166" t="str">
        <f>"Nog af te bouwen regulatoir saldo na compensatie einde "&amp;F490-1</f>
        <v>Nog af te bouwen regulatoir saldo na compensatie einde 2019</v>
      </c>
      <c r="J492" s="166" t="str">
        <f>"Aanwending van "&amp;IF($B$7="elektriciteit","75%",IF($B$7="gas","40%","FALSE"))&amp;" van het geaccumuleerd regulatoir saldo door te rekenen volgens de tariefmethodologie in het boekjaar "&amp;F490</f>
        <v>Aanwending van 75% van het geaccumuleerd regulatoir saldo door te rekenen volgens de tariefmethodologie in het boekjaar 2020</v>
      </c>
      <c r="K492" s="166" t="str">
        <f>"Aanwending van "&amp;IF($B$7="elektriciteit","75%",IF($B$7="gas","40%","FALSE"))&amp;" van het geaccumuleerd regulatoir saldo door te rekenen volgens de tariefmethodologie in het boekjaar "&amp;F490</f>
        <v>Aanwending van 75% van het geaccumuleerd regulatoir saldo door te rekenen volgens de tariefmethodologie in het boekjaar 2020</v>
      </c>
      <c r="L492" s="166" t="str">
        <f>"Totale afbouw over "&amp;F490</f>
        <v>Totale afbouw over 2020</v>
      </c>
      <c r="M492" s="166" t="str">
        <f>"Nog af te bouwen regulatoir saldo einde "&amp;F490</f>
        <v>Nog af te bouwen regulatoir saldo einde 2020</v>
      </c>
      <c r="N492" s="212"/>
      <c r="Q492" s="167"/>
    </row>
    <row r="493" spans="2:17" ht="13" x14ac:dyDescent="0.25">
      <c r="B493" s="1228">
        <v>2015</v>
      </c>
      <c r="C493" s="1229"/>
      <c r="D493" s="1229"/>
      <c r="E493" s="1230"/>
      <c r="F493" s="283"/>
      <c r="G493" s="177">
        <f>+M485</f>
        <v>0</v>
      </c>
      <c r="H493" s="1003">
        <f>IF(SIGN(G496*M488)&lt;0,IF(G493&lt;&gt;0,-SIGN(G493)*MIN(ABS(G496),ABS(G493)),0),0)</f>
        <v>0</v>
      </c>
      <c r="I493" s="177">
        <f>+G493+H493</f>
        <v>0</v>
      </c>
      <c r="J493" s="1009"/>
      <c r="K493" s="1010">
        <f>-MIN(ABS(I493),ABS(J497))*SIGN(I493)</f>
        <v>0</v>
      </c>
      <c r="L493" s="1003">
        <f>+K493+H493</f>
        <v>0</v>
      </c>
      <c r="M493" s="177">
        <f>+I493+K493</f>
        <v>0</v>
      </c>
      <c r="N493" s="212"/>
      <c r="Q493" s="167"/>
    </row>
    <row r="494" spans="2:17" ht="13" x14ac:dyDescent="0.25">
      <c r="B494" s="1228">
        <v>2016</v>
      </c>
      <c r="C494" s="1229"/>
      <c r="D494" s="1229"/>
      <c r="E494" s="1230"/>
      <c r="F494" s="283"/>
      <c r="G494" s="177">
        <f>+M486</f>
        <v>0</v>
      </c>
      <c r="H494" s="1003">
        <f>IF(SIGN(G496*M488)&lt;0,IF(G494&lt;&gt;0,-SIGN(G494)*MIN(ABS(G496-H493),ABS(G494)),0),0)</f>
        <v>0</v>
      </c>
      <c r="I494" s="177">
        <f>+G494+H494</f>
        <v>0</v>
      </c>
      <c r="J494" s="1009"/>
      <c r="K494" s="1010">
        <f>-MIN(ABS(I494),ABS(J497-K493))*SIGN(I494)</f>
        <v>0</v>
      </c>
      <c r="L494" s="1003">
        <f>+K494+H494</f>
        <v>0</v>
      </c>
      <c r="M494" s="177">
        <f>+I494+K494</f>
        <v>0</v>
      </c>
      <c r="N494" s="212"/>
      <c r="Q494" s="167"/>
    </row>
    <row r="495" spans="2:17" ht="13" x14ac:dyDescent="0.25">
      <c r="B495" s="1228">
        <v>2017</v>
      </c>
      <c r="C495" s="1229"/>
      <c r="D495" s="1229">
        <v>2016</v>
      </c>
      <c r="E495" s="1230"/>
      <c r="F495" s="283"/>
      <c r="G495" s="177">
        <f>+M487</f>
        <v>0</v>
      </c>
      <c r="H495" s="1003">
        <f>IF(SIGN(G496*M488)&lt;0,IF(G495&lt;&gt;0,-SIGN(G495)*MIN(ABS(G496-H493-H494),ABS(G495)),0),0)</f>
        <v>0</v>
      </c>
      <c r="I495" s="177">
        <f>+G495+H495</f>
        <v>0</v>
      </c>
      <c r="J495" s="1009"/>
      <c r="K495" s="1010">
        <f>-MIN(ABS(I495),ABS(J497-K493-K494))*SIGN(I495)</f>
        <v>0</v>
      </c>
      <c r="L495" s="1003">
        <f>+K495+H495</f>
        <v>0</v>
      </c>
      <c r="M495" s="177">
        <f>+I495+K495</f>
        <v>0</v>
      </c>
      <c r="N495" s="212"/>
      <c r="Q495" s="167"/>
    </row>
    <row r="496" spans="2:17" ht="13" x14ac:dyDescent="0.25">
      <c r="B496" s="1228">
        <v>2018</v>
      </c>
      <c r="C496" s="1229"/>
      <c r="D496" s="1229"/>
      <c r="E496" s="1230"/>
      <c r="F496" s="283"/>
      <c r="G496" s="177">
        <f>J176</f>
        <v>0</v>
      </c>
      <c r="H496" s="1003">
        <f>IF(SIGN(G496*M488)&lt;0,-SUM(H493:H495),0)</f>
        <v>0</v>
      </c>
      <c r="I496" s="177">
        <f>+G496+H496</f>
        <v>0</v>
      </c>
      <c r="J496" s="1009"/>
      <c r="K496" s="1010">
        <f>-MIN(ABS(I496),ABS(J497-K493-K494-K495))*SIGN(I496)</f>
        <v>0</v>
      </c>
      <c r="L496" s="1003">
        <f>+K496+H496</f>
        <v>0</v>
      </c>
      <c r="M496" s="177">
        <f>+I496+K496</f>
        <v>0</v>
      </c>
      <c r="N496" s="212"/>
      <c r="Q496" s="167"/>
    </row>
    <row r="497" spans="2:17" s="281" customFormat="1" ht="13" x14ac:dyDescent="0.3">
      <c r="G497" s="284">
        <f>SUM(G493:G496)</f>
        <v>0</v>
      </c>
      <c r="H497" s="169">
        <f>SUM(H493:H496)</f>
        <v>0</v>
      </c>
      <c r="I497" s="284">
        <f>SUM(I493:I496)</f>
        <v>0</v>
      </c>
      <c r="J497" s="214">
        <f>-I497*IF($B$7="elektriciteit",0.75,IF($B$7="gas",0.4,"FALSE"))</f>
        <v>0</v>
      </c>
      <c r="K497" s="291">
        <f>SUM(K493:K496)</f>
        <v>0</v>
      </c>
      <c r="L497" s="169"/>
      <c r="M497" s="284">
        <f>SUM(M493:M496)</f>
        <v>0</v>
      </c>
    </row>
    <row r="498" spans="2:17" x14ac:dyDescent="0.25">
      <c r="H498" s="221"/>
      <c r="Q498" s="167"/>
    </row>
    <row r="499" spans="2:17" ht="13" x14ac:dyDescent="0.25">
      <c r="B499" s="281" t="s">
        <v>172</v>
      </c>
      <c r="F499" s="1000">
        <v>2021</v>
      </c>
      <c r="H499" s="221"/>
      <c r="Q499" s="167"/>
    </row>
    <row r="500" spans="2:17" x14ac:dyDescent="0.25">
      <c r="H500" s="221"/>
      <c r="Q500" s="167"/>
    </row>
    <row r="501" spans="2:17" ht="78" customHeight="1" x14ac:dyDescent="0.25">
      <c r="B501" s="1231" t="s">
        <v>173</v>
      </c>
      <c r="C501" s="1232"/>
      <c r="D501" s="1232"/>
      <c r="E501" s="1233"/>
      <c r="F501" s="282"/>
      <c r="G501" s="166" t="str">
        <f>"Nog af te bouwen regulatoir saldo einde "&amp;F499-1</f>
        <v>Nog af te bouwen regulatoir saldo einde 2020</v>
      </c>
      <c r="H501" s="166" t="str">
        <f>"50% van oorspronkelijk saldo door te rekenen volgens de tariefmethodologie in het boekjaar "&amp;F499</f>
        <v>50% van oorspronkelijk saldo door te rekenen volgens de tariefmethodologie in het boekjaar 2021</v>
      </c>
      <c r="I501" s="166" t="str">
        <f>"Nog af te bouwen regulatoir saldo einde "&amp;F499</f>
        <v>Nog af te bouwen regulatoir saldo einde 2021</v>
      </c>
      <c r="J501" s="212"/>
      <c r="Q501" s="167"/>
    </row>
    <row r="502" spans="2:17" ht="13" x14ac:dyDescent="0.25">
      <c r="B502" s="1228">
        <v>2015</v>
      </c>
      <c r="C502" s="1229"/>
      <c r="D502" s="1229"/>
      <c r="E502" s="1230"/>
      <c r="F502" s="283"/>
      <c r="G502" s="177">
        <f>M493</f>
        <v>0</v>
      </c>
      <c r="H502" s="566">
        <f>-G502*0.5</f>
        <v>0</v>
      </c>
      <c r="I502" s="177">
        <f>+G502+H502</f>
        <v>0</v>
      </c>
      <c r="J502" s="212"/>
      <c r="Q502" s="167"/>
    </row>
    <row r="503" spans="2:17" ht="13" x14ac:dyDescent="0.25">
      <c r="B503" s="1228">
        <v>2016</v>
      </c>
      <c r="C503" s="1229"/>
      <c r="D503" s="1229"/>
      <c r="E503" s="1230"/>
      <c r="F503" s="283"/>
      <c r="G503" s="177">
        <f t="shared" ref="G503:G505" si="67">M494</f>
        <v>0</v>
      </c>
      <c r="H503" s="566">
        <f t="shared" ref="H503:H506" si="68">-G503*0.5</f>
        <v>0</v>
      </c>
      <c r="I503" s="177">
        <f t="shared" ref="I503:I506" si="69">+G503+H503</f>
        <v>0</v>
      </c>
      <c r="J503" s="212"/>
      <c r="Q503" s="167"/>
    </row>
    <row r="504" spans="2:17" ht="13" x14ac:dyDescent="0.25">
      <c r="B504" s="1228">
        <v>2017</v>
      </c>
      <c r="C504" s="1229"/>
      <c r="D504" s="1229">
        <v>2016</v>
      </c>
      <c r="E504" s="1230"/>
      <c r="F504" s="283"/>
      <c r="G504" s="177">
        <f t="shared" si="67"/>
        <v>0</v>
      </c>
      <c r="H504" s="566">
        <f t="shared" si="68"/>
        <v>0</v>
      </c>
      <c r="I504" s="177">
        <f t="shared" si="69"/>
        <v>0</v>
      </c>
      <c r="J504" s="212"/>
      <c r="Q504" s="167"/>
    </row>
    <row r="505" spans="2:17" ht="13" x14ac:dyDescent="0.25">
      <c r="B505" s="1228">
        <v>2018</v>
      </c>
      <c r="C505" s="1229"/>
      <c r="D505" s="1229"/>
      <c r="E505" s="1230"/>
      <c r="F505" s="283"/>
      <c r="G505" s="177">
        <f t="shared" si="67"/>
        <v>0</v>
      </c>
      <c r="H505" s="566">
        <f t="shared" si="68"/>
        <v>0</v>
      </c>
      <c r="I505" s="177">
        <f t="shared" si="69"/>
        <v>0</v>
      </c>
      <c r="J505" s="212"/>
      <c r="Q505" s="167"/>
    </row>
    <row r="506" spans="2:17" ht="13" x14ac:dyDescent="0.25">
      <c r="B506" s="1228">
        <v>2019</v>
      </c>
      <c r="C506" s="1229"/>
      <c r="D506" s="1229"/>
      <c r="E506" s="1230"/>
      <c r="F506" s="283"/>
      <c r="G506" s="177">
        <f>K177</f>
        <v>0</v>
      </c>
      <c r="H506" s="566">
        <f t="shared" si="68"/>
        <v>0</v>
      </c>
      <c r="I506" s="177">
        <f t="shared" si="69"/>
        <v>0</v>
      </c>
      <c r="J506" s="212"/>
      <c r="Q506" s="167"/>
    </row>
    <row r="507" spans="2:17" s="281" customFormat="1" ht="13" x14ac:dyDescent="0.25">
      <c r="G507" s="284">
        <f>SUM(G502:G506)</f>
        <v>0</v>
      </c>
      <c r="H507" s="169">
        <f>SUM(H502:H506)</f>
        <v>0</v>
      </c>
      <c r="I507" s="284">
        <f>SUM(I502:I506)</f>
        <v>0</v>
      </c>
    </row>
    <row r="508" spans="2:17" x14ac:dyDescent="0.25">
      <c r="H508" s="221"/>
      <c r="Q508" s="167"/>
    </row>
    <row r="509" spans="2:17" ht="13" x14ac:dyDescent="0.25">
      <c r="B509" s="847" t="s">
        <v>172</v>
      </c>
      <c r="C509" s="842"/>
      <c r="D509" s="842"/>
      <c r="E509" s="842"/>
      <c r="F509" s="1004">
        <v>2022</v>
      </c>
      <c r="G509" s="842"/>
      <c r="H509" s="855"/>
      <c r="I509" s="842"/>
      <c r="Q509" s="167"/>
    </row>
    <row r="510" spans="2:17" x14ac:dyDescent="0.25">
      <c r="B510" s="842"/>
      <c r="C510" s="842"/>
      <c r="D510" s="842"/>
      <c r="E510" s="842"/>
      <c r="F510" s="842"/>
      <c r="G510" s="842"/>
      <c r="H510" s="855"/>
      <c r="I510" s="842"/>
      <c r="Q510" s="167"/>
    </row>
    <row r="511" spans="2:17" ht="78" customHeight="1" x14ac:dyDescent="0.25">
      <c r="B511" s="1237" t="s">
        <v>173</v>
      </c>
      <c r="C511" s="1238"/>
      <c r="D511" s="1238"/>
      <c r="E511" s="1239"/>
      <c r="F511" s="848"/>
      <c r="G511" s="837" t="str">
        <f>"Nog af te bouwen regulatoir saldo einde "&amp;F509-1</f>
        <v>Nog af te bouwen regulatoir saldo einde 2021</v>
      </c>
      <c r="H511" s="837" t="str">
        <f>"50% van oorspronkelijk saldo door te rekenen volgens de tariefmethodologie in het boekjaar "&amp;F509</f>
        <v>50% van oorspronkelijk saldo door te rekenen volgens de tariefmethodologie in het boekjaar 2022</v>
      </c>
      <c r="I511" s="837" t="str">
        <f>"Nog af te bouwen regulatoir saldo einde "&amp;F509</f>
        <v>Nog af te bouwen regulatoir saldo einde 2022</v>
      </c>
      <c r="J511" s="212"/>
      <c r="Q511" s="167"/>
    </row>
    <row r="512" spans="2:17" ht="13" x14ac:dyDescent="0.25">
      <c r="B512" s="1234">
        <v>2015</v>
      </c>
      <c r="C512" s="1235"/>
      <c r="D512" s="1235"/>
      <c r="E512" s="1236"/>
      <c r="F512" s="341"/>
      <c r="G512" s="339">
        <f>+I502</f>
        <v>0</v>
      </c>
      <c r="H512" s="568">
        <f>-G502*0.5</f>
        <v>0</v>
      </c>
      <c r="I512" s="339">
        <f>+G512+H512</f>
        <v>0</v>
      </c>
      <c r="J512" s="212"/>
      <c r="Q512" s="167"/>
    </row>
    <row r="513" spans="2:17" ht="13" x14ac:dyDescent="0.25">
      <c r="B513" s="1234">
        <v>2016</v>
      </c>
      <c r="C513" s="1235"/>
      <c r="D513" s="1235"/>
      <c r="E513" s="1236"/>
      <c r="F513" s="341"/>
      <c r="G513" s="339">
        <f t="shared" ref="G513:G516" si="70">+I503</f>
        <v>0</v>
      </c>
      <c r="H513" s="568">
        <f t="shared" ref="H513:H516" si="71">-G503*0.5</f>
        <v>0</v>
      </c>
      <c r="I513" s="339">
        <f t="shared" ref="I513:I517" si="72">+G513+H513</f>
        <v>0</v>
      </c>
      <c r="J513" s="212"/>
      <c r="Q513" s="167"/>
    </row>
    <row r="514" spans="2:17" ht="13" x14ac:dyDescent="0.25">
      <c r="B514" s="1234">
        <v>2017</v>
      </c>
      <c r="C514" s="1235"/>
      <c r="D514" s="1235">
        <v>2016</v>
      </c>
      <c r="E514" s="1236"/>
      <c r="F514" s="341"/>
      <c r="G514" s="339">
        <f t="shared" si="70"/>
        <v>0</v>
      </c>
      <c r="H514" s="568">
        <f t="shared" si="71"/>
        <v>0</v>
      </c>
      <c r="I514" s="339">
        <f t="shared" si="72"/>
        <v>0</v>
      </c>
      <c r="J514" s="212"/>
      <c r="Q514" s="167"/>
    </row>
    <row r="515" spans="2:17" ht="13" x14ac:dyDescent="0.25">
      <c r="B515" s="1234">
        <v>2018</v>
      </c>
      <c r="C515" s="1235"/>
      <c r="D515" s="1235"/>
      <c r="E515" s="1236"/>
      <c r="F515" s="341"/>
      <c r="G515" s="339">
        <f t="shared" si="70"/>
        <v>0</v>
      </c>
      <c r="H515" s="568">
        <f t="shared" si="71"/>
        <v>0</v>
      </c>
      <c r="I515" s="339">
        <f t="shared" si="72"/>
        <v>0</v>
      </c>
      <c r="J515" s="212"/>
      <c r="Q515" s="167"/>
    </row>
    <row r="516" spans="2:17" ht="13" x14ac:dyDescent="0.25">
      <c r="B516" s="1234">
        <v>2019</v>
      </c>
      <c r="C516" s="1235"/>
      <c r="D516" s="1235"/>
      <c r="E516" s="1236"/>
      <c r="F516" s="341"/>
      <c r="G516" s="339">
        <f t="shared" si="70"/>
        <v>0</v>
      </c>
      <c r="H516" s="568">
        <f t="shared" si="71"/>
        <v>0</v>
      </c>
      <c r="I516" s="339">
        <f t="shared" si="72"/>
        <v>0</v>
      </c>
      <c r="J516" s="212"/>
      <c r="Q516" s="167"/>
    </row>
    <row r="517" spans="2:17" ht="13" x14ac:dyDescent="0.25">
      <c r="B517" s="1234">
        <v>2020</v>
      </c>
      <c r="C517" s="1235"/>
      <c r="D517" s="1235"/>
      <c r="E517" s="1236"/>
      <c r="F517" s="341"/>
      <c r="G517" s="339">
        <f>L178</f>
        <v>0</v>
      </c>
      <c r="H517" s="568">
        <f t="shared" ref="H517" si="73">-G517*0.5</f>
        <v>0</v>
      </c>
      <c r="I517" s="339">
        <f t="shared" si="72"/>
        <v>0</v>
      </c>
      <c r="J517" s="212"/>
      <c r="Q517" s="167"/>
    </row>
    <row r="518" spans="2:17" s="281" customFormat="1" ht="13" x14ac:dyDescent="0.25">
      <c r="B518" s="847"/>
      <c r="C518" s="847"/>
      <c r="D518" s="847"/>
      <c r="E518" s="847"/>
      <c r="F518" s="847"/>
      <c r="G518" s="849">
        <f>SUM(G512:G517)</f>
        <v>0</v>
      </c>
      <c r="H518" s="856">
        <f t="shared" ref="H518:I518" si="74">SUM(H512:H517)</f>
        <v>0</v>
      </c>
      <c r="I518" s="849">
        <f t="shared" si="74"/>
        <v>0</v>
      </c>
    </row>
    <row r="519" spans="2:17" x14ac:dyDescent="0.25">
      <c r="B519" s="842"/>
      <c r="C519" s="842"/>
      <c r="D519" s="842"/>
      <c r="E519" s="842"/>
      <c r="F519" s="842"/>
      <c r="G519" s="842"/>
      <c r="H519" s="855"/>
      <c r="I519" s="842"/>
      <c r="Q519" s="167"/>
    </row>
    <row r="520" spans="2:17" ht="13" x14ac:dyDescent="0.25">
      <c r="B520" s="847" t="s">
        <v>172</v>
      </c>
      <c r="C520" s="842"/>
      <c r="D520" s="842"/>
      <c r="E520" s="842"/>
      <c r="F520" s="1004">
        <v>2023</v>
      </c>
      <c r="G520" s="842"/>
      <c r="H520" s="855"/>
      <c r="I520" s="842"/>
      <c r="Q520" s="167"/>
    </row>
    <row r="521" spans="2:17" x14ac:dyDescent="0.25">
      <c r="B521" s="842"/>
      <c r="C521" s="842"/>
      <c r="D521" s="842"/>
      <c r="E521" s="842"/>
      <c r="F521" s="842"/>
      <c r="G521" s="842"/>
      <c r="H521" s="855"/>
      <c r="I521" s="842"/>
      <c r="Q521" s="167"/>
    </row>
    <row r="522" spans="2:17" ht="78" customHeight="1" x14ac:dyDescent="0.25">
      <c r="B522" s="1237" t="s">
        <v>173</v>
      </c>
      <c r="C522" s="1238"/>
      <c r="D522" s="1238"/>
      <c r="E522" s="1239"/>
      <c r="F522" s="848"/>
      <c r="G522" s="837" t="str">
        <f>"Nog af te bouwen regulatoir saldo einde "&amp;F520-1</f>
        <v>Nog af te bouwen regulatoir saldo einde 2022</v>
      </c>
      <c r="H522" s="837" t="str">
        <f>"50% van oorspronkelijk saldo door te rekenen volgens de tariefmethodologie in het boekjaar "&amp;F520</f>
        <v>50% van oorspronkelijk saldo door te rekenen volgens de tariefmethodologie in het boekjaar 2023</v>
      </c>
      <c r="I522" s="837" t="str">
        <f>"Nog af te bouwen regulatoir saldo einde "&amp;F520</f>
        <v>Nog af te bouwen regulatoir saldo einde 2023</v>
      </c>
      <c r="J522" s="212"/>
      <c r="Q522" s="167"/>
    </row>
    <row r="523" spans="2:17" ht="13" x14ac:dyDescent="0.25">
      <c r="B523" s="1234">
        <v>2020</v>
      </c>
      <c r="C523" s="1235"/>
      <c r="D523" s="1235"/>
      <c r="E523" s="1236"/>
      <c r="F523" s="341"/>
      <c r="G523" s="339">
        <f>+I517</f>
        <v>0</v>
      </c>
      <c r="H523" s="568">
        <f>-G517*0.5</f>
        <v>0</v>
      </c>
      <c r="I523" s="339">
        <f t="shared" ref="I523" si="75">+G523+H523</f>
        <v>0</v>
      </c>
      <c r="J523" s="212"/>
      <c r="Q523" s="167"/>
    </row>
    <row r="524" spans="2:17" s="281" customFormat="1" ht="13" x14ac:dyDescent="0.25">
      <c r="B524" s="847"/>
      <c r="C524" s="847"/>
      <c r="D524" s="847"/>
      <c r="E524" s="847"/>
      <c r="F524" s="847"/>
      <c r="G524" s="849">
        <f>SUM(G523:G523)</f>
        <v>0</v>
      </c>
      <c r="H524" s="856">
        <f>SUM(H523:H523)</f>
        <v>0</v>
      </c>
      <c r="I524" s="849">
        <f>SUM(I523:I523)</f>
        <v>0</v>
      </c>
    </row>
    <row r="525" spans="2:17" ht="13" x14ac:dyDescent="0.25">
      <c r="B525" s="281" t="s">
        <v>119</v>
      </c>
      <c r="C525" s="224"/>
      <c r="D525" s="224"/>
      <c r="E525" s="224"/>
      <c r="H525" s="221"/>
      <c r="Q525" s="167"/>
    </row>
    <row r="526" spans="2:17" ht="13" x14ac:dyDescent="0.25">
      <c r="B526" s="281" t="s">
        <v>174</v>
      </c>
      <c r="C526" s="224"/>
      <c r="D526" s="224"/>
      <c r="E526" s="224"/>
      <c r="H526" s="221"/>
      <c r="Q526" s="167"/>
    </row>
    <row r="527" spans="2:17" ht="13" x14ac:dyDescent="0.25">
      <c r="B527" s="281"/>
      <c r="C527" s="224"/>
      <c r="D527" s="224"/>
      <c r="E527" s="224"/>
      <c r="H527" s="221"/>
      <c r="Q527" s="167"/>
    </row>
    <row r="528" spans="2:17" ht="13" x14ac:dyDescent="0.25">
      <c r="B528" s="283">
        <v>2021</v>
      </c>
      <c r="C528" s="287">
        <f>+H507</f>
        <v>0</v>
      </c>
      <c r="D528" s="224"/>
      <c r="E528" s="224"/>
      <c r="H528" s="221"/>
      <c r="Q528" s="167"/>
    </row>
    <row r="529" spans="2:17" ht="13" x14ac:dyDescent="0.25">
      <c r="B529" s="341">
        <v>2022</v>
      </c>
      <c r="C529" s="342">
        <f>+H518</f>
        <v>0</v>
      </c>
      <c r="D529" s="224"/>
      <c r="E529" s="224"/>
      <c r="H529" s="221"/>
      <c r="Q529" s="167"/>
    </row>
    <row r="530" spans="2:17" ht="13" x14ac:dyDescent="0.25">
      <c r="B530" s="341">
        <v>2023</v>
      </c>
      <c r="C530" s="342">
        <f>+H524</f>
        <v>0</v>
      </c>
      <c r="D530" s="224"/>
      <c r="E530" s="224"/>
      <c r="H530" s="221"/>
      <c r="Q530" s="167"/>
    </row>
    <row r="531" spans="2:17" ht="13" x14ac:dyDescent="0.25">
      <c r="B531" s="341">
        <v>2024</v>
      </c>
      <c r="C531" s="342">
        <v>0</v>
      </c>
      <c r="D531" s="224"/>
      <c r="E531" s="224"/>
      <c r="H531" s="221"/>
      <c r="Q531" s="167"/>
    </row>
    <row r="532" spans="2:17" x14ac:dyDescent="0.25">
      <c r="H532" s="221"/>
      <c r="Q532" s="167"/>
    </row>
    <row r="533" spans="2:17" x14ac:dyDescent="0.25">
      <c r="H533" s="221"/>
      <c r="Q533" s="167"/>
    </row>
    <row r="534" spans="2:17" ht="13" x14ac:dyDescent="0.25">
      <c r="B534" s="326" t="s">
        <v>118</v>
      </c>
      <c r="C534" s="327"/>
      <c r="D534" s="327"/>
      <c r="E534" s="327"/>
      <c r="F534" s="328"/>
      <c r="G534" s="328"/>
      <c r="H534" s="569"/>
      <c r="I534" s="328"/>
      <c r="J534" s="328"/>
      <c r="K534" s="328"/>
      <c r="L534" s="328"/>
      <c r="M534" s="328"/>
      <c r="Q534" s="167"/>
    </row>
    <row r="535" spans="2:17" x14ac:dyDescent="0.25">
      <c r="H535" s="221"/>
      <c r="Q535" s="167"/>
    </row>
    <row r="536" spans="2:17" ht="13" x14ac:dyDescent="0.25">
      <c r="B536" s="281" t="s">
        <v>172</v>
      </c>
      <c r="F536" s="1000">
        <v>2017</v>
      </c>
      <c r="H536" s="221"/>
      <c r="Q536" s="167"/>
    </row>
    <row r="537" spans="2:17" x14ac:dyDescent="0.25">
      <c r="H537" s="221"/>
      <c r="L537" s="212"/>
      <c r="Q537" s="167"/>
    </row>
    <row r="538" spans="2:17" ht="104.15" customHeight="1" x14ac:dyDescent="0.25">
      <c r="B538" s="1231" t="s">
        <v>173</v>
      </c>
      <c r="C538" s="1232"/>
      <c r="D538" s="1232"/>
      <c r="E538" s="1233"/>
      <c r="F538" s="282"/>
      <c r="G538" s="166" t="str">
        <f>"Nog af te bouwen regulatoir saldo einde "&amp;F536-1</f>
        <v>Nog af te bouwen regulatoir saldo einde 2016</v>
      </c>
      <c r="H538" s="166" t="str">
        <f>"Afbouw oudste openstaande regulatoir saldo vanaf boekjaar "&amp;F536-3&amp;" en vroeger, door aanwending van compensatie met regulatoir saldo ontstaan over boekjaar "&amp;F536-2</f>
        <v>Afbouw oudste openstaande regulatoir saldo vanaf boekjaar 2014 en vroeger, door aanwending van compensatie met regulatoir saldo ontstaan over boekjaar 2015</v>
      </c>
      <c r="I538" s="166" t="str">
        <f>"Nog af te bouwen regulatoir saldo na compensatie einde "&amp;F536-1</f>
        <v>Nog af te bouwen regulatoir saldo na compensatie einde 2016</v>
      </c>
      <c r="J538" s="166" t="str">
        <f>"Aanwending van "&amp;IF($B$7="elektriciteit","75%",IF($B$7="gas","40%","FALSE"))&amp;" van het geaccumuleerd regulatoir saldo door te rekenen volgens de tariefmethodologie in het boekjaar "&amp;F536</f>
        <v>Aanwending van 75% van het geaccumuleerd regulatoir saldo door te rekenen volgens de tariefmethodologie in het boekjaar 2017</v>
      </c>
      <c r="K538" s="166" t="str">
        <f>"Nog af te bouwen regulatoir saldo einde "&amp;F536</f>
        <v>Nog af te bouwen regulatoir saldo einde 2017</v>
      </c>
      <c r="L538" s="212"/>
      <c r="Q538" s="167"/>
    </row>
    <row r="539" spans="2:17" ht="13" x14ac:dyDescent="0.25">
      <c r="B539" s="1228">
        <v>2015</v>
      </c>
      <c r="C539" s="1229"/>
      <c r="D539" s="1229"/>
      <c r="E539" s="1230"/>
      <c r="F539" s="283"/>
      <c r="G539" s="177">
        <f>G184</f>
        <v>0</v>
      </c>
      <c r="H539" s="566">
        <v>0</v>
      </c>
      <c r="I539" s="177">
        <f>+G539+H539</f>
        <v>0</v>
      </c>
      <c r="J539" s="1008">
        <f>-I539*IF($B$7="elektriciteit",0.75,IF($B$7="gas",0.4,"FALSE"))</f>
        <v>0</v>
      </c>
      <c r="K539" s="1001">
        <f>+J539+G539</f>
        <v>0</v>
      </c>
      <c r="L539" s="212"/>
      <c r="Q539" s="167"/>
    </row>
    <row r="540" spans="2:17" x14ac:dyDescent="0.25">
      <c r="H540" s="221"/>
      <c r="L540" s="212"/>
      <c r="Q540" s="167"/>
    </row>
    <row r="541" spans="2:17" ht="13" x14ac:dyDescent="0.25">
      <c r="B541" s="281" t="s">
        <v>172</v>
      </c>
      <c r="F541" s="1000">
        <v>2018</v>
      </c>
      <c r="H541" s="221"/>
      <c r="Q541" s="167"/>
    </row>
    <row r="542" spans="2:17" x14ac:dyDescent="0.25">
      <c r="H542" s="221"/>
      <c r="Q542" s="167"/>
    </row>
    <row r="543" spans="2:17" ht="104.15" customHeight="1" x14ac:dyDescent="0.25">
      <c r="B543" s="1231" t="s">
        <v>173</v>
      </c>
      <c r="C543" s="1232"/>
      <c r="D543" s="1232"/>
      <c r="E543" s="1233"/>
      <c r="F543" s="282"/>
      <c r="G543" s="166" t="str">
        <f>"Nog af te bouwen regulatoir saldo einde "&amp;F541-1</f>
        <v>Nog af te bouwen regulatoir saldo einde 2017</v>
      </c>
      <c r="H543" s="166" t="str">
        <f>"Afbouw oudste openstaande regulatoir saldo vanaf boekjaar "&amp;F541-3&amp;" en vroeger, door aanwending van compensatie met regulatoir saldo ontstaan over boekjaar "&amp;F541-2</f>
        <v>Afbouw oudste openstaande regulatoir saldo vanaf boekjaar 2015 en vroeger, door aanwending van compensatie met regulatoir saldo ontstaan over boekjaar 2016</v>
      </c>
      <c r="I543" s="166" t="str">
        <f>"Nog af te bouwen regulatoir saldo na compensatie einde "&amp;F541-1</f>
        <v>Nog af te bouwen regulatoir saldo na compensatie einde 2017</v>
      </c>
      <c r="J543" s="166" t="str">
        <f>"Aanwending van "&amp;IF($B$7="elektriciteit","75%",IF($B$7="gas","40%","FALSE"))&amp;" van het geaccumuleerd regulatoir saldo door te rekenen volgens de tariefmethodologie in het boekjaar "&amp;F541</f>
        <v>Aanwending van 75% van het geaccumuleerd regulatoir saldo door te rekenen volgens de tariefmethodologie in het boekjaar 2018</v>
      </c>
      <c r="K543" s="166" t="str">
        <f>"Aanwending van "&amp;IF($B$7="elektriciteit","75%",IF($B$7="gas","40%","FALSE"))&amp;" van het geaccumuleerd regulatoir saldo door te rekenen volgens de tariefmethodologie in het boekjaar "&amp;F541</f>
        <v>Aanwending van 75% van het geaccumuleerd regulatoir saldo door te rekenen volgens de tariefmethodologie in het boekjaar 2018</v>
      </c>
      <c r="L543" s="166" t="str">
        <f>"Totale afbouw over "&amp;F541</f>
        <v>Totale afbouw over 2018</v>
      </c>
      <c r="M543" s="166" t="str">
        <f>"Nog af te bouwen regulatoir saldo einde "&amp;F541</f>
        <v>Nog af te bouwen regulatoir saldo einde 2018</v>
      </c>
      <c r="N543" s="212"/>
      <c r="Q543" s="167"/>
    </row>
    <row r="544" spans="2:17" ht="13" x14ac:dyDescent="0.25">
      <c r="B544" s="1228">
        <v>2015</v>
      </c>
      <c r="C544" s="1229"/>
      <c r="D544" s="1229"/>
      <c r="E544" s="1230"/>
      <c r="F544" s="283"/>
      <c r="G544" s="177">
        <f>K539</f>
        <v>0</v>
      </c>
      <c r="H544" s="566">
        <f>IF(SIGN(G545*K539)&lt;0,IF(G544&lt;&gt;0,-SIGN(G544)*MIN(ABS(G545),ABS(G544)),0),0)</f>
        <v>0</v>
      </c>
      <c r="I544" s="177">
        <f>+G544+H544</f>
        <v>0</v>
      </c>
      <c r="J544" s="1009"/>
      <c r="K544" s="1010">
        <f>-MIN(ABS(I544),ABS(J546))*SIGN(I544)</f>
        <v>0</v>
      </c>
      <c r="L544" s="1003">
        <f>+K544+H544</f>
        <v>0</v>
      </c>
      <c r="M544" s="177">
        <f>+I544+K544</f>
        <v>0</v>
      </c>
      <c r="N544" s="212"/>
      <c r="Q544" s="167"/>
    </row>
    <row r="545" spans="2:17" ht="13" x14ac:dyDescent="0.25">
      <c r="B545" s="1228">
        <v>2016</v>
      </c>
      <c r="C545" s="1229"/>
      <c r="D545" s="1229"/>
      <c r="E545" s="1230"/>
      <c r="F545" s="283"/>
      <c r="G545" s="177">
        <f>H185</f>
        <v>0</v>
      </c>
      <c r="H545" s="1003">
        <f>IF(SIGN(G545*K539)&lt;0,-H544,0)</f>
        <v>0</v>
      </c>
      <c r="I545" s="177">
        <f>+G545+H545</f>
        <v>0</v>
      </c>
      <c r="J545" s="1009"/>
      <c r="K545" s="1010">
        <f>-MIN(ABS(I545),ABS(J546-K544))*SIGN(I545)</f>
        <v>0</v>
      </c>
      <c r="L545" s="1003">
        <f>+K545+H545</f>
        <v>0</v>
      </c>
      <c r="M545" s="177">
        <f>+I545+K545</f>
        <v>0</v>
      </c>
      <c r="N545" s="212"/>
      <c r="Q545" s="167"/>
    </row>
    <row r="546" spans="2:17" s="281" customFormat="1" ht="13" x14ac:dyDescent="0.3">
      <c r="G546" s="284">
        <f>SUM(G544:G545)</f>
        <v>0</v>
      </c>
      <c r="H546" s="169">
        <f>SUM(H544:H545)</f>
        <v>0</v>
      </c>
      <c r="I546" s="284">
        <f>SUM(I544:I545)</f>
        <v>0</v>
      </c>
      <c r="J546" s="214">
        <f>-I546*IF($B$7="elektriciteit",0.75,IF($B$7="gas",0.4,"FALSE"))</f>
        <v>0</v>
      </c>
      <c r="K546" s="291">
        <f>SUM(K544:K545)</f>
        <v>0</v>
      </c>
      <c r="L546" s="570"/>
      <c r="M546" s="284">
        <f>SUM(M544:M545)</f>
        <v>0</v>
      </c>
    </row>
    <row r="547" spans="2:17" x14ac:dyDescent="0.25">
      <c r="H547" s="221"/>
      <c r="J547" s="12"/>
      <c r="K547" s="12"/>
      <c r="Q547" s="167"/>
    </row>
    <row r="548" spans="2:17" ht="13" x14ac:dyDescent="0.25">
      <c r="B548" s="281" t="s">
        <v>172</v>
      </c>
      <c r="F548" s="1000">
        <v>2019</v>
      </c>
      <c r="H548" s="221"/>
      <c r="J548" s="12"/>
      <c r="K548" s="12"/>
      <c r="Q548" s="167"/>
    </row>
    <row r="549" spans="2:17" x14ac:dyDescent="0.25">
      <c r="H549" s="221"/>
      <c r="J549" s="12"/>
      <c r="K549" s="12"/>
      <c r="Q549" s="167"/>
    </row>
    <row r="550" spans="2:17" ht="104.15" customHeight="1" x14ac:dyDescent="0.25">
      <c r="B550" s="1231" t="s">
        <v>173</v>
      </c>
      <c r="C550" s="1232"/>
      <c r="D550" s="1232"/>
      <c r="E550" s="1233"/>
      <c r="F550" s="282"/>
      <c r="G550" s="166" t="str">
        <f>"Nog af te bouwen regulatoir saldo einde "&amp;F548-1</f>
        <v>Nog af te bouwen regulatoir saldo einde 2018</v>
      </c>
      <c r="H550" s="166" t="str">
        <f>"Afbouw oudste openstaande regulatoir saldo vanaf boekjaar "&amp;F548-3&amp;" en vroeger, door aanwending van compensatie met regulatoir saldo ontstaan over boekjaar "&amp;F548-2</f>
        <v>Afbouw oudste openstaande regulatoir saldo vanaf boekjaar 2016 en vroeger, door aanwending van compensatie met regulatoir saldo ontstaan over boekjaar 2017</v>
      </c>
      <c r="I550" s="166" t="str">
        <f>"Nog af te bouwen regulatoir saldo na compensatie einde "&amp;F548-1</f>
        <v>Nog af te bouwen regulatoir saldo na compensatie einde 2018</v>
      </c>
      <c r="J550" s="166" t="str">
        <f>"Aanwending van "&amp;IF($B$7="elektriciteit","75%",IF($B$7="gas","40%","FALSE"))&amp;" van het geaccumuleerd regulatoir saldo door te rekenen volgens de tariefmethodologie in het boekjaar "&amp;F548</f>
        <v>Aanwending van 75% van het geaccumuleerd regulatoir saldo door te rekenen volgens de tariefmethodologie in het boekjaar 2019</v>
      </c>
      <c r="K550" s="166" t="str">
        <f>"Aanwending van "&amp;IF($B$7="elektriciteit","75%",IF($B$7="gas","40%","FALSE"))&amp;" van het geaccumuleerd regulatoir saldo door te rekenen volgens de tariefmethodologie in het boekjaar "&amp;F548</f>
        <v>Aanwending van 75% van het geaccumuleerd regulatoir saldo door te rekenen volgens de tariefmethodologie in het boekjaar 2019</v>
      </c>
      <c r="L550" s="166" t="str">
        <f>"Totale afbouw over "&amp;F548</f>
        <v>Totale afbouw over 2019</v>
      </c>
      <c r="M550" s="166" t="str">
        <f>"Nog af te bouwen regulatoir saldo einde "&amp;F548</f>
        <v>Nog af te bouwen regulatoir saldo einde 2019</v>
      </c>
      <c r="N550" s="212"/>
      <c r="Q550" s="167"/>
    </row>
    <row r="551" spans="2:17" ht="13" x14ac:dyDescent="0.25">
      <c r="B551" s="1228">
        <v>2015</v>
      </c>
      <c r="C551" s="1229"/>
      <c r="D551" s="1229"/>
      <c r="E551" s="1230"/>
      <c r="F551" s="283"/>
      <c r="G551" s="177">
        <f>+M544</f>
        <v>0</v>
      </c>
      <c r="H551" s="1003">
        <f>IF(SIGN(G553*M546)&lt;0,IF(G551&lt;&gt;0,-SIGN(G551)*MIN(ABS(G553),ABS(G551)),0),0)</f>
        <v>0</v>
      </c>
      <c r="I551" s="177">
        <f>+G551+H551</f>
        <v>0</v>
      </c>
      <c r="J551" s="1009"/>
      <c r="K551" s="1010">
        <f>-MIN(ABS(I551),ABS(J554))*SIGN(I551)</f>
        <v>0</v>
      </c>
      <c r="L551" s="1003">
        <f>+K551+H551</f>
        <v>0</v>
      </c>
      <c r="M551" s="177">
        <f>+I551+K551</f>
        <v>0</v>
      </c>
      <c r="N551" s="212"/>
      <c r="Q551" s="167"/>
    </row>
    <row r="552" spans="2:17" ht="13" x14ac:dyDescent="0.25">
      <c r="B552" s="1228">
        <v>2016</v>
      </c>
      <c r="C552" s="1229"/>
      <c r="D552" s="1229">
        <v>2016</v>
      </c>
      <c r="E552" s="1230"/>
      <c r="F552" s="283"/>
      <c r="G552" s="177">
        <f>+M545</f>
        <v>0</v>
      </c>
      <c r="H552" s="1003">
        <f>IF(SIGN(G553*M546)&lt;0,IF(G552&lt;&gt;0,-SIGN(G552)*MIN(ABS(G553-H551),ABS(G552)),0),0)</f>
        <v>0</v>
      </c>
      <c r="I552" s="177">
        <f>+G552+H552</f>
        <v>0</v>
      </c>
      <c r="J552" s="1009"/>
      <c r="K552" s="1010">
        <f>-MIN(ABS(I552),ABS(J554-K551))*SIGN(I552)</f>
        <v>0</v>
      </c>
      <c r="L552" s="1003">
        <f>+K552+H552</f>
        <v>0</v>
      </c>
      <c r="M552" s="177">
        <f>+I552+K552</f>
        <v>0</v>
      </c>
      <c r="N552" s="212"/>
      <c r="Q552" s="167"/>
    </row>
    <row r="553" spans="2:17" ht="13" x14ac:dyDescent="0.25">
      <c r="B553" s="1228">
        <v>2017</v>
      </c>
      <c r="C553" s="1229"/>
      <c r="D553" s="1229"/>
      <c r="E553" s="1230"/>
      <c r="F553" s="283"/>
      <c r="G553" s="177">
        <f>I186</f>
        <v>0</v>
      </c>
      <c r="H553" s="1003">
        <f>IF(SIGN(G553*M546)&lt;0,-SUM(H551:H552),0)</f>
        <v>0</v>
      </c>
      <c r="I553" s="177">
        <f>+G553+H553</f>
        <v>0</v>
      </c>
      <c r="J553" s="1009"/>
      <c r="K553" s="1010">
        <f>-MIN(ABS(I553),ABS(J554-K551-K552))*SIGN(I553)</f>
        <v>0</v>
      </c>
      <c r="L553" s="1003">
        <f>+K553+H553</f>
        <v>0</v>
      </c>
      <c r="M553" s="177">
        <f>+I553+K553</f>
        <v>0</v>
      </c>
      <c r="N553" s="212"/>
      <c r="Q553" s="167"/>
    </row>
    <row r="554" spans="2:17" s="281" customFormat="1" ht="13" x14ac:dyDescent="0.3">
      <c r="G554" s="284">
        <f>SUM(G551:G553)</f>
        <v>0</v>
      </c>
      <c r="H554" s="169">
        <f>SUM(H551:H553)</f>
        <v>0</v>
      </c>
      <c r="I554" s="284">
        <f>SUM(I551:I553)</f>
        <v>0</v>
      </c>
      <c r="J554" s="214">
        <f>-I554*IF($B$7="elektriciteit",0.75,IF($B$7="gas",0.4,"FALSE"))</f>
        <v>0</v>
      </c>
      <c r="K554" s="291">
        <f>SUM(K551:K553)</f>
        <v>0</v>
      </c>
      <c r="L554" s="570"/>
      <c r="M554" s="284">
        <f>SUM(M551:M553)</f>
        <v>0</v>
      </c>
    </row>
    <row r="555" spans="2:17" x14ac:dyDescent="0.25">
      <c r="H555" s="221"/>
      <c r="J555" s="12"/>
      <c r="K555" s="12"/>
      <c r="Q555" s="167"/>
    </row>
    <row r="556" spans="2:17" ht="13" x14ac:dyDescent="0.25">
      <c r="B556" s="281" t="s">
        <v>172</v>
      </c>
      <c r="F556" s="1000">
        <v>2020</v>
      </c>
      <c r="H556" s="221"/>
      <c r="J556" s="12"/>
      <c r="K556" s="12"/>
      <c r="Q556" s="167"/>
    </row>
    <row r="557" spans="2:17" x14ac:dyDescent="0.25">
      <c r="H557" s="221"/>
      <c r="J557" s="12"/>
      <c r="K557" s="12"/>
      <c r="Q557" s="167"/>
    </row>
    <row r="558" spans="2:17" ht="104.15" customHeight="1" x14ac:dyDescent="0.25">
      <c r="B558" s="1231" t="s">
        <v>173</v>
      </c>
      <c r="C558" s="1232"/>
      <c r="D558" s="1232"/>
      <c r="E558" s="1233"/>
      <c r="F558" s="282"/>
      <c r="G558" s="166" t="str">
        <f>"Nog af te bouwen regulatoir saldo einde "&amp;F556-1</f>
        <v>Nog af te bouwen regulatoir saldo einde 2019</v>
      </c>
      <c r="H558" s="166" t="str">
        <f>"Afbouw oudste openstaande regulatoir saldo vanaf boekjaar "&amp;F556-3&amp;" en vroeger, door aanwending van compensatie met regulatoir saldo ontstaan over boekjaar "&amp;F556-2</f>
        <v>Afbouw oudste openstaande regulatoir saldo vanaf boekjaar 2017 en vroeger, door aanwending van compensatie met regulatoir saldo ontstaan over boekjaar 2018</v>
      </c>
      <c r="I558" s="166" t="str">
        <f>"Nog af te bouwen regulatoir saldo na compensatie einde "&amp;F556-1</f>
        <v>Nog af te bouwen regulatoir saldo na compensatie einde 2019</v>
      </c>
      <c r="J558" s="166" t="str">
        <f>"Aanwending van "&amp;IF($B$7="elektriciteit","75%",IF($B$7="gas","40%","FALSE"))&amp;" van het geaccumuleerd regulatoir saldo door te rekenen volgens de tariefmethodologie in het boekjaar "&amp;F556</f>
        <v>Aanwending van 75% van het geaccumuleerd regulatoir saldo door te rekenen volgens de tariefmethodologie in het boekjaar 2020</v>
      </c>
      <c r="K558" s="166" t="str">
        <f>"Aanwending van "&amp;IF($B$7="elektriciteit","75%",IF($B$7="gas","40%","FALSE"))&amp;" van het geaccumuleerd regulatoir saldo door te rekenen volgens de tariefmethodologie in het boekjaar "&amp;F556</f>
        <v>Aanwending van 75% van het geaccumuleerd regulatoir saldo door te rekenen volgens de tariefmethodologie in het boekjaar 2020</v>
      </c>
      <c r="L558" s="166" t="str">
        <f>"Totale afbouw over "&amp;F556</f>
        <v>Totale afbouw over 2020</v>
      </c>
      <c r="M558" s="166" t="str">
        <f>"Nog af te bouwen regulatoir saldo einde "&amp;F556</f>
        <v>Nog af te bouwen regulatoir saldo einde 2020</v>
      </c>
      <c r="N558" s="212"/>
      <c r="Q558" s="167"/>
    </row>
    <row r="559" spans="2:17" ht="13" x14ac:dyDescent="0.25">
      <c r="B559" s="1228">
        <v>2015</v>
      </c>
      <c r="C559" s="1229"/>
      <c r="D559" s="1229"/>
      <c r="E559" s="1230"/>
      <c r="F559" s="283"/>
      <c r="G559" s="177">
        <f>+M551</f>
        <v>0</v>
      </c>
      <c r="H559" s="1003">
        <f>IF(SIGN(G562*M554)&lt;0,IF(G559&lt;&gt;0,-SIGN(G559)*MIN(ABS(G562),ABS(G559)),0),0)</f>
        <v>0</v>
      </c>
      <c r="I559" s="177">
        <f>+G559+H559</f>
        <v>0</v>
      </c>
      <c r="J559" s="1009"/>
      <c r="K559" s="1010">
        <f>-MIN(ABS(I559),ABS(J563))*SIGN(I559)</f>
        <v>0</v>
      </c>
      <c r="L559" s="1003">
        <f>+K559+H559</f>
        <v>0</v>
      </c>
      <c r="M559" s="177">
        <f>+I559+K559</f>
        <v>0</v>
      </c>
      <c r="N559" s="212"/>
      <c r="Q559" s="167"/>
    </row>
    <row r="560" spans="2:17" ht="13" x14ac:dyDescent="0.25">
      <c r="B560" s="1228">
        <v>2016</v>
      </c>
      <c r="C560" s="1229"/>
      <c r="D560" s="1229"/>
      <c r="E560" s="1230"/>
      <c r="F560" s="283"/>
      <c r="G560" s="177">
        <f>+M552</f>
        <v>0</v>
      </c>
      <c r="H560" s="1003">
        <f>IF(SIGN(G562*M554)&lt;0,IF(G560&lt;&gt;0,-SIGN(G560)*MIN(ABS(G562-H559),ABS(G560)),0),0)</f>
        <v>0</v>
      </c>
      <c r="I560" s="177">
        <f>+G560+H560</f>
        <v>0</v>
      </c>
      <c r="J560" s="1009"/>
      <c r="K560" s="1010">
        <f>-MIN(ABS(I560),ABS(J563-K559))*SIGN(I560)</f>
        <v>0</v>
      </c>
      <c r="L560" s="1003">
        <f>+K560+H560</f>
        <v>0</v>
      </c>
      <c r="M560" s="177">
        <f>+I560+K560</f>
        <v>0</v>
      </c>
      <c r="N560" s="212"/>
      <c r="Q560" s="167"/>
    </row>
    <row r="561" spans="2:17" ht="13" x14ac:dyDescent="0.25">
      <c r="B561" s="1228">
        <v>2017</v>
      </c>
      <c r="C561" s="1229"/>
      <c r="D561" s="1229">
        <v>2016</v>
      </c>
      <c r="E561" s="1230"/>
      <c r="F561" s="283"/>
      <c r="G561" s="177">
        <f>+M553</f>
        <v>0</v>
      </c>
      <c r="H561" s="1003">
        <f>IF(SIGN(G562*M554)&lt;0,IF(G561&lt;&gt;0,-SIGN(G561)*MIN(ABS(G562-H559-H560),ABS(G561)),0),0)</f>
        <v>0</v>
      </c>
      <c r="I561" s="177">
        <f>+G561+H561</f>
        <v>0</v>
      </c>
      <c r="J561" s="1009"/>
      <c r="K561" s="1010">
        <f>-MIN(ABS(I561),ABS(J563-K559-K560))*SIGN(I561)</f>
        <v>0</v>
      </c>
      <c r="L561" s="1003">
        <f>+K561+H561</f>
        <v>0</v>
      </c>
      <c r="M561" s="177">
        <f>+I561+K561</f>
        <v>0</v>
      </c>
      <c r="N561" s="212"/>
      <c r="Q561" s="167"/>
    </row>
    <row r="562" spans="2:17" ht="13" x14ac:dyDescent="0.25">
      <c r="B562" s="1228">
        <v>2018</v>
      </c>
      <c r="C562" s="1229"/>
      <c r="D562" s="1229"/>
      <c r="E562" s="1230"/>
      <c r="F562" s="283"/>
      <c r="G562" s="177">
        <f>J187</f>
        <v>0</v>
      </c>
      <c r="H562" s="1003">
        <f>IF(SIGN(G562*M554)&lt;0,-SUM(H559:H561),0)</f>
        <v>0</v>
      </c>
      <c r="I562" s="177">
        <f>+G562+H562</f>
        <v>0</v>
      </c>
      <c r="J562" s="1009"/>
      <c r="K562" s="1010">
        <f>-MIN(ABS(I562),ABS(J563-K559-K560-K561))*SIGN(I562)</f>
        <v>0</v>
      </c>
      <c r="L562" s="1003">
        <f>+K562+H562</f>
        <v>0</v>
      </c>
      <c r="M562" s="177">
        <f>+I562+K562</f>
        <v>0</v>
      </c>
      <c r="N562" s="212"/>
      <c r="Q562" s="167"/>
    </row>
    <row r="563" spans="2:17" s="281" customFormat="1" ht="13" x14ac:dyDescent="0.3">
      <c r="G563" s="284">
        <f>SUM(G559:G562)</f>
        <v>0</v>
      </c>
      <c r="H563" s="169">
        <f>SUM(H559:H562)</f>
        <v>0</v>
      </c>
      <c r="I563" s="284">
        <f>SUM(I559:I562)</f>
        <v>0</v>
      </c>
      <c r="J563" s="214">
        <f>-I563*IF($B$7="elektriciteit",0.75,IF($B$7="gas",0.4,"FALSE"))</f>
        <v>0</v>
      </c>
      <c r="K563" s="291">
        <f>SUM(K559:K562)</f>
        <v>0</v>
      </c>
      <c r="L563" s="169"/>
      <c r="M563" s="284">
        <f>SUM(M559:M562)</f>
        <v>0</v>
      </c>
    </row>
    <row r="564" spans="2:17" x14ac:dyDescent="0.25">
      <c r="H564" s="221"/>
      <c r="J564" s="12"/>
      <c r="K564" s="571"/>
      <c r="L564" s="221"/>
      <c r="Q564" s="167"/>
    </row>
    <row r="565" spans="2:17" ht="13" x14ac:dyDescent="0.25">
      <c r="B565" s="281" t="s">
        <v>172</v>
      </c>
      <c r="F565" s="1000">
        <v>2021</v>
      </c>
      <c r="H565" s="221"/>
      <c r="Q565" s="167"/>
    </row>
    <row r="566" spans="2:17" x14ac:dyDescent="0.25">
      <c r="H566" s="221"/>
      <c r="Q566" s="167"/>
    </row>
    <row r="567" spans="2:17" ht="78" customHeight="1" x14ac:dyDescent="0.25">
      <c r="B567" s="1231" t="s">
        <v>173</v>
      </c>
      <c r="C567" s="1232"/>
      <c r="D567" s="1232"/>
      <c r="E567" s="1233"/>
      <c r="F567" s="282"/>
      <c r="G567" s="166" t="str">
        <f>"Nog af te bouwen regulatoir saldo einde "&amp;F565-1</f>
        <v>Nog af te bouwen regulatoir saldo einde 2020</v>
      </c>
      <c r="H567" s="166" t="str">
        <f>"50% van oorspronkelijk saldo door te rekenen volgens de tariefmethodologie in het boekjaar "&amp;F565</f>
        <v>50% van oorspronkelijk saldo door te rekenen volgens de tariefmethodologie in het boekjaar 2021</v>
      </c>
      <c r="I567" s="166" t="str">
        <f>"Nog af te bouwen regulatoir saldo einde "&amp;F565</f>
        <v>Nog af te bouwen regulatoir saldo einde 2021</v>
      </c>
      <c r="J567" s="212"/>
      <c r="Q567" s="167"/>
    </row>
    <row r="568" spans="2:17" ht="13" x14ac:dyDescent="0.25">
      <c r="B568" s="1228">
        <v>2015</v>
      </c>
      <c r="C568" s="1229"/>
      <c r="D568" s="1229"/>
      <c r="E568" s="1230"/>
      <c r="F568" s="283"/>
      <c r="G568" s="177">
        <f>M559</f>
        <v>0</v>
      </c>
      <c r="H568" s="566">
        <f>-G568*0.5</f>
        <v>0</v>
      </c>
      <c r="I568" s="177">
        <f>+G568+H568</f>
        <v>0</v>
      </c>
      <c r="J568" s="212"/>
      <c r="Q568" s="167"/>
    </row>
    <row r="569" spans="2:17" ht="13" x14ac:dyDescent="0.25">
      <c r="B569" s="1228">
        <v>2016</v>
      </c>
      <c r="C569" s="1229"/>
      <c r="D569" s="1229"/>
      <c r="E569" s="1230"/>
      <c r="F569" s="283"/>
      <c r="G569" s="177">
        <f t="shared" ref="G569:G571" si="76">M560</f>
        <v>0</v>
      </c>
      <c r="H569" s="566">
        <f t="shared" ref="H569:H572" si="77">-G569*0.5</f>
        <v>0</v>
      </c>
      <c r="I569" s="177">
        <f t="shared" ref="I569:I572" si="78">+G569+H569</f>
        <v>0</v>
      </c>
      <c r="J569" s="212"/>
      <c r="Q569" s="167"/>
    </row>
    <row r="570" spans="2:17" ht="13" x14ac:dyDescent="0.25">
      <c r="B570" s="1228">
        <v>2017</v>
      </c>
      <c r="C570" s="1229"/>
      <c r="D570" s="1229">
        <v>2016</v>
      </c>
      <c r="E570" s="1230"/>
      <c r="F570" s="283"/>
      <c r="G570" s="177">
        <f t="shared" si="76"/>
        <v>0</v>
      </c>
      <c r="H570" s="566">
        <f t="shared" si="77"/>
        <v>0</v>
      </c>
      <c r="I570" s="177">
        <f t="shared" si="78"/>
        <v>0</v>
      </c>
      <c r="J570" s="212"/>
      <c r="Q570" s="167"/>
    </row>
    <row r="571" spans="2:17" ht="13" x14ac:dyDescent="0.25">
      <c r="B571" s="1228">
        <v>2018</v>
      </c>
      <c r="C571" s="1229"/>
      <c r="D571" s="1229"/>
      <c r="E571" s="1230"/>
      <c r="F571" s="283"/>
      <c r="G571" s="177">
        <f t="shared" si="76"/>
        <v>0</v>
      </c>
      <c r="H571" s="566">
        <f t="shared" si="77"/>
        <v>0</v>
      </c>
      <c r="I571" s="177">
        <f t="shared" si="78"/>
        <v>0</v>
      </c>
      <c r="J571" s="212"/>
      <c r="Q571" s="167"/>
    </row>
    <row r="572" spans="2:17" ht="13" x14ac:dyDescent="0.25">
      <c r="B572" s="1228">
        <v>2019</v>
      </c>
      <c r="C572" s="1229"/>
      <c r="D572" s="1229"/>
      <c r="E572" s="1230"/>
      <c r="F572" s="283"/>
      <c r="G572" s="177">
        <f>K188</f>
        <v>0</v>
      </c>
      <c r="H572" s="566">
        <f t="shared" si="77"/>
        <v>0</v>
      </c>
      <c r="I572" s="177">
        <f t="shared" si="78"/>
        <v>0</v>
      </c>
      <c r="J572" s="212"/>
      <c r="Q572" s="167"/>
    </row>
    <row r="573" spans="2:17" s="281" customFormat="1" ht="13" x14ac:dyDescent="0.25">
      <c r="G573" s="284">
        <f>SUM(G568:G572)</f>
        <v>0</v>
      </c>
      <c r="H573" s="169">
        <f>SUM(H568:H572)</f>
        <v>0</v>
      </c>
      <c r="I573" s="284">
        <f>SUM(I568:I572)</f>
        <v>0</v>
      </c>
    </row>
    <row r="574" spans="2:17" x14ac:dyDescent="0.25">
      <c r="H574" s="221"/>
      <c r="Q574" s="167"/>
    </row>
    <row r="575" spans="2:17" ht="13" x14ac:dyDescent="0.25">
      <c r="B575" s="847" t="s">
        <v>172</v>
      </c>
      <c r="C575" s="842"/>
      <c r="D575" s="842"/>
      <c r="E575" s="842"/>
      <c r="F575" s="1004">
        <v>2022</v>
      </c>
      <c r="G575" s="842"/>
      <c r="H575" s="855"/>
      <c r="I575" s="842"/>
      <c r="Q575" s="167"/>
    </row>
    <row r="576" spans="2:17" x14ac:dyDescent="0.25">
      <c r="B576" s="842"/>
      <c r="C576" s="842"/>
      <c r="D576" s="842"/>
      <c r="E576" s="842"/>
      <c r="F576" s="842"/>
      <c r="G576" s="842"/>
      <c r="H576" s="855"/>
      <c r="I576" s="842"/>
      <c r="Q576" s="167"/>
    </row>
    <row r="577" spans="2:17" ht="78" customHeight="1" x14ac:dyDescent="0.25">
      <c r="B577" s="1237" t="s">
        <v>173</v>
      </c>
      <c r="C577" s="1238"/>
      <c r="D577" s="1238"/>
      <c r="E577" s="1239"/>
      <c r="F577" s="848"/>
      <c r="G577" s="837" t="str">
        <f>"Nog af te bouwen regulatoir saldo einde "&amp;F575-1</f>
        <v>Nog af te bouwen regulatoir saldo einde 2021</v>
      </c>
      <c r="H577" s="837" t="str">
        <f>"50% van oorspronkelijk saldo door te rekenen volgens de tariefmethodologie in het boekjaar "&amp;F575</f>
        <v>50% van oorspronkelijk saldo door te rekenen volgens de tariefmethodologie in het boekjaar 2022</v>
      </c>
      <c r="I577" s="837" t="str">
        <f>"Nog af te bouwen regulatoir saldo einde "&amp;F575</f>
        <v>Nog af te bouwen regulatoir saldo einde 2022</v>
      </c>
      <c r="J577" s="212"/>
      <c r="Q577" s="167"/>
    </row>
    <row r="578" spans="2:17" ht="13" x14ac:dyDescent="0.25">
      <c r="B578" s="1234">
        <v>2015</v>
      </c>
      <c r="C578" s="1235"/>
      <c r="D578" s="1235"/>
      <c r="E578" s="1236"/>
      <c r="F578" s="341"/>
      <c r="G578" s="339">
        <f>+I568</f>
        <v>0</v>
      </c>
      <c r="H578" s="568">
        <f>-G568*0.5</f>
        <v>0</v>
      </c>
      <c r="I578" s="339">
        <f>+G578+H578</f>
        <v>0</v>
      </c>
      <c r="J578" s="212"/>
      <c r="Q578" s="167"/>
    </row>
    <row r="579" spans="2:17" ht="13" x14ac:dyDescent="0.25">
      <c r="B579" s="1234">
        <v>2016</v>
      </c>
      <c r="C579" s="1235"/>
      <c r="D579" s="1235"/>
      <c r="E579" s="1236"/>
      <c r="F579" s="341"/>
      <c r="G579" s="339">
        <f t="shared" ref="G579:G582" si="79">+I569</f>
        <v>0</v>
      </c>
      <c r="H579" s="568">
        <f t="shared" ref="H579:H582" si="80">-G569*0.5</f>
        <v>0</v>
      </c>
      <c r="I579" s="339">
        <f t="shared" ref="I579:I583" si="81">+G579+H579</f>
        <v>0</v>
      </c>
      <c r="J579" s="212"/>
      <c r="Q579" s="167"/>
    </row>
    <row r="580" spans="2:17" ht="13" x14ac:dyDescent="0.25">
      <c r="B580" s="1234">
        <v>2017</v>
      </c>
      <c r="C580" s="1235"/>
      <c r="D580" s="1235">
        <v>2016</v>
      </c>
      <c r="E580" s="1236"/>
      <c r="F580" s="341"/>
      <c r="G580" s="339">
        <f t="shared" si="79"/>
        <v>0</v>
      </c>
      <c r="H580" s="568">
        <f t="shared" si="80"/>
        <v>0</v>
      </c>
      <c r="I580" s="339">
        <f t="shared" si="81"/>
        <v>0</v>
      </c>
      <c r="J580" s="212"/>
      <c r="Q580" s="167"/>
    </row>
    <row r="581" spans="2:17" ht="13" x14ac:dyDescent="0.25">
      <c r="B581" s="1234">
        <v>2018</v>
      </c>
      <c r="C581" s="1235"/>
      <c r="D581" s="1235"/>
      <c r="E581" s="1236"/>
      <c r="F581" s="341"/>
      <c r="G581" s="339">
        <f t="shared" si="79"/>
        <v>0</v>
      </c>
      <c r="H581" s="568">
        <f t="shared" si="80"/>
        <v>0</v>
      </c>
      <c r="I581" s="339">
        <f t="shared" si="81"/>
        <v>0</v>
      </c>
      <c r="J581" s="212"/>
      <c r="Q581" s="167"/>
    </row>
    <row r="582" spans="2:17" ht="13" x14ac:dyDescent="0.25">
      <c r="B582" s="1234">
        <v>2019</v>
      </c>
      <c r="C582" s="1235"/>
      <c r="D582" s="1235"/>
      <c r="E582" s="1236"/>
      <c r="F582" s="341"/>
      <c r="G582" s="339">
        <f t="shared" si="79"/>
        <v>0</v>
      </c>
      <c r="H582" s="568">
        <f t="shared" si="80"/>
        <v>0</v>
      </c>
      <c r="I582" s="339">
        <f t="shared" si="81"/>
        <v>0</v>
      </c>
      <c r="J582" s="212"/>
      <c r="Q582" s="167"/>
    </row>
    <row r="583" spans="2:17" ht="13" x14ac:dyDescent="0.25">
      <c r="B583" s="1234">
        <v>2020</v>
      </c>
      <c r="C583" s="1235"/>
      <c r="D583" s="1235"/>
      <c r="E583" s="1236"/>
      <c r="F583" s="341"/>
      <c r="G583" s="339">
        <f>L189</f>
        <v>0</v>
      </c>
      <c r="H583" s="568">
        <f t="shared" ref="H583" si="82">-G583*0.5</f>
        <v>0</v>
      </c>
      <c r="I583" s="339">
        <f t="shared" si="81"/>
        <v>0</v>
      </c>
      <c r="J583" s="212"/>
      <c r="Q583" s="167"/>
    </row>
    <row r="584" spans="2:17" s="281" customFormat="1" ht="13" x14ac:dyDescent="0.25">
      <c r="B584" s="847"/>
      <c r="C584" s="847"/>
      <c r="D584" s="847"/>
      <c r="E584" s="847"/>
      <c r="F584" s="847"/>
      <c r="G584" s="849">
        <f>SUM(G578:G583)</f>
        <v>0</v>
      </c>
      <c r="H584" s="856">
        <f t="shared" ref="H584:I584" si="83">SUM(H578:H583)</f>
        <v>0</v>
      </c>
      <c r="I584" s="849">
        <f t="shared" si="83"/>
        <v>0</v>
      </c>
    </row>
    <row r="585" spans="2:17" x14ac:dyDescent="0.25">
      <c r="B585" s="842"/>
      <c r="C585" s="842"/>
      <c r="D585" s="842"/>
      <c r="E585" s="842"/>
      <c r="F585" s="842"/>
      <c r="G585" s="842"/>
      <c r="H585" s="855"/>
      <c r="I585" s="842"/>
      <c r="Q585" s="167"/>
    </row>
    <row r="586" spans="2:17" ht="13" x14ac:dyDescent="0.25">
      <c r="B586" s="847" t="s">
        <v>241</v>
      </c>
      <c r="C586" s="842"/>
      <c r="D586" s="842"/>
      <c r="E586" s="842"/>
      <c r="F586" s="1004">
        <v>2023</v>
      </c>
      <c r="G586" s="842"/>
      <c r="H586" s="855"/>
      <c r="I586" s="842"/>
      <c r="Q586" s="167"/>
    </row>
    <row r="587" spans="2:17" x14ac:dyDescent="0.25">
      <c r="B587" s="842"/>
      <c r="C587" s="842"/>
      <c r="D587" s="842"/>
      <c r="E587" s="842"/>
      <c r="F587" s="842"/>
      <c r="G587" s="842"/>
      <c r="H587" s="855"/>
      <c r="I587" s="842"/>
      <c r="Q587" s="167"/>
    </row>
    <row r="588" spans="2:17" ht="78" customHeight="1" x14ac:dyDescent="0.25">
      <c r="B588" s="1237" t="s">
        <v>173</v>
      </c>
      <c r="C588" s="1238"/>
      <c r="D588" s="1238"/>
      <c r="E588" s="1239"/>
      <c r="F588" s="848"/>
      <c r="G588" s="837" t="str">
        <f>"Nog af te bouwen regulatoir saldo einde "&amp;F586-1</f>
        <v>Nog af te bouwen regulatoir saldo einde 2022</v>
      </c>
      <c r="H588" s="837" t="str">
        <f>"50% van oorspronkelijk saldo door te rekenen volgens de tariefmethodologie in het boekjaar "&amp;F586</f>
        <v>50% van oorspronkelijk saldo door te rekenen volgens de tariefmethodologie in het boekjaar 2023</v>
      </c>
      <c r="I588" s="837" t="str">
        <f>"Nog af te bouwen regulatoir saldo einde "&amp;F586</f>
        <v>Nog af te bouwen regulatoir saldo einde 2023</v>
      </c>
      <c r="J588" s="212"/>
      <c r="Q588" s="167"/>
    </row>
    <row r="589" spans="2:17" ht="13" x14ac:dyDescent="0.25">
      <c r="B589" s="1234">
        <v>2020</v>
      </c>
      <c r="C589" s="1235"/>
      <c r="D589" s="1235"/>
      <c r="E589" s="1236"/>
      <c r="F589" s="341"/>
      <c r="G589" s="339">
        <f>+I583</f>
        <v>0</v>
      </c>
      <c r="H589" s="568">
        <f>-G583*0.5</f>
        <v>0</v>
      </c>
      <c r="I589" s="339">
        <f t="shared" ref="I589:I590" si="84">+G589+H589</f>
        <v>0</v>
      </c>
      <c r="J589" s="212"/>
      <c r="Q589" s="167"/>
    </row>
    <row r="590" spans="2:17" ht="13" x14ac:dyDescent="0.25">
      <c r="B590" s="1234">
        <v>2021</v>
      </c>
      <c r="C590" s="1235"/>
      <c r="D590" s="1235"/>
      <c r="E590" s="1236"/>
      <c r="F590" s="341"/>
      <c r="G590" s="339">
        <f>M190</f>
        <v>0</v>
      </c>
      <c r="H590" s="568">
        <f t="shared" ref="H590" si="85">-G590*0.5</f>
        <v>0</v>
      </c>
      <c r="I590" s="339">
        <f t="shared" si="84"/>
        <v>0</v>
      </c>
      <c r="J590" s="212"/>
      <c r="Q590" s="167"/>
    </row>
    <row r="591" spans="2:17" s="281" customFormat="1" ht="13" x14ac:dyDescent="0.25">
      <c r="B591" s="847"/>
      <c r="C591" s="847"/>
      <c r="D591" s="847"/>
      <c r="E591" s="847"/>
      <c r="F591" s="847"/>
      <c r="G591" s="849">
        <f>SUM(G589:G590)</f>
        <v>0</v>
      </c>
      <c r="H591" s="856">
        <f>SUM(H589:H590)</f>
        <v>0</v>
      </c>
      <c r="I591" s="849">
        <f>SUM(I589:I590)</f>
        <v>0</v>
      </c>
    </row>
    <row r="592" spans="2:17" x14ac:dyDescent="0.25">
      <c r="B592" s="842"/>
      <c r="C592" s="842"/>
      <c r="D592" s="842"/>
      <c r="E592" s="842"/>
      <c r="F592" s="842"/>
      <c r="G592" s="842"/>
      <c r="H592" s="855"/>
      <c r="I592" s="842"/>
      <c r="Q592" s="167"/>
    </row>
    <row r="593" spans="2:17" ht="13" x14ac:dyDescent="0.25">
      <c r="B593" s="847" t="s">
        <v>172</v>
      </c>
      <c r="C593" s="842"/>
      <c r="D593" s="842"/>
      <c r="E593" s="842"/>
      <c r="F593" s="1004">
        <v>2024</v>
      </c>
      <c r="G593" s="842"/>
      <c r="H593" s="855"/>
      <c r="I593" s="842"/>
      <c r="Q593" s="167"/>
    </row>
    <row r="594" spans="2:17" x14ac:dyDescent="0.25">
      <c r="B594" s="842"/>
      <c r="C594" s="842"/>
      <c r="D594" s="842"/>
      <c r="E594" s="842"/>
      <c r="F594" s="842"/>
      <c r="G594" s="842"/>
      <c r="H594" s="855"/>
      <c r="I594" s="842"/>
      <c r="Q594" s="167"/>
    </row>
    <row r="595" spans="2:17" ht="78" customHeight="1" x14ac:dyDescent="0.25">
      <c r="B595" s="1237" t="s">
        <v>173</v>
      </c>
      <c r="C595" s="1238"/>
      <c r="D595" s="1238"/>
      <c r="E595" s="1239"/>
      <c r="F595" s="848"/>
      <c r="G595" s="837" t="str">
        <f>"Nog af te bouwen regulatoir saldo einde "&amp;F593-1</f>
        <v>Nog af te bouwen regulatoir saldo einde 2023</v>
      </c>
      <c r="H595" s="837" t="str">
        <f>"50% van oorspronkelijk saldo door te rekenen volgens de tariefmethodologie in het boekjaar "&amp;F593</f>
        <v>50% van oorspronkelijk saldo door te rekenen volgens de tariefmethodologie in het boekjaar 2024</v>
      </c>
      <c r="I595" s="837" t="str">
        <f>"Nog af te bouwen regulatoir saldo einde "&amp;F593</f>
        <v>Nog af te bouwen regulatoir saldo einde 2024</v>
      </c>
      <c r="J595" s="212"/>
      <c r="Q595" s="167"/>
    </row>
    <row r="596" spans="2:17" ht="13" x14ac:dyDescent="0.25">
      <c r="B596" s="1234">
        <v>2021</v>
      </c>
      <c r="C596" s="1235"/>
      <c r="D596" s="1235"/>
      <c r="E596" s="1236"/>
      <c r="F596" s="341"/>
      <c r="G596" s="339">
        <f>+I590</f>
        <v>0</v>
      </c>
      <c r="H596" s="568">
        <f>-G590*0.5</f>
        <v>0</v>
      </c>
      <c r="I596" s="339">
        <f t="shared" ref="I596:I597" si="86">+G596+H596</f>
        <v>0</v>
      </c>
      <c r="J596" s="212"/>
      <c r="Q596" s="167"/>
    </row>
    <row r="597" spans="2:17" ht="13" x14ac:dyDescent="0.25">
      <c r="B597" s="1234">
        <v>2022</v>
      </c>
      <c r="C597" s="1235"/>
      <c r="D597" s="1235"/>
      <c r="E597" s="1236"/>
      <c r="F597" s="341"/>
      <c r="G597" s="339">
        <f>N191</f>
        <v>0</v>
      </c>
      <c r="H597" s="568">
        <f t="shared" ref="H597" si="87">-G597*0.5</f>
        <v>0</v>
      </c>
      <c r="I597" s="339">
        <f t="shared" si="86"/>
        <v>0</v>
      </c>
      <c r="J597" s="212"/>
      <c r="Q597" s="167"/>
    </row>
    <row r="598" spans="2:17" s="281" customFormat="1" ht="13" x14ac:dyDescent="0.25">
      <c r="B598" s="847"/>
      <c r="C598" s="847"/>
      <c r="D598" s="847"/>
      <c r="E598" s="847"/>
      <c r="F598" s="847"/>
      <c r="G598" s="849">
        <f>SUM(G596:G597)</f>
        <v>0</v>
      </c>
      <c r="H598" s="856">
        <f>SUM(H596:H597)</f>
        <v>0</v>
      </c>
      <c r="I598" s="849">
        <f>SUM(I596:I597)</f>
        <v>0</v>
      </c>
    </row>
    <row r="599" spans="2:17" x14ac:dyDescent="0.25">
      <c r="H599" s="221"/>
      <c r="Q599" s="167"/>
    </row>
    <row r="600" spans="2:17" ht="13" x14ac:dyDescent="0.25">
      <c r="B600" s="281" t="s">
        <v>118</v>
      </c>
      <c r="C600" s="224"/>
      <c r="D600" s="224"/>
      <c r="E600" s="224"/>
      <c r="H600" s="221"/>
      <c r="Q600" s="167"/>
    </row>
    <row r="601" spans="2:17" ht="13" x14ac:dyDescent="0.25">
      <c r="B601" s="281" t="s">
        <v>174</v>
      </c>
      <c r="C601" s="224"/>
      <c r="D601" s="224"/>
      <c r="E601" s="224"/>
      <c r="H601" s="221"/>
      <c r="Q601" s="167"/>
    </row>
    <row r="602" spans="2:17" ht="13" x14ac:dyDescent="0.25">
      <c r="B602" s="281"/>
      <c r="C602" s="224"/>
      <c r="D602" s="224"/>
      <c r="E602" s="224"/>
      <c r="H602" s="221"/>
      <c r="Q602" s="167"/>
    </row>
    <row r="603" spans="2:17" ht="13" x14ac:dyDescent="0.25">
      <c r="B603" s="283">
        <v>2021</v>
      </c>
      <c r="C603" s="287">
        <f>+H573</f>
        <v>0</v>
      </c>
      <c r="D603" s="224"/>
      <c r="E603" s="224"/>
      <c r="H603" s="221"/>
      <c r="Q603" s="167"/>
    </row>
    <row r="604" spans="2:17" ht="13" x14ac:dyDescent="0.25">
      <c r="B604" s="341">
        <v>2022</v>
      </c>
      <c r="C604" s="342">
        <f>+H584</f>
        <v>0</v>
      </c>
      <c r="D604" s="224"/>
      <c r="E604" s="224"/>
      <c r="H604" s="221"/>
      <c r="Q604" s="167"/>
    </row>
    <row r="605" spans="2:17" ht="13" x14ac:dyDescent="0.25">
      <c r="B605" s="341">
        <v>2023</v>
      </c>
      <c r="C605" s="342">
        <f>+H591</f>
        <v>0</v>
      </c>
      <c r="D605" s="224"/>
      <c r="E605" s="224"/>
      <c r="H605" s="221"/>
      <c r="Q605" s="167"/>
    </row>
    <row r="606" spans="2:17" ht="13" x14ac:dyDescent="0.25">
      <c r="B606" s="341">
        <v>2024</v>
      </c>
      <c r="C606" s="342">
        <f>+H598</f>
        <v>0</v>
      </c>
      <c r="D606" s="224"/>
      <c r="E606" s="224"/>
      <c r="H606" s="221"/>
      <c r="Q606" s="167"/>
    </row>
    <row r="607" spans="2:17" x14ac:dyDescent="0.25">
      <c r="H607" s="221"/>
      <c r="Q607" s="167"/>
    </row>
    <row r="608" spans="2:17" x14ac:dyDescent="0.25">
      <c r="H608" s="221"/>
      <c r="Q608" s="167"/>
    </row>
    <row r="609" spans="2:17" ht="12.75" customHeight="1" x14ac:dyDescent="0.25">
      <c r="B609" s="326" t="s">
        <v>68</v>
      </c>
      <c r="C609" s="327"/>
      <c r="D609" s="327"/>
      <c r="E609" s="327"/>
      <c r="F609" s="328"/>
      <c r="G609" s="328"/>
      <c r="H609" s="569"/>
      <c r="I609" s="328"/>
      <c r="J609" s="328"/>
      <c r="K609" s="328"/>
      <c r="L609" s="328"/>
      <c r="M609" s="328"/>
      <c r="Q609" s="167"/>
    </row>
    <row r="610" spans="2:17" x14ac:dyDescent="0.25">
      <c r="H610" s="221"/>
      <c r="Q610" s="167"/>
    </row>
    <row r="611" spans="2:17" ht="13" x14ac:dyDescent="0.25">
      <c r="B611" s="281" t="s">
        <v>172</v>
      </c>
      <c r="F611" s="1000">
        <v>2017</v>
      </c>
      <c r="H611" s="221"/>
      <c r="Q611" s="167"/>
    </row>
    <row r="612" spans="2:17" x14ac:dyDescent="0.25">
      <c r="H612" s="221"/>
      <c r="L612" s="212"/>
      <c r="Q612" s="167"/>
    </row>
    <row r="613" spans="2:17" ht="104.15" customHeight="1" x14ac:dyDescent="0.25">
      <c r="B613" s="1231" t="s">
        <v>173</v>
      </c>
      <c r="C613" s="1232"/>
      <c r="D613" s="1232"/>
      <c r="E613" s="1233"/>
      <c r="F613" s="282"/>
      <c r="G613" s="166" t="str">
        <f>"Nog af te bouwen regulatoir saldo einde "&amp;F611-1</f>
        <v>Nog af te bouwen regulatoir saldo einde 2016</v>
      </c>
      <c r="H613" s="166" t="str">
        <f>"Afbouw oudste openstaande regulatoir saldo vanaf boekjaar "&amp;F611-3&amp;" en vroeger, door aanwending van compensatie met regulatoir saldo ontstaan over boekjaar "&amp;F611-2</f>
        <v>Afbouw oudste openstaande regulatoir saldo vanaf boekjaar 2014 en vroeger, door aanwending van compensatie met regulatoir saldo ontstaan over boekjaar 2015</v>
      </c>
      <c r="I613" s="166" t="str">
        <f>"Nog af te bouwen regulatoir saldo na compensatie einde "&amp;F611-1</f>
        <v>Nog af te bouwen regulatoir saldo na compensatie einde 2016</v>
      </c>
      <c r="J613" s="166" t="str">
        <f>"Aanwending van "&amp;IF($B$7="elektriciteit","75%",IF($B$7="gas","40%","FALSE"))&amp;" van het geaccumuleerd regulatoir saldo door te rekenen volgens de tariefmethodologie in het boekjaar "&amp;F611</f>
        <v>Aanwending van 75% van het geaccumuleerd regulatoir saldo door te rekenen volgens de tariefmethodologie in het boekjaar 2017</v>
      </c>
      <c r="K613" s="166" t="str">
        <f>"Nog af te bouwen regulatoir saldo einde "&amp;F611</f>
        <v>Nog af te bouwen regulatoir saldo einde 2017</v>
      </c>
      <c r="L613" s="212"/>
      <c r="Q613" s="167"/>
    </row>
    <row r="614" spans="2:17" ht="13" x14ac:dyDescent="0.25">
      <c r="B614" s="1228">
        <v>2015</v>
      </c>
      <c r="C614" s="1229"/>
      <c r="D614" s="1229"/>
      <c r="E614" s="1230"/>
      <c r="F614" s="283"/>
      <c r="G614" s="177">
        <f>G195</f>
        <v>0</v>
      </c>
      <c r="H614" s="566">
        <v>0</v>
      </c>
      <c r="I614" s="177">
        <f>+G614+H614</f>
        <v>0</v>
      </c>
      <c r="J614" s="177">
        <f>-I614*IF($B$7="elektriciteit",0.75,IF($B$7="gas",0.4,"FALSE"))</f>
        <v>0</v>
      </c>
      <c r="K614" s="1001">
        <f>+J614+G614</f>
        <v>0</v>
      </c>
      <c r="L614" s="212"/>
      <c r="Q614" s="167"/>
    </row>
    <row r="615" spans="2:17" x14ac:dyDescent="0.25">
      <c r="H615" s="221"/>
      <c r="L615" s="212"/>
      <c r="Q615" s="167"/>
    </row>
    <row r="616" spans="2:17" ht="13" x14ac:dyDescent="0.25">
      <c r="B616" s="281" t="s">
        <v>172</v>
      </c>
      <c r="F616" s="1000">
        <v>2018</v>
      </c>
      <c r="H616" s="221"/>
      <c r="Q616" s="167"/>
    </row>
    <row r="617" spans="2:17" x14ac:dyDescent="0.25">
      <c r="H617" s="221"/>
      <c r="Q617" s="167"/>
    </row>
    <row r="618" spans="2:17" ht="104.15" customHeight="1" x14ac:dyDescent="0.25">
      <c r="B618" s="1231" t="s">
        <v>173</v>
      </c>
      <c r="C618" s="1232"/>
      <c r="D618" s="1232"/>
      <c r="E618" s="1233"/>
      <c r="F618" s="282"/>
      <c r="G618" s="166" t="str">
        <f>"Nog af te bouwen regulatoir saldo einde "&amp;F616-1</f>
        <v>Nog af te bouwen regulatoir saldo einde 2017</v>
      </c>
      <c r="H618" s="166" t="str">
        <f>"Afbouw oudste openstaande regulatoir saldo vanaf boekjaar "&amp;F616-3&amp;" en vroeger, door aanwending van compensatie met regulatoir saldo ontstaan over boekjaar "&amp;F616-2</f>
        <v>Afbouw oudste openstaande regulatoir saldo vanaf boekjaar 2015 en vroeger, door aanwending van compensatie met regulatoir saldo ontstaan over boekjaar 2016</v>
      </c>
      <c r="I618" s="166" t="str">
        <f>"Nog af te bouwen regulatoir saldo na compensatie einde "&amp;F616-1</f>
        <v>Nog af te bouwen regulatoir saldo na compensatie einde 2017</v>
      </c>
      <c r="J618" s="166" t="str">
        <f>"Aanwending van "&amp;IF($B$7="elektriciteit","75%",IF($B$7="gas","40%","FALSE"))&amp;" van het geaccumuleerd regulatoir saldo door te rekenen volgens de tariefmethodologie in het boekjaar "&amp;F616</f>
        <v>Aanwending van 75% van het geaccumuleerd regulatoir saldo door te rekenen volgens de tariefmethodologie in het boekjaar 2018</v>
      </c>
      <c r="K618" s="166" t="str">
        <f>"Aanwending van "&amp;IF($B$7="elektriciteit","75%",IF($B$7="gas","40%","FALSE"))&amp;" van het geaccumuleerd regulatoir saldo door te rekenen volgens de tariefmethodologie in het boekjaar "&amp;F616</f>
        <v>Aanwending van 75% van het geaccumuleerd regulatoir saldo door te rekenen volgens de tariefmethodologie in het boekjaar 2018</v>
      </c>
      <c r="L618" s="166" t="str">
        <f>"Totale afbouw over "&amp;F616</f>
        <v>Totale afbouw over 2018</v>
      </c>
      <c r="M618" s="166" t="str">
        <f>"Nog af te bouwen regulatoir saldo einde "&amp;F616</f>
        <v>Nog af te bouwen regulatoir saldo einde 2018</v>
      </c>
      <c r="N618" s="212"/>
      <c r="Q618" s="167"/>
    </row>
    <row r="619" spans="2:17" ht="13" x14ac:dyDescent="0.25">
      <c r="B619" s="1228">
        <v>2015</v>
      </c>
      <c r="C619" s="1229"/>
      <c r="D619" s="1229"/>
      <c r="E619" s="1230"/>
      <c r="F619" s="283"/>
      <c r="G619" s="177">
        <f>K614</f>
        <v>0</v>
      </c>
      <c r="H619" s="566">
        <f>IF(SIGN(G620*K614)&lt;0,IF(G619&lt;&gt;0,-SIGN(G619)*MIN(ABS(G620),ABS(G619)),0),0)</f>
        <v>0</v>
      </c>
      <c r="I619" s="177">
        <f>+G619+H619</f>
        <v>0</v>
      </c>
      <c r="J619" s="995"/>
      <c r="K619" s="566">
        <f>-MIN(ABS(I619),ABS(J621))*SIGN(I619)</f>
        <v>0</v>
      </c>
      <c r="L619" s="1003">
        <f>+K619+H619</f>
        <v>0</v>
      </c>
      <c r="M619" s="177">
        <f>+I619+K619</f>
        <v>0</v>
      </c>
      <c r="N619" s="212"/>
      <c r="Q619" s="167"/>
    </row>
    <row r="620" spans="2:17" ht="13" x14ac:dyDescent="0.25">
      <c r="B620" s="1228">
        <v>2016</v>
      </c>
      <c r="C620" s="1229"/>
      <c r="D620" s="1229"/>
      <c r="E620" s="1230"/>
      <c r="F620" s="283"/>
      <c r="G620" s="177">
        <f>H196</f>
        <v>0</v>
      </c>
      <c r="H620" s="1003">
        <f>IF(SIGN(G620*K614)&lt;0,-H619,0)</f>
        <v>0</v>
      </c>
      <c r="I620" s="177">
        <f>+G620+H620</f>
        <v>0</v>
      </c>
      <c r="J620" s="995"/>
      <c r="K620" s="566">
        <f>-MIN(ABS(I620),ABS(J621-K619))*SIGN(I620)</f>
        <v>0</v>
      </c>
      <c r="L620" s="1003">
        <f>+K620+H620</f>
        <v>0</v>
      </c>
      <c r="M620" s="177">
        <f>+I620+K620</f>
        <v>0</v>
      </c>
      <c r="N620" s="212"/>
      <c r="Q620" s="167"/>
    </row>
    <row r="621" spans="2:17" s="281" customFormat="1" ht="13" x14ac:dyDescent="0.25">
      <c r="G621" s="284">
        <f>SUM(G619:G620)</f>
        <v>0</v>
      </c>
      <c r="H621" s="169">
        <f>SUM(H619:H620)</f>
        <v>0</v>
      </c>
      <c r="I621" s="284">
        <f>SUM(I619:I620)</f>
        <v>0</v>
      </c>
      <c r="J621" s="284">
        <f>-I621*IF($B$7="elektriciteit",0.75,IF($B$7="gas",0.4,"FALSE"))</f>
        <v>0</v>
      </c>
      <c r="K621" s="169">
        <f>SUM(K619:K620)</f>
        <v>0</v>
      </c>
      <c r="L621" s="570"/>
      <c r="M621" s="284">
        <f>SUM(M619:M620)</f>
        <v>0</v>
      </c>
    </row>
    <row r="622" spans="2:17" x14ac:dyDescent="0.25">
      <c r="H622" s="221"/>
      <c r="K622" s="221"/>
      <c r="L622" s="221"/>
      <c r="Q622" s="167"/>
    </row>
    <row r="623" spans="2:17" ht="13" x14ac:dyDescent="0.25">
      <c r="B623" s="281" t="s">
        <v>172</v>
      </c>
      <c r="F623" s="1000">
        <v>2019</v>
      </c>
      <c r="H623" s="221"/>
      <c r="Q623" s="167"/>
    </row>
    <row r="624" spans="2:17" x14ac:dyDescent="0.25">
      <c r="H624" s="221"/>
      <c r="Q624" s="167"/>
    </row>
    <row r="625" spans="2:17" ht="104.15" customHeight="1" x14ac:dyDescent="0.25">
      <c r="B625" s="1231" t="s">
        <v>173</v>
      </c>
      <c r="C625" s="1232"/>
      <c r="D625" s="1232"/>
      <c r="E625" s="1233"/>
      <c r="F625" s="282"/>
      <c r="G625" s="166" t="str">
        <f>"Nog af te bouwen regulatoir saldo einde "&amp;F623-1</f>
        <v>Nog af te bouwen regulatoir saldo einde 2018</v>
      </c>
      <c r="H625" s="166" t="str">
        <f>"Afbouw oudste openstaande regulatoir saldo vanaf boekjaar "&amp;F623-3&amp;" en vroeger, door aanwending van compensatie met regulatoir saldo ontstaan over boekjaar "&amp;F623-2</f>
        <v>Afbouw oudste openstaande regulatoir saldo vanaf boekjaar 2016 en vroeger, door aanwending van compensatie met regulatoir saldo ontstaan over boekjaar 2017</v>
      </c>
      <c r="I625" s="166" t="str">
        <f>"Nog af te bouwen regulatoir saldo na compensatie einde "&amp;F623-1</f>
        <v>Nog af te bouwen regulatoir saldo na compensatie einde 2018</v>
      </c>
      <c r="J625" s="166" t="str">
        <f>"Aanwending van "&amp;IF($B$7="elektriciteit","75%",IF($B$7="gas","40%","FALSE"))&amp;" van het geaccumuleerd regulatoir saldo door te rekenen volgens de tariefmethodologie in het boekjaar "&amp;F623</f>
        <v>Aanwending van 75% van het geaccumuleerd regulatoir saldo door te rekenen volgens de tariefmethodologie in het boekjaar 2019</v>
      </c>
      <c r="K625" s="166" t="str">
        <f>"Aanwending van "&amp;IF($B$7="elektriciteit","75%",IF($B$7="gas","40%","FALSE"))&amp;" van het geaccumuleerd regulatoir saldo door te rekenen volgens de tariefmethodologie in het boekjaar "&amp;F623</f>
        <v>Aanwending van 75% van het geaccumuleerd regulatoir saldo door te rekenen volgens de tariefmethodologie in het boekjaar 2019</v>
      </c>
      <c r="L625" s="166" t="str">
        <f>"Totale afbouw over "&amp;F623</f>
        <v>Totale afbouw over 2019</v>
      </c>
      <c r="M625" s="166" t="str">
        <f>"Nog af te bouwen regulatoir saldo einde "&amp;F623</f>
        <v>Nog af te bouwen regulatoir saldo einde 2019</v>
      </c>
      <c r="N625" s="212"/>
      <c r="Q625" s="167"/>
    </row>
    <row r="626" spans="2:17" ht="13" x14ac:dyDescent="0.25">
      <c r="B626" s="1228">
        <v>2015</v>
      </c>
      <c r="C626" s="1229"/>
      <c r="D626" s="1229"/>
      <c r="E626" s="1230"/>
      <c r="F626" s="283"/>
      <c r="G626" s="177">
        <f>+M619</f>
        <v>0</v>
      </c>
      <c r="H626" s="1003">
        <f>IF(SIGN(G628*M621)&lt;0,IF(G626&lt;&gt;0,-SIGN(G626)*MIN(ABS(G628),ABS(G626)),0),0)</f>
        <v>0</v>
      </c>
      <c r="I626" s="177">
        <f>+G626+H626</f>
        <v>0</v>
      </c>
      <c r="J626" s="995"/>
      <c r="K626" s="566">
        <f>-MIN(ABS(I626),ABS(J629))*SIGN(I626)</f>
        <v>0</v>
      </c>
      <c r="L626" s="1003">
        <f>+K626+H626</f>
        <v>0</v>
      </c>
      <c r="M626" s="177">
        <f>+I626+K626</f>
        <v>0</v>
      </c>
      <c r="N626" s="212"/>
      <c r="Q626" s="167"/>
    </row>
    <row r="627" spans="2:17" ht="13" x14ac:dyDescent="0.25">
      <c r="B627" s="1228">
        <v>2016</v>
      </c>
      <c r="C627" s="1229"/>
      <c r="D627" s="1229">
        <v>2016</v>
      </c>
      <c r="E627" s="1230"/>
      <c r="F627" s="283"/>
      <c r="G627" s="177">
        <f>+M620</f>
        <v>0</v>
      </c>
      <c r="H627" s="1003">
        <f>IF(SIGN(G628*M621)&lt;0,IF(G627&lt;&gt;0,-SIGN(G627)*MIN(ABS(G628-H626),ABS(G627)),0),0)</f>
        <v>0</v>
      </c>
      <c r="I627" s="177">
        <f>+G627+H627</f>
        <v>0</v>
      </c>
      <c r="J627" s="995"/>
      <c r="K627" s="566">
        <f>-MIN(ABS(I627),ABS(J629-K626))*SIGN(I627)</f>
        <v>0</v>
      </c>
      <c r="L627" s="1003">
        <f>+K627+H627</f>
        <v>0</v>
      </c>
      <c r="M627" s="177">
        <f>+I627+K627</f>
        <v>0</v>
      </c>
      <c r="N627" s="212"/>
      <c r="Q627" s="167"/>
    </row>
    <row r="628" spans="2:17" ht="13" x14ac:dyDescent="0.25">
      <c r="B628" s="1228">
        <v>2017</v>
      </c>
      <c r="C628" s="1229"/>
      <c r="D628" s="1229"/>
      <c r="E628" s="1230"/>
      <c r="F628" s="283"/>
      <c r="G628" s="177">
        <f>I197</f>
        <v>0</v>
      </c>
      <c r="H628" s="1003">
        <f>IF(SIGN(G628*M621)&lt;0,-SUM(H626:H627),0)</f>
        <v>0</v>
      </c>
      <c r="I628" s="177">
        <f>+G628+H628</f>
        <v>0</v>
      </c>
      <c r="J628" s="995"/>
      <c r="K628" s="566">
        <f>-MIN(ABS(I628),ABS(J629-K626-K627))*SIGN(I628)</f>
        <v>0</v>
      </c>
      <c r="L628" s="1003">
        <f>+K628+H628</f>
        <v>0</v>
      </c>
      <c r="M628" s="177">
        <f>+I628+K628</f>
        <v>0</v>
      </c>
      <c r="N628" s="212"/>
      <c r="Q628" s="167"/>
    </row>
    <row r="629" spans="2:17" s="281" customFormat="1" ht="13" x14ac:dyDescent="0.25">
      <c r="G629" s="284">
        <f>SUM(G626:G628)</f>
        <v>0</v>
      </c>
      <c r="H629" s="169">
        <f>SUM(H626:H628)</f>
        <v>0</v>
      </c>
      <c r="I629" s="284">
        <f>SUM(I626:I628)</f>
        <v>0</v>
      </c>
      <c r="J629" s="284">
        <f>-I629*IF($B$7="elektriciteit",0.75,IF($B$7="gas",0.4,"FALSE"))</f>
        <v>0</v>
      </c>
      <c r="K629" s="169">
        <f>SUM(K626:K628)</f>
        <v>0</v>
      </c>
      <c r="L629" s="570"/>
      <c r="M629" s="284">
        <f>SUM(M626:M628)</f>
        <v>0</v>
      </c>
    </row>
    <row r="630" spans="2:17" x14ac:dyDescent="0.25">
      <c r="H630" s="221"/>
      <c r="K630" s="221"/>
      <c r="L630" s="221"/>
      <c r="Q630" s="167"/>
    </row>
    <row r="631" spans="2:17" ht="13" x14ac:dyDescent="0.25">
      <c r="B631" s="281" t="s">
        <v>172</v>
      </c>
      <c r="F631" s="1000">
        <v>2020</v>
      </c>
      <c r="H631" s="221"/>
      <c r="Q631" s="167"/>
    </row>
    <row r="632" spans="2:17" x14ac:dyDescent="0.25">
      <c r="H632" s="221"/>
      <c r="Q632" s="167"/>
    </row>
    <row r="633" spans="2:17" ht="104.15" customHeight="1" x14ac:dyDescent="0.25">
      <c r="B633" s="1231" t="s">
        <v>173</v>
      </c>
      <c r="C633" s="1232"/>
      <c r="D633" s="1232"/>
      <c r="E633" s="1233"/>
      <c r="F633" s="282"/>
      <c r="G633" s="166" t="str">
        <f>"Nog af te bouwen regulatoir saldo einde "&amp;F631-1</f>
        <v>Nog af te bouwen regulatoir saldo einde 2019</v>
      </c>
      <c r="H633" s="166" t="str">
        <f>"Afbouw oudste openstaande regulatoir saldo vanaf boekjaar "&amp;F631-3&amp;" en vroeger, door aanwending van compensatie met regulatoir saldo ontstaan over boekjaar "&amp;F631-2</f>
        <v>Afbouw oudste openstaande regulatoir saldo vanaf boekjaar 2017 en vroeger, door aanwending van compensatie met regulatoir saldo ontstaan over boekjaar 2018</v>
      </c>
      <c r="I633" s="166" t="str">
        <f>"Nog af te bouwen regulatoir saldo na compensatie einde "&amp;F631-1</f>
        <v>Nog af te bouwen regulatoir saldo na compensatie einde 2019</v>
      </c>
      <c r="J633" s="166" t="str">
        <f>"Aanwending van "&amp;IF($B$7="elektriciteit","75%",IF($B$7="gas","40%","FALSE"))&amp;" van het geaccumuleerd regulatoir saldo door te rekenen volgens de tariefmethodologie in het boekjaar "&amp;F631</f>
        <v>Aanwending van 75% van het geaccumuleerd regulatoir saldo door te rekenen volgens de tariefmethodologie in het boekjaar 2020</v>
      </c>
      <c r="K633" s="166" t="str">
        <f>"Aanwending van "&amp;IF($B$7="elektriciteit","75%",IF($B$7="gas","40%","FALSE"))&amp;" van het geaccumuleerd regulatoir saldo door te rekenen volgens de tariefmethodologie in het boekjaar "&amp;F631</f>
        <v>Aanwending van 75% van het geaccumuleerd regulatoir saldo door te rekenen volgens de tariefmethodologie in het boekjaar 2020</v>
      </c>
      <c r="L633" s="166" t="str">
        <f>"Totale afbouw over "&amp;F631</f>
        <v>Totale afbouw over 2020</v>
      </c>
      <c r="M633" s="166" t="str">
        <f>"Nog af te bouwen regulatoir saldo einde "&amp;F631</f>
        <v>Nog af te bouwen regulatoir saldo einde 2020</v>
      </c>
      <c r="N633" s="212"/>
      <c r="Q633" s="167"/>
    </row>
    <row r="634" spans="2:17" ht="13" x14ac:dyDescent="0.25">
      <c r="B634" s="1228">
        <v>2015</v>
      </c>
      <c r="C634" s="1229"/>
      <c r="D634" s="1229"/>
      <c r="E634" s="1230"/>
      <c r="F634" s="283"/>
      <c r="G634" s="177">
        <f>+M626</f>
        <v>0</v>
      </c>
      <c r="H634" s="1003">
        <f>IF(SIGN(G637*M629)&lt;0,IF(G634&lt;&gt;0,-SIGN(G634)*MIN(ABS(G637),ABS(G634)),0),0)</f>
        <v>0</v>
      </c>
      <c r="I634" s="177">
        <f>+G634+H634</f>
        <v>0</v>
      </c>
      <c r="J634" s="995"/>
      <c r="K634" s="566">
        <f>-MIN(ABS(I634),ABS(J638))*SIGN(I634)</f>
        <v>0</v>
      </c>
      <c r="L634" s="1003">
        <f>+K634+H634</f>
        <v>0</v>
      </c>
      <c r="M634" s="177">
        <f>+I634+K634</f>
        <v>0</v>
      </c>
      <c r="N634" s="212"/>
      <c r="Q634" s="167"/>
    </row>
    <row r="635" spans="2:17" ht="13" x14ac:dyDescent="0.25">
      <c r="B635" s="1228">
        <v>2016</v>
      </c>
      <c r="C635" s="1229"/>
      <c r="D635" s="1229"/>
      <c r="E635" s="1230"/>
      <c r="F635" s="283"/>
      <c r="G635" s="177">
        <f>+M627</f>
        <v>0</v>
      </c>
      <c r="H635" s="1003">
        <f>IF(SIGN(G637*M629)&lt;0,IF(G635&lt;&gt;0,-SIGN(G635)*MIN(ABS(G637-H634),ABS(G635)),0),0)</f>
        <v>0</v>
      </c>
      <c r="I635" s="177">
        <f>+G635+H635</f>
        <v>0</v>
      </c>
      <c r="J635" s="995"/>
      <c r="K635" s="566">
        <f>-MIN(ABS(I635),ABS(J638-K634))*SIGN(I635)</f>
        <v>0</v>
      </c>
      <c r="L635" s="1003">
        <f>+K635+H635</f>
        <v>0</v>
      </c>
      <c r="M635" s="177">
        <f>+I635+K635</f>
        <v>0</v>
      </c>
      <c r="N635" s="212"/>
      <c r="Q635" s="167"/>
    </row>
    <row r="636" spans="2:17" ht="13" x14ac:dyDescent="0.25">
      <c r="B636" s="1228">
        <v>2017</v>
      </c>
      <c r="C636" s="1229"/>
      <c r="D636" s="1229">
        <v>2016</v>
      </c>
      <c r="E636" s="1230"/>
      <c r="F636" s="283"/>
      <c r="G636" s="177">
        <f>+M628</f>
        <v>0</v>
      </c>
      <c r="H636" s="1003">
        <f>IF(SIGN(G637*M629)&lt;0,IF(G636&lt;&gt;0,-SIGN(G636)*MIN(ABS(G637-H634-H635),ABS(G636)),0),0)</f>
        <v>0</v>
      </c>
      <c r="I636" s="177">
        <f>+G636+H636</f>
        <v>0</v>
      </c>
      <c r="J636" s="995"/>
      <c r="K636" s="566">
        <f>-MIN(ABS(I636),ABS(J638-K634-K635))*SIGN(I636)</f>
        <v>0</v>
      </c>
      <c r="L636" s="1003">
        <f>+K636+H636</f>
        <v>0</v>
      </c>
      <c r="M636" s="177">
        <f>+I636+K636</f>
        <v>0</v>
      </c>
      <c r="N636" s="212"/>
      <c r="Q636" s="167"/>
    </row>
    <row r="637" spans="2:17" ht="13" x14ac:dyDescent="0.25">
      <c r="B637" s="1228">
        <v>2018</v>
      </c>
      <c r="C637" s="1229"/>
      <c r="D637" s="1229"/>
      <c r="E637" s="1230"/>
      <c r="F637" s="283"/>
      <c r="G637" s="177">
        <f>J198</f>
        <v>0</v>
      </c>
      <c r="H637" s="1003">
        <f>IF(SIGN(G637*M629)&lt;0,-SUM(H634:H636),0)</f>
        <v>0</v>
      </c>
      <c r="I637" s="177">
        <f>+G637+H637</f>
        <v>0</v>
      </c>
      <c r="J637" s="995"/>
      <c r="K637" s="566">
        <f>-MIN(ABS(I637),ABS(J638-K634-K635-K636))*SIGN(I637)</f>
        <v>0</v>
      </c>
      <c r="L637" s="1003">
        <f>+K637+H637</f>
        <v>0</v>
      </c>
      <c r="M637" s="177">
        <f>+I637+K637</f>
        <v>0</v>
      </c>
      <c r="N637" s="212"/>
      <c r="Q637" s="167"/>
    </row>
    <row r="638" spans="2:17" s="281" customFormat="1" ht="13" x14ac:dyDescent="0.25">
      <c r="G638" s="284">
        <f>SUM(G634:G637)</f>
        <v>0</v>
      </c>
      <c r="H638" s="169">
        <f>SUM(H634:H637)</f>
        <v>0</v>
      </c>
      <c r="I638" s="284">
        <f>SUM(I634:I637)</f>
        <v>0</v>
      </c>
      <c r="J638" s="284">
        <f>-I638*IF($B$7="elektriciteit",0.75,IF($B$7="gas",0.4,"FALSE"))</f>
        <v>0</v>
      </c>
      <c r="K638" s="169">
        <f>SUM(K634:K637)</f>
        <v>0</v>
      </c>
      <c r="L638" s="169"/>
      <c r="M638" s="284">
        <f>SUM(M634:M637)</f>
        <v>0</v>
      </c>
    </row>
    <row r="639" spans="2:17" x14ac:dyDescent="0.25">
      <c r="H639" s="221"/>
      <c r="Q639" s="167"/>
    </row>
    <row r="640" spans="2:17" ht="13" x14ac:dyDescent="0.25">
      <c r="B640" s="281" t="s">
        <v>172</v>
      </c>
      <c r="F640" s="1000">
        <v>2021</v>
      </c>
      <c r="H640" s="221"/>
      <c r="Q640" s="167"/>
    </row>
    <row r="641" spans="2:17" x14ac:dyDescent="0.25">
      <c r="H641" s="221"/>
      <c r="Q641" s="167"/>
    </row>
    <row r="642" spans="2:17" ht="78" customHeight="1" x14ac:dyDescent="0.25">
      <c r="B642" s="1231" t="s">
        <v>173</v>
      </c>
      <c r="C642" s="1232"/>
      <c r="D642" s="1232"/>
      <c r="E642" s="1233"/>
      <c r="F642" s="282"/>
      <c r="G642" s="166" t="str">
        <f>"Nog af te bouwen regulatoir saldo einde "&amp;F640-1</f>
        <v>Nog af te bouwen regulatoir saldo einde 2020</v>
      </c>
      <c r="H642" s="166" t="str">
        <f>"50% van oorspronkelijk saldo door te rekenen volgens de tariefmethodologie in het boekjaar "&amp;F640</f>
        <v>50% van oorspronkelijk saldo door te rekenen volgens de tariefmethodologie in het boekjaar 2021</v>
      </c>
      <c r="I642" s="166" t="str">
        <f>"Nog af te bouwen regulatoir saldo einde "&amp;F640</f>
        <v>Nog af te bouwen regulatoir saldo einde 2021</v>
      </c>
      <c r="J642" s="212"/>
      <c r="Q642" s="167"/>
    </row>
    <row r="643" spans="2:17" ht="13" x14ac:dyDescent="0.25">
      <c r="B643" s="1228">
        <v>2015</v>
      </c>
      <c r="C643" s="1229"/>
      <c r="D643" s="1229"/>
      <c r="E643" s="1230"/>
      <c r="F643" s="283"/>
      <c r="G643" s="177">
        <f>M634</f>
        <v>0</v>
      </c>
      <c r="H643" s="566">
        <f>-G643*0.5</f>
        <v>0</v>
      </c>
      <c r="I643" s="177">
        <f>+G643+H643</f>
        <v>0</v>
      </c>
      <c r="J643" s="212"/>
      <c r="Q643" s="167"/>
    </row>
    <row r="644" spans="2:17" ht="13" x14ac:dyDescent="0.25">
      <c r="B644" s="1228">
        <v>2016</v>
      </c>
      <c r="C644" s="1229"/>
      <c r="D644" s="1229"/>
      <c r="E644" s="1230"/>
      <c r="F644" s="283"/>
      <c r="G644" s="177">
        <f t="shared" ref="G644:G646" si="88">M635</f>
        <v>0</v>
      </c>
      <c r="H644" s="566">
        <f t="shared" ref="H644:H647" si="89">-G644*0.5</f>
        <v>0</v>
      </c>
      <c r="I644" s="177">
        <f t="shared" ref="I644:I647" si="90">+G644+H644</f>
        <v>0</v>
      </c>
      <c r="J644" s="212"/>
      <c r="Q644" s="167"/>
    </row>
    <row r="645" spans="2:17" ht="13" x14ac:dyDescent="0.25">
      <c r="B645" s="1228">
        <v>2017</v>
      </c>
      <c r="C645" s="1229"/>
      <c r="D645" s="1229">
        <v>2016</v>
      </c>
      <c r="E645" s="1230"/>
      <c r="F645" s="283"/>
      <c r="G645" s="177">
        <f t="shared" si="88"/>
        <v>0</v>
      </c>
      <c r="H645" s="566">
        <f t="shared" si="89"/>
        <v>0</v>
      </c>
      <c r="I645" s="177">
        <f t="shared" si="90"/>
        <v>0</v>
      </c>
      <c r="J645" s="212"/>
      <c r="Q645" s="167"/>
    </row>
    <row r="646" spans="2:17" ht="13" x14ac:dyDescent="0.25">
      <c r="B646" s="1228">
        <v>2018</v>
      </c>
      <c r="C646" s="1229"/>
      <c r="D646" s="1229"/>
      <c r="E646" s="1230"/>
      <c r="F646" s="283"/>
      <c r="G646" s="177">
        <f t="shared" si="88"/>
        <v>0</v>
      </c>
      <c r="H646" s="566">
        <f t="shared" si="89"/>
        <v>0</v>
      </c>
      <c r="I646" s="177">
        <f t="shared" si="90"/>
        <v>0</v>
      </c>
      <c r="J646" s="212"/>
      <c r="Q646" s="167"/>
    </row>
    <row r="647" spans="2:17" ht="13" x14ac:dyDescent="0.25">
      <c r="B647" s="1228">
        <v>2019</v>
      </c>
      <c r="C647" s="1229"/>
      <c r="D647" s="1229"/>
      <c r="E647" s="1230"/>
      <c r="F647" s="283"/>
      <c r="G647" s="177">
        <f>K199</f>
        <v>0</v>
      </c>
      <c r="H647" s="566">
        <f t="shared" si="89"/>
        <v>0</v>
      </c>
      <c r="I647" s="177">
        <f t="shared" si="90"/>
        <v>0</v>
      </c>
      <c r="J647" s="212"/>
      <c r="Q647" s="167"/>
    </row>
    <row r="648" spans="2:17" s="281" customFormat="1" ht="13" x14ac:dyDescent="0.25">
      <c r="G648" s="284">
        <f>SUM(G643:G647)</f>
        <v>0</v>
      </c>
      <c r="H648" s="169">
        <f>SUM(H643:H647)</f>
        <v>0</v>
      </c>
      <c r="I648" s="284">
        <f>SUM(I643:I647)</f>
        <v>0</v>
      </c>
    </row>
    <row r="649" spans="2:17" x14ac:dyDescent="0.25">
      <c r="H649" s="221"/>
      <c r="Q649" s="167"/>
    </row>
    <row r="650" spans="2:17" ht="13" x14ac:dyDescent="0.25">
      <c r="B650" s="847" t="s">
        <v>172</v>
      </c>
      <c r="C650" s="842"/>
      <c r="D650" s="842"/>
      <c r="E650" s="842"/>
      <c r="F650" s="1004">
        <v>2022</v>
      </c>
      <c r="G650" s="842"/>
      <c r="H650" s="855"/>
      <c r="I650" s="842"/>
      <c r="Q650" s="167"/>
    </row>
    <row r="651" spans="2:17" x14ac:dyDescent="0.25">
      <c r="B651" s="842"/>
      <c r="C651" s="842"/>
      <c r="D651" s="842"/>
      <c r="E651" s="842"/>
      <c r="F651" s="842"/>
      <c r="G651" s="842"/>
      <c r="H651" s="855"/>
      <c r="I651" s="842"/>
      <c r="Q651" s="167"/>
    </row>
    <row r="652" spans="2:17" ht="78" customHeight="1" x14ac:dyDescent="0.25">
      <c r="B652" s="1237" t="s">
        <v>173</v>
      </c>
      <c r="C652" s="1238"/>
      <c r="D652" s="1238"/>
      <c r="E652" s="1239"/>
      <c r="F652" s="848"/>
      <c r="G652" s="837" t="str">
        <f>"Nog af te bouwen regulatoir saldo einde "&amp;F650-1</f>
        <v>Nog af te bouwen regulatoir saldo einde 2021</v>
      </c>
      <c r="H652" s="837" t="str">
        <f>"50% van oorspronkelijk saldo door te rekenen volgens de tariefmethodologie in het boekjaar "&amp;F650</f>
        <v>50% van oorspronkelijk saldo door te rekenen volgens de tariefmethodologie in het boekjaar 2022</v>
      </c>
      <c r="I652" s="837" t="str">
        <f>"Nog af te bouwen regulatoir saldo einde "&amp;F650</f>
        <v>Nog af te bouwen regulatoir saldo einde 2022</v>
      </c>
      <c r="J652" s="212"/>
      <c r="Q652" s="167"/>
    </row>
    <row r="653" spans="2:17" ht="13" x14ac:dyDescent="0.25">
      <c r="B653" s="1234">
        <v>2015</v>
      </c>
      <c r="C653" s="1235"/>
      <c r="D653" s="1235"/>
      <c r="E653" s="1236"/>
      <c r="F653" s="341"/>
      <c r="G653" s="339">
        <f>+I643</f>
        <v>0</v>
      </c>
      <c r="H653" s="568">
        <f>-G643*0.5</f>
        <v>0</v>
      </c>
      <c r="I653" s="339">
        <f>+G653+H653</f>
        <v>0</v>
      </c>
      <c r="J653" s="212"/>
      <c r="Q653" s="167"/>
    </row>
    <row r="654" spans="2:17" ht="13" x14ac:dyDescent="0.25">
      <c r="B654" s="1234">
        <v>2016</v>
      </c>
      <c r="C654" s="1235"/>
      <c r="D654" s="1235"/>
      <c r="E654" s="1236"/>
      <c r="F654" s="341"/>
      <c r="G654" s="339">
        <f t="shared" ref="G654:G657" si="91">+I644</f>
        <v>0</v>
      </c>
      <c r="H654" s="568">
        <f t="shared" ref="H654:H657" si="92">-G644*0.5</f>
        <v>0</v>
      </c>
      <c r="I654" s="339">
        <f t="shared" ref="I654:I658" si="93">+G654+H654</f>
        <v>0</v>
      </c>
      <c r="J654" s="212"/>
      <c r="Q654" s="167"/>
    </row>
    <row r="655" spans="2:17" ht="13" x14ac:dyDescent="0.25">
      <c r="B655" s="1234">
        <v>2017</v>
      </c>
      <c r="C655" s="1235"/>
      <c r="D655" s="1235">
        <v>2016</v>
      </c>
      <c r="E655" s="1236"/>
      <c r="F655" s="341"/>
      <c r="G655" s="339">
        <f t="shared" si="91"/>
        <v>0</v>
      </c>
      <c r="H655" s="568">
        <f t="shared" si="92"/>
        <v>0</v>
      </c>
      <c r="I655" s="339">
        <f t="shared" si="93"/>
        <v>0</v>
      </c>
      <c r="J655" s="212"/>
      <c r="Q655" s="167"/>
    </row>
    <row r="656" spans="2:17" ht="13" x14ac:dyDescent="0.25">
      <c r="B656" s="1234">
        <v>2018</v>
      </c>
      <c r="C656" s="1235"/>
      <c r="D656" s="1235"/>
      <c r="E656" s="1236"/>
      <c r="F656" s="341"/>
      <c r="G656" s="339">
        <f t="shared" si="91"/>
        <v>0</v>
      </c>
      <c r="H656" s="568">
        <f t="shared" si="92"/>
        <v>0</v>
      </c>
      <c r="I656" s="339">
        <f t="shared" si="93"/>
        <v>0</v>
      </c>
      <c r="J656" s="212"/>
      <c r="Q656" s="167"/>
    </row>
    <row r="657" spans="2:17" ht="13" x14ac:dyDescent="0.25">
      <c r="B657" s="1234">
        <v>2019</v>
      </c>
      <c r="C657" s="1235"/>
      <c r="D657" s="1235"/>
      <c r="E657" s="1236"/>
      <c r="F657" s="341"/>
      <c r="G657" s="339">
        <f t="shared" si="91"/>
        <v>0</v>
      </c>
      <c r="H657" s="568">
        <f t="shared" si="92"/>
        <v>0</v>
      </c>
      <c r="I657" s="339">
        <f t="shared" si="93"/>
        <v>0</v>
      </c>
      <c r="J657" s="212"/>
      <c r="Q657" s="167"/>
    </row>
    <row r="658" spans="2:17" ht="13" x14ac:dyDescent="0.25">
      <c r="B658" s="1234">
        <v>2020</v>
      </c>
      <c r="C658" s="1235"/>
      <c r="D658" s="1235"/>
      <c r="E658" s="1236"/>
      <c r="F658" s="341"/>
      <c r="G658" s="339">
        <f>L200</f>
        <v>0</v>
      </c>
      <c r="H658" s="568">
        <f t="shared" ref="H658" si="94">-G658*0.5</f>
        <v>0</v>
      </c>
      <c r="I658" s="339">
        <f t="shared" si="93"/>
        <v>0</v>
      </c>
      <c r="J658" s="212"/>
      <c r="Q658" s="167"/>
    </row>
    <row r="659" spans="2:17" s="281" customFormat="1" ht="13" x14ac:dyDescent="0.25">
      <c r="B659" s="847"/>
      <c r="C659" s="847"/>
      <c r="D659" s="847"/>
      <c r="E659" s="847"/>
      <c r="F659" s="847"/>
      <c r="G659" s="849">
        <f>SUM(G653:G658)</f>
        <v>0</v>
      </c>
      <c r="H659" s="856">
        <f t="shared" ref="H659:I659" si="95">SUM(H653:H658)</f>
        <v>0</v>
      </c>
      <c r="I659" s="849">
        <f t="shared" si="95"/>
        <v>0</v>
      </c>
    </row>
    <row r="660" spans="2:17" x14ac:dyDescent="0.25">
      <c r="B660" s="842"/>
      <c r="C660" s="842"/>
      <c r="D660" s="842"/>
      <c r="E660" s="842"/>
      <c r="F660" s="842"/>
      <c r="G660" s="842"/>
      <c r="H660" s="855"/>
      <c r="I660" s="842"/>
      <c r="Q660" s="167"/>
    </row>
    <row r="661" spans="2:17" ht="13" x14ac:dyDescent="0.25">
      <c r="B661" s="847" t="s">
        <v>172</v>
      </c>
      <c r="C661" s="842"/>
      <c r="D661" s="842"/>
      <c r="E661" s="842"/>
      <c r="F661" s="1004">
        <v>2023</v>
      </c>
      <c r="G661" s="842"/>
      <c r="H661" s="855"/>
      <c r="I661" s="842"/>
      <c r="Q661" s="167"/>
    </row>
    <row r="662" spans="2:17" x14ac:dyDescent="0.25">
      <c r="B662" s="842"/>
      <c r="C662" s="842"/>
      <c r="D662" s="842"/>
      <c r="E662" s="842"/>
      <c r="F662" s="842"/>
      <c r="G662" s="842"/>
      <c r="H662" s="855"/>
      <c r="I662" s="842"/>
      <c r="Q662" s="167"/>
    </row>
    <row r="663" spans="2:17" ht="78" customHeight="1" x14ac:dyDescent="0.25">
      <c r="B663" s="1237" t="s">
        <v>173</v>
      </c>
      <c r="C663" s="1238"/>
      <c r="D663" s="1238"/>
      <c r="E663" s="1239"/>
      <c r="F663" s="848"/>
      <c r="G663" s="837" t="str">
        <f>"Nog af te bouwen regulatoir saldo einde "&amp;F661-1</f>
        <v>Nog af te bouwen regulatoir saldo einde 2022</v>
      </c>
      <c r="H663" s="837" t="str">
        <f>"50% van oorspronkelijk saldo door te rekenen volgens de tariefmethodologie in het boekjaar "&amp;F661</f>
        <v>50% van oorspronkelijk saldo door te rekenen volgens de tariefmethodologie in het boekjaar 2023</v>
      </c>
      <c r="I663" s="837" t="str">
        <f>"Nog af te bouwen regulatoir saldo einde "&amp;F661</f>
        <v>Nog af te bouwen regulatoir saldo einde 2023</v>
      </c>
      <c r="J663" s="212"/>
      <c r="Q663" s="167"/>
    </row>
    <row r="664" spans="2:17" ht="13" x14ac:dyDescent="0.25">
      <c r="B664" s="1234">
        <v>2020</v>
      </c>
      <c r="C664" s="1235"/>
      <c r="D664" s="1235"/>
      <c r="E664" s="1236"/>
      <c r="F664" s="341"/>
      <c r="G664" s="339">
        <f>+I658</f>
        <v>0</v>
      </c>
      <c r="H664" s="568">
        <f>-G658*0.5</f>
        <v>0</v>
      </c>
      <c r="I664" s="339">
        <f t="shared" ref="I664:I665" si="96">+G664+H664</f>
        <v>0</v>
      </c>
      <c r="J664" s="212"/>
      <c r="Q664" s="167"/>
    </row>
    <row r="665" spans="2:17" ht="13" x14ac:dyDescent="0.25">
      <c r="B665" s="1234">
        <v>2021</v>
      </c>
      <c r="C665" s="1235"/>
      <c r="D665" s="1235"/>
      <c r="E665" s="1236"/>
      <c r="F665" s="341"/>
      <c r="G665" s="339">
        <f>M201</f>
        <v>0</v>
      </c>
      <c r="H665" s="568">
        <f t="shared" ref="H665" si="97">-G665*0.5</f>
        <v>0</v>
      </c>
      <c r="I665" s="339">
        <f t="shared" si="96"/>
        <v>0</v>
      </c>
      <c r="J665" s="212"/>
      <c r="Q665" s="167"/>
    </row>
    <row r="666" spans="2:17" s="281" customFormat="1" ht="13" x14ac:dyDescent="0.25">
      <c r="B666" s="847"/>
      <c r="C666" s="847"/>
      <c r="D666" s="847"/>
      <c r="E666" s="847"/>
      <c r="F666" s="847"/>
      <c r="G666" s="849">
        <f>SUM(G664:G665)</f>
        <v>0</v>
      </c>
      <c r="H666" s="856">
        <f>SUM(H664:H665)</f>
        <v>0</v>
      </c>
      <c r="I666" s="849">
        <f>SUM(I664:I665)</f>
        <v>0</v>
      </c>
    </row>
    <row r="667" spans="2:17" x14ac:dyDescent="0.25">
      <c r="B667" s="842"/>
      <c r="C667" s="842"/>
      <c r="D667" s="842"/>
      <c r="E667" s="842"/>
      <c r="F667" s="842"/>
      <c r="G667" s="842"/>
      <c r="H667" s="855"/>
      <c r="I667" s="842"/>
      <c r="Q667" s="167"/>
    </row>
    <row r="668" spans="2:17" ht="13" x14ac:dyDescent="0.25">
      <c r="B668" s="847" t="s">
        <v>172</v>
      </c>
      <c r="C668" s="842"/>
      <c r="D668" s="842"/>
      <c r="E668" s="842"/>
      <c r="F668" s="1004">
        <v>2024</v>
      </c>
      <c r="G668" s="842"/>
      <c r="H668" s="855"/>
      <c r="I668" s="842"/>
      <c r="Q668" s="167"/>
    </row>
    <row r="669" spans="2:17" x14ac:dyDescent="0.25">
      <c r="B669" s="842"/>
      <c r="C669" s="842"/>
      <c r="D669" s="842"/>
      <c r="E669" s="842"/>
      <c r="F669" s="842"/>
      <c r="G669" s="842"/>
      <c r="H669" s="855"/>
      <c r="I669" s="842"/>
      <c r="Q669" s="167"/>
    </row>
    <row r="670" spans="2:17" ht="78" customHeight="1" x14ac:dyDescent="0.25">
      <c r="B670" s="1237" t="s">
        <v>173</v>
      </c>
      <c r="C670" s="1238"/>
      <c r="D670" s="1238"/>
      <c r="E670" s="1239"/>
      <c r="F670" s="848"/>
      <c r="G670" s="837" t="str">
        <f>"Nog af te bouwen regulatoir saldo einde "&amp;F668-1</f>
        <v>Nog af te bouwen regulatoir saldo einde 2023</v>
      </c>
      <c r="H670" s="837" t="str">
        <f>"50% van oorspronkelijk saldo door te rekenen volgens de tariefmethodologie in het boekjaar "&amp;F668</f>
        <v>50% van oorspronkelijk saldo door te rekenen volgens de tariefmethodologie in het boekjaar 2024</v>
      </c>
      <c r="I670" s="837" t="str">
        <f>"Nog af te bouwen regulatoir saldo einde "&amp;F668</f>
        <v>Nog af te bouwen regulatoir saldo einde 2024</v>
      </c>
      <c r="J670" s="212"/>
      <c r="Q670" s="167"/>
    </row>
    <row r="671" spans="2:17" ht="13" x14ac:dyDescent="0.25">
      <c r="B671" s="1234">
        <v>2021</v>
      </c>
      <c r="C671" s="1235"/>
      <c r="D671" s="1235"/>
      <c r="E671" s="1236"/>
      <c r="F671" s="341"/>
      <c r="G671" s="339">
        <f>+I665</f>
        <v>0</v>
      </c>
      <c r="H671" s="568">
        <f>-G665*0.5</f>
        <v>0</v>
      </c>
      <c r="I671" s="339">
        <f t="shared" ref="I671:I672" si="98">+G671+H671</f>
        <v>0</v>
      </c>
      <c r="J671" s="212"/>
      <c r="Q671" s="167"/>
    </row>
    <row r="672" spans="2:17" ht="13" x14ac:dyDescent="0.25">
      <c r="B672" s="1234">
        <v>2022</v>
      </c>
      <c r="C672" s="1235"/>
      <c r="D672" s="1235"/>
      <c r="E672" s="1236"/>
      <c r="F672" s="341"/>
      <c r="G672" s="339">
        <f>N202</f>
        <v>0</v>
      </c>
      <c r="H672" s="568">
        <f t="shared" ref="H672" si="99">-G672*0.5</f>
        <v>0</v>
      </c>
      <c r="I672" s="339">
        <f t="shared" si="98"/>
        <v>0</v>
      </c>
      <c r="J672" s="212"/>
      <c r="Q672" s="167"/>
    </row>
    <row r="673" spans="2:17" s="281" customFormat="1" ht="13" x14ac:dyDescent="0.25">
      <c r="B673" s="847"/>
      <c r="C673" s="847"/>
      <c r="D673" s="847"/>
      <c r="E673" s="847"/>
      <c r="F673" s="847"/>
      <c r="G673" s="849">
        <f>SUM(G671:G672)</f>
        <v>0</v>
      </c>
      <c r="H673" s="856">
        <f>SUM(H671:H672)</f>
        <v>0</v>
      </c>
      <c r="I673" s="849">
        <f>SUM(I671:I672)</f>
        <v>0</v>
      </c>
    </row>
    <row r="674" spans="2:17" x14ac:dyDescent="0.25">
      <c r="H674" s="221"/>
      <c r="Q674" s="167"/>
    </row>
    <row r="675" spans="2:17" ht="13" x14ac:dyDescent="0.25">
      <c r="B675" s="281" t="s">
        <v>68</v>
      </c>
      <c r="H675" s="221"/>
      <c r="Q675" s="167"/>
    </row>
    <row r="676" spans="2:17" ht="13" x14ac:dyDescent="0.25">
      <c r="B676" s="281" t="s">
        <v>174</v>
      </c>
      <c r="C676" s="224"/>
      <c r="D676" s="224"/>
      <c r="E676" s="224"/>
      <c r="H676" s="221"/>
      <c r="Q676" s="167"/>
    </row>
    <row r="677" spans="2:17" ht="13" x14ac:dyDescent="0.25">
      <c r="B677" s="281"/>
      <c r="C677" s="224"/>
      <c r="D677" s="224"/>
      <c r="E677" s="224"/>
      <c r="H677" s="221"/>
      <c r="Q677" s="167"/>
    </row>
    <row r="678" spans="2:17" ht="13" x14ac:dyDescent="0.25">
      <c r="B678" s="283">
        <v>2021</v>
      </c>
      <c r="C678" s="287">
        <f>+H648</f>
        <v>0</v>
      </c>
      <c r="D678" s="224"/>
      <c r="E678" s="224"/>
      <c r="H678" s="221"/>
      <c r="Q678" s="167"/>
    </row>
    <row r="679" spans="2:17" ht="13" x14ac:dyDescent="0.25">
      <c r="B679" s="341">
        <v>2022</v>
      </c>
      <c r="C679" s="342">
        <f>+H659</f>
        <v>0</v>
      </c>
      <c r="D679" s="224"/>
      <c r="E679" s="224"/>
      <c r="Q679" s="167"/>
    </row>
    <row r="680" spans="2:17" ht="13" x14ac:dyDescent="0.25">
      <c r="B680" s="341">
        <v>2023</v>
      </c>
      <c r="C680" s="342">
        <f>+H666</f>
        <v>0</v>
      </c>
      <c r="D680" s="224"/>
      <c r="E680" s="224"/>
      <c r="Q680" s="167"/>
    </row>
    <row r="681" spans="2:17" ht="13" x14ac:dyDescent="0.25">
      <c r="B681" s="341">
        <v>2024</v>
      </c>
      <c r="C681" s="342">
        <f>+H673</f>
        <v>0</v>
      </c>
      <c r="D681" s="224"/>
      <c r="E681" s="224"/>
      <c r="P681" s="209"/>
      <c r="Q681" s="167"/>
    </row>
    <row r="682" spans="2:17" x14ac:dyDescent="0.25">
      <c r="P682" s="212"/>
      <c r="Q682" s="167"/>
    </row>
    <row r="683" spans="2:17" x14ac:dyDescent="0.25">
      <c r="P683" s="212"/>
      <c r="Q683" s="167"/>
    </row>
  </sheetData>
  <sheetProtection algorithmName="SHA-512" hashValue="1pxTrTSg2Y9v6D9jSl0GgukFwtK5FtvPXmNSYkoRzxZzVZVMK9wWyXaxrGRD3lr6PTo9vZm63v429f4BgqTBQA==" saltValue="hlZ8mKkcumommGyv1CGlKQ==" spinCount="100000" sheet="1" objects="1" scenarios="1"/>
  <mergeCells count="395">
    <mergeCell ref="B664:E664"/>
    <mergeCell ref="B665:E665"/>
    <mergeCell ref="B670:E670"/>
    <mergeCell ref="B671:E671"/>
    <mergeCell ref="B672:E672"/>
    <mergeCell ref="B522:E522"/>
    <mergeCell ref="B654:E654"/>
    <mergeCell ref="B655:E655"/>
    <mergeCell ref="B656:E656"/>
    <mergeCell ref="B657:E657"/>
    <mergeCell ref="B658:E658"/>
    <mergeCell ref="B663:E663"/>
    <mergeCell ref="B644:E644"/>
    <mergeCell ref="B645:E645"/>
    <mergeCell ref="B646:E646"/>
    <mergeCell ref="B647:E647"/>
    <mergeCell ref="B652:E652"/>
    <mergeCell ref="B653:E653"/>
    <mergeCell ref="B634:E634"/>
    <mergeCell ref="B635:E635"/>
    <mergeCell ref="B636:E636"/>
    <mergeCell ref="B637:E637"/>
    <mergeCell ref="B642:E642"/>
    <mergeCell ref="B643:E643"/>
    <mergeCell ref="B620:E620"/>
    <mergeCell ref="B625:E625"/>
    <mergeCell ref="B626:E626"/>
    <mergeCell ref="B627:E627"/>
    <mergeCell ref="B628:E628"/>
    <mergeCell ref="B633:E633"/>
    <mergeCell ref="B613:E613"/>
    <mergeCell ref="B614:E614"/>
    <mergeCell ref="B618:E618"/>
    <mergeCell ref="B619:E619"/>
    <mergeCell ref="B589:E589"/>
    <mergeCell ref="B590:E590"/>
    <mergeCell ref="B595:E595"/>
    <mergeCell ref="B596:E596"/>
    <mergeCell ref="B597:E597"/>
    <mergeCell ref="B579:E579"/>
    <mergeCell ref="B580:E580"/>
    <mergeCell ref="B581:E581"/>
    <mergeCell ref="B582:E582"/>
    <mergeCell ref="B583:E583"/>
    <mergeCell ref="B588:E588"/>
    <mergeCell ref="B569:E569"/>
    <mergeCell ref="B570:E570"/>
    <mergeCell ref="B571:E571"/>
    <mergeCell ref="B572:E572"/>
    <mergeCell ref="B577:E577"/>
    <mergeCell ref="B578:E578"/>
    <mergeCell ref="B559:E559"/>
    <mergeCell ref="B560:E560"/>
    <mergeCell ref="B561:E561"/>
    <mergeCell ref="B562:E562"/>
    <mergeCell ref="B567:E567"/>
    <mergeCell ref="B568:E568"/>
    <mergeCell ref="B545:E545"/>
    <mergeCell ref="B550:E550"/>
    <mergeCell ref="B551:E551"/>
    <mergeCell ref="B552:E552"/>
    <mergeCell ref="B553:E553"/>
    <mergeCell ref="B558:E558"/>
    <mergeCell ref="B516:E516"/>
    <mergeCell ref="B517:E517"/>
    <mergeCell ref="B538:E538"/>
    <mergeCell ref="B539:E539"/>
    <mergeCell ref="B543:E543"/>
    <mergeCell ref="B544:E544"/>
    <mergeCell ref="B523:E523"/>
    <mergeCell ref="B506:E506"/>
    <mergeCell ref="B511:E511"/>
    <mergeCell ref="B512:E512"/>
    <mergeCell ref="B513:E513"/>
    <mergeCell ref="B514:E514"/>
    <mergeCell ref="B515:E515"/>
    <mergeCell ref="B496:E496"/>
    <mergeCell ref="B501:E501"/>
    <mergeCell ref="B502:E502"/>
    <mergeCell ref="B503:E503"/>
    <mergeCell ref="B504:E504"/>
    <mergeCell ref="B505:E505"/>
    <mergeCell ref="B486:E486"/>
    <mergeCell ref="B487:E487"/>
    <mergeCell ref="B492:E492"/>
    <mergeCell ref="B493:E493"/>
    <mergeCell ref="B494:E494"/>
    <mergeCell ref="B495:E495"/>
    <mergeCell ref="B473:E473"/>
    <mergeCell ref="B477:E477"/>
    <mergeCell ref="B478:E478"/>
    <mergeCell ref="B479:E479"/>
    <mergeCell ref="B484:E484"/>
    <mergeCell ref="B485:E485"/>
    <mergeCell ref="B448:E448"/>
    <mergeCell ref="B449:E449"/>
    <mergeCell ref="B454:E454"/>
    <mergeCell ref="B455:E455"/>
    <mergeCell ref="B456:E456"/>
    <mergeCell ref="B472:E472"/>
    <mergeCell ref="B438:E438"/>
    <mergeCell ref="B439:E439"/>
    <mergeCell ref="B440:E440"/>
    <mergeCell ref="B441:E441"/>
    <mergeCell ref="B442:E442"/>
    <mergeCell ref="B447:E447"/>
    <mergeCell ref="B428:E428"/>
    <mergeCell ref="B429:E429"/>
    <mergeCell ref="B430:E430"/>
    <mergeCell ref="B431:E431"/>
    <mergeCell ref="B436:E436"/>
    <mergeCell ref="B437:E437"/>
    <mergeCell ref="B418:E418"/>
    <mergeCell ref="B419:E419"/>
    <mergeCell ref="B420:E420"/>
    <mergeCell ref="B421:E421"/>
    <mergeCell ref="B426:E426"/>
    <mergeCell ref="B427:E427"/>
    <mergeCell ref="B404:E404"/>
    <mergeCell ref="B409:E409"/>
    <mergeCell ref="B410:E410"/>
    <mergeCell ref="B411:E411"/>
    <mergeCell ref="B412:E412"/>
    <mergeCell ref="B417:E417"/>
    <mergeCell ref="B397:E397"/>
    <mergeCell ref="B398:E398"/>
    <mergeCell ref="B402:E402"/>
    <mergeCell ref="B403:E403"/>
    <mergeCell ref="B362:E362"/>
    <mergeCell ref="B363:E363"/>
    <mergeCell ref="B368:E368"/>
    <mergeCell ref="B369:E369"/>
    <mergeCell ref="B370:E370"/>
    <mergeCell ref="B352:E352"/>
    <mergeCell ref="B353:E353"/>
    <mergeCell ref="B354:E354"/>
    <mergeCell ref="B355:E355"/>
    <mergeCell ref="B356:E356"/>
    <mergeCell ref="B361:E361"/>
    <mergeCell ref="B342:E342"/>
    <mergeCell ref="B343:E343"/>
    <mergeCell ref="B344:E344"/>
    <mergeCell ref="B345:E345"/>
    <mergeCell ref="B350:E350"/>
    <mergeCell ref="B351:E351"/>
    <mergeCell ref="B332:E332"/>
    <mergeCell ref="B333:E333"/>
    <mergeCell ref="B334:E334"/>
    <mergeCell ref="B335:E335"/>
    <mergeCell ref="B340:E340"/>
    <mergeCell ref="B341:E341"/>
    <mergeCell ref="B318:E318"/>
    <mergeCell ref="B323:E323"/>
    <mergeCell ref="B324:E324"/>
    <mergeCell ref="B325:E325"/>
    <mergeCell ref="B326:E326"/>
    <mergeCell ref="B331:E331"/>
    <mergeCell ref="B295:E295"/>
    <mergeCell ref="B296:E296"/>
    <mergeCell ref="B311:E311"/>
    <mergeCell ref="B312:E312"/>
    <mergeCell ref="B316:E316"/>
    <mergeCell ref="B317:E317"/>
    <mergeCell ref="B281:E281"/>
    <mergeCell ref="B282:E282"/>
    <mergeCell ref="B287:E287"/>
    <mergeCell ref="B288:E288"/>
    <mergeCell ref="B289:E289"/>
    <mergeCell ref="B294:E294"/>
    <mergeCell ref="B271:E271"/>
    <mergeCell ref="B276:E276"/>
    <mergeCell ref="B277:E277"/>
    <mergeCell ref="B278:E278"/>
    <mergeCell ref="B279:E279"/>
    <mergeCell ref="B280:E280"/>
    <mergeCell ref="B261:E261"/>
    <mergeCell ref="B266:E266"/>
    <mergeCell ref="B267:E267"/>
    <mergeCell ref="B268:E268"/>
    <mergeCell ref="B269:E269"/>
    <mergeCell ref="B270:E270"/>
    <mergeCell ref="B251:E251"/>
    <mergeCell ref="B252:E252"/>
    <mergeCell ref="B257:E257"/>
    <mergeCell ref="B258:E258"/>
    <mergeCell ref="B259:E259"/>
    <mergeCell ref="B260:E260"/>
    <mergeCell ref="B238:E238"/>
    <mergeCell ref="B242:E242"/>
    <mergeCell ref="B243:E243"/>
    <mergeCell ref="B244:E244"/>
    <mergeCell ref="B249:E249"/>
    <mergeCell ref="B250:E250"/>
    <mergeCell ref="B227:E227"/>
    <mergeCell ref="B228:E228"/>
    <mergeCell ref="B230:E230"/>
    <mergeCell ref="B237:E237"/>
    <mergeCell ref="B217:E217"/>
    <mergeCell ref="B222:E222"/>
    <mergeCell ref="B224:E224"/>
    <mergeCell ref="B225:E225"/>
    <mergeCell ref="B226:E226"/>
    <mergeCell ref="B211:E211"/>
    <mergeCell ref="B212:E212"/>
    <mergeCell ref="B213:E213"/>
    <mergeCell ref="B214:E214"/>
    <mergeCell ref="B215:E215"/>
    <mergeCell ref="B216:E216"/>
    <mergeCell ref="B203:E203"/>
    <mergeCell ref="B206:E206"/>
    <mergeCell ref="B207:E207"/>
    <mergeCell ref="B208:E208"/>
    <mergeCell ref="B209:E209"/>
    <mergeCell ref="B210:E210"/>
    <mergeCell ref="B197:E197"/>
    <mergeCell ref="B198:E198"/>
    <mergeCell ref="B199:E199"/>
    <mergeCell ref="B200:E200"/>
    <mergeCell ref="B201:E201"/>
    <mergeCell ref="B202:E202"/>
    <mergeCell ref="B193:E193"/>
    <mergeCell ref="B194:E194"/>
    <mergeCell ref="B195:E195"/>
    <mergeCell ref="B196:E196"/>
    <mergeCell ref="B190:E190"/>
    <mergeCell ref="B191:E191"/>
    <mergeCell ref="B192:E192"/>
    <mergeCell ref="B184:E184"/>
    <mergeCell ref="B185:E185"/>
    <mergeCell ref="B186:E186"/>
    <mergeCell ref="B187:E187"/>
    <mergeCell ref="B188:E188"/>
    <mergeCell ref="B189:E189"/>
    <mergeCell ref="B178:E178"/>
    <mergeCell ref="B179:E179"/>
    <mergeCell ref="B180:E180"/>
    <mergeCell ref="B181:E181"/>
    <mergeCell ref="B182:E182"/>
    <mergeCell ref="B183:E183"/>
    <mergeCell ref="B172:E172"/>
    <mergeCell ref="B173:E173"/>
    <mergeCell ref="B174:E174"/>
    <mergeCell ref="B175:E175"/>
    <mergeCell ref="B176:E176"/>
    <mergeCell ref="B177:E177"/>
    <mergeCell ref="B166:E166"/>
    <mergeCell ref="B167:E167"/>
    <mergeCell ref="B168:E168"/>
    <mergeCell ref="B169:E169"/>
    <mergeCell ref="B170:E170"/>
    <mergeCell ref="B171:E171"/>
    <mergeCell ref="B160:E160"/>
    <mergeCell ref="B161:E161"/>
    <mergeCell ref="B162:E162"/>
    <mergeCell ref="B163:E163"/>
    <mergeCell ref="B164:E164"/>
    <mergeCell ref="B165:E165"/>
    <mergeCell ref="B154:E154"/>
    <mergeCell ref="B155:E155"/>
    <mergeCell ref="B156:E156"/>
    <mergeCell ref="B157:E157"/>
    <mergeCell ref="B158:E158"/>
    <mergeCell ref="B159:E159"/>
    <mergeCell ref="B148:E148"/>
    <mergeCell ref="B149:E149"/>
    <mergeCell ref="B150:E150"/>
    <mergeCell ref="B151:E151"/>
    <mergeCell ref="B152:E152"/>
    <mergeCell ref="B153:E153"/>
    <mergeCell ref="B142:E142"/>
    <mergeCell ref="B143:E143"/>
    <mergeCell ref="B144:E144"/>
    <mergeCell ref="B145:E145"/>
    <mergeCell ref="B146:E146"/>
    <mergeCell ref="B147:E147"/>
    <mergeCell ref="B136:E136"/>
    <mergeCell ref="B137:E137"/>
    <mergeCell ref="B138:E138"/>
    <mergeCell ref="B139:E139"/>
    <mergeCell ref="B140:E140"/>
    <mergeCell ref="B141:E141"/>
    <mergeCell ref="B130:E130"/>
    <mergeCell ref="B131:E131"/>
    <mergeCell ref="B132:E132"/>
    <mergeCell ref="B133:E133"/>
    <mergeCell ref="B134:E134"/>
    <mergeCell ref="B135:E135"/>
    <mergeCell ref="B120:E120"/>
    <mergeCell ref="B121:E121"/>
    <mergeCell ref="B125:E125"/>
    <mergeCell ref="B127:E127"/>
    <mergeCell ref="B128:E128"/>
    <mergeCell ref="B129:E129"/>
    <mergeCell ref="B114:E114"/>
    <mergeCell ref="B115:E115"/>
    <mergeCell ref="B116:E116"/>
    <mergeCell ref="B117:E117"/>
    <mergeCell ref="B118:E118"/>
    <mergeCell ref="B119:E119"/>
    <mergeCell ref="B106:E106"/>
    <mergeCell ref="B108:E108"/>
    <mergeCell ref="B110:E110"/>
    <mergeCell ref="B111:E111"/>
    <mergeCell ref="B112:E112"/>
    <mergeCell ref="B113:E113"/>
    <mergeCell ref="B100:E100"/>
    <mergeCell ref="B101:E101"/>
    <mergeCell ref="B102:E102"/>
    <mergeCell ref="B103:E103"/>
    <mergeCell ref="B104:E104"/>
    <mergeCell ref="B105:E105"/>
    <mergeCell ref="B96:E96"/>
    <mergeCell ref="B97:E97"/>
    <mergeCell ref="B98:E98"/>
    <mergeCell ref="B99:E99"/>
    <mergeCell ref="B93:E93"/>
    <mergeCell ref="B94:E94"/>
    <mergeCell ref="B95:E95"/>
    <mergeCell ref="B87:E87"/>
    <mergeCell ref="B88:E88"/>
    <mergeCell ref="B89:E89"/>
    <mergeCell ref="B90:E90"/>
    <mergeCell ref="B91:E91"/>
    <mergeCell ref="B92:E92"/>
    <mergeCell ref="B81:E81"/>
    <mergeCell ref="B82:E82"/>
    <mergeCell ref="B83:E83"/>
    <mergeCell ref="B84:E84"/>
    <mergeCell ref="B85:E85"/>
    <mergeCell ref="B86:E86"/>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3:E23"/>
    <mergeCell ref="B24:E24"/>
    <mergeCell ref="B28:E28"/>
    <mergeCell ref="B30:E30"/>
    <mergeCell ref="B31:E31"/>
    <mergeCell ref="B32:E32"/>
    <mergeCell ref="B17:E17"/>
    <mergeCell ref="B18:E18"/>
    <mergeCell ref="B19:E19"/>
    <mergeCell ref="B20:E20"/>
    <mergeCell ref="B21:E21"/>
    <mergeCell ref="A1:J1"/>
    <mergeCell ref="B4:E4"/>
    <mergeCell ref="B7:E7"/>
    <mergeCell ref="B13:E13"/>
    <mergeCell ref="B15:E15"/>
    <mergeCell ref="B16:E16"/>
  </mergeCells>
  <conditionalFormatting sqref="B19:P20 R19:R20 B74:P95 R171:R192 B468:F468 B470:F470 B472:K473 B475:F475 B477:M480 B484:M488 B482:F482 B490:F490 B492:M497 B499:F499 B501:I507 B509:F509 B511:I518 B526:F526 B528:C529 B534:E534 B536:F536 B538:K539 B541:F541 B543:M546 B548:F548 B550:M554 B558:M563 B556:F556 B565:F565 B567:I573 B575:F575 B577:I584 B586:F586 B588:I591 B593:F593 B595:I598 B601:F601 B603:C606 B522:I524 R74:R95 B171:P192 B227:G227">
    <cfRule type="expression" dxfId="47" priority="6">
      <formula>$B$7="gas"</formula>
    </cfRule>
  </conditionalFormatting>
  <conditionalFormatting sqref="B520:F520">
    <cfRule type="expression" dxfId="46" priority="5">
      <formula>$B$7="gas"</formula>
    </cfRule>
  </conditionalFormatting>
  <conditionalFormatting sqref="B530:C530">
    <cfRule type="expression" dxfId="45" priority="4">
      <formula>$B$7="gas"</formula>
    </cfRule>
  </conditionalFormatting>
  <conditionalFormatting sqref="B531:C531">
    <cfRule type="expression" dxfId="44" priority="3">
      <formula>$B$7="gas"</formula>
    </cfRule>
  </conditionalFormatting>
  <conditionalFormatting sqref="B525:F525">
    <cfRule type="expression" dxfId="43" priority="2">
      <formula>$B$7="gas"</formula>
    </cfRule>
  </conditionalFormatting>
  <conditionalFormatting sqref="B600:F600">
    <cfRule type="expression" dxfId="42" priority="1">
      <formula>$B$7="gas"</formula>
    </cfRule>
  </conditionalFormatting>
  <pageMargins left="0.70866141732283472" right="0.70866141732283472" top="0.74803149606299213" bottom="0.74803149606299213" header="0.31496062992125984" footer="0.31496062992125984"/>
  <pageSetup paperSize="8" scale="27" fitToWidth="2" fitToHeight="2" orientation="portrait" r:id="rId1"/>
  <rowBreaks count="1" manualBreakCount="1">
    <brk id="12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Blad13">
    <pageSetUpPr fitToPage="1"/>
  </sheetPr>
  <dimension ref="A1:BC55"/>
  <sheetViews>
    <sheetView showGridLines="0" zoomScale="90" zoomScaleNormal="90" workbookViewId="0">
      <selection activeCell="F35" sqref="F35"/>
    </sheetView>
  </sheetViews>
  <sheetFormatPr defaultColWidth="8.81640625" defaultRowHeight="12.5" x14ac:dyDescent="0.25"/>
  <cols>
    <col min="1" max="1" width="2.81640625" style="360" customWidth="1"/>
    <col min="2" max="2" width="7.1796875" style="360" customWidth="1"/>
    <col min="3" max="3" width="32.81640625" style="360" customWidth="1"/>
    <col min="4" max="4" width="48.26953125" style="361" customWidth="1"/>
    <col min="5" max="5" width="20.453125" style="360" customWidth="1"/>
    <col min="6" max="12" width="20.7265625" style="360" customWidth="1"/>
    <col min="13" max="13" width="2.26953125" style="359" customWidth="1"/>
    <col min="14" max="14" width="25.7265625" style="360" customWidth="1"/>
    <col min="15" max="15" width="2.26953125" style="360" customWidth="1"/>
    <col min="16" max="16" width="25.7265625" style="360" customWidth="1"/>
    <col min="17" max="20" width="10.7265625" style="360" customWidth="1"/>
    <col min="21" max="21" width="10.1796875" style="360" customWidth="1"/>
    <col min="22" max="16384" width="8.81640625" style="360"/>
  </cols>
  <sheetData>
    <row r="1" spans="1:55" s="354" customFormat="1" ht="18.5" thickBot="1" x14ac:dyDescent="0.3">
      <c r="A1" s="1225" t="str">
        <f>"TABEL 5C: Werkelijke opbrengsten uit periodieke distributienettarieven in boekjaar "&amp;TITELBLAD!E16&amp;" (elektriciteit - afname)"</f>
        <v>TABEL 5C: Werkelijke opbrengsten uit periodieke distributienettarieven in boekjaar 2021 (elektriciteit - afname)</v>
      </c>
      <c r="B1" s="1226"/>
      <c r="C1" s="1226"/>
      <c r="D1" s="1226"/>
      <c r="E1" s="1226"/>
      <c r="F1" s="1226"/>
      <c r="G1" s="1226"/>
      <c r="H1" s="1226"/>
      <c r="I1" s="1226"/>
      <c r="J1" s="1226"/>
      <c r="K1" s="1226"/>
      <c r="L1" s="1226"/>
      <c r="M1" s="1226"/>
      <c r="N1" s="1226"/>
      <c r="O1" s="1226"/>
      <c r="P1" s="1227"/>
      <c r="Q1" s="519"/>
      <c r="R1" s="355" t="str">
        <f>+TITELBLAD!C10</f>
        <v>elektriciteit</v>
      </c>
      <c r="S1" s="355"/>
      <c r="T1" s="355"/>
      <c r="U1" s="355"/>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row>
    <row r="2" spans="1:55" s="356" customFormat="1" ht="10.5" x14ac:dyDescent="0.25">
      <c r="A2" s="234"/>
      <c r="B2" s="234"/>
      <c r="C2" s="234"/>
      <c r="D2" s="234"/>
      <c r="E2" s="518"/>
      <c r="F2" s="518"/>
      <c r="M2" s="745"/>
      <c r="Q2" s="518"/>
      <c r="R2" s="357" t="str">
        <f>+TITELBLAD!B16</f>
        <v>Rapportering over boekjaar:</v>
      </c>
      <c r="S2" s="357"/>
      <c r="T2" s="357">
        <f>+TITELBLAD!E16</f>
        <v>2021</v>
      </c>
      <c r="U2" s="357" t="str">
        <f>+TITELBLAD!F16</f>
        <v>ex-ante</v>
      </c>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row>
    <row r="3" spans="1:55" s="167" customFormat="1" x14ac:dyDescent="0.25">
      <c r="A3" s="296"/>
      <c r="B3" s="296"/>
      <c r="C3" s="296"/>
      <c r="D3" s="296"/>
      <c r="E3" s="296"/>
      <c r="F3" s="296"/>
      <c r="M3" s="74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row>
    <row r="4" spans="1:55" s="167" customFormat="1" ht="13" x14ac:dyDescent="0.25">
      <c r="B4" s="358" t="s">
        <v>124</v>
      </c>
      <c r="M4" s="74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row>
    <row r="5" spans="1:55" s="167" customFormat="1" ht="13" x14ac:dyDescent="0.25">
      <c r="B5" s="1291" t="s">
        <v>261</v>
      </c>
      <c r="C5" s="1291"/>
      <c r="D5" s="1291"/>
      <c r="E5" s="1291"/>
      <c r="F5" s="1291"/>
      <c r="G5" s="982"/>
      <c r="H5" s="982"/>
      <c r="I5" s="982"/>
      <c r="J5" s="982"/>
      <c r="K5" s="982"/>
      <c r="M5" s="74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row>
    <row r="6" spans="1:55" s="167" customFormat="1" ht="13" x14ac:dyDescent="0.25">
      <c r="B6" s="1291"/>
      <c r="C6" s="1291"/>
      <c r="D6" s="1291"/>
      <c r="E6" s="1291"/>
      <c r="F6" s="1291"/>
      <c r="G6" s="982"/>
      <c r="H6" s="982"/>
      <c r="I6" s="982"/>
      <c r="J6" s="982"/>
      <c r="K6" s="982"/>
      <c r="M6" s="74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row>
    <row r="7" spans="1:55" s="167" customFormat="1" ht="13" x14ac:dyDescent="0.25">
      <c r="B7" s="1291"/>
      <c r="C7" s="1291"/>
      <c r="D7" s="1291"/>
      <c r="E7" s="1291"/>
      <c r="F7" s="1291"/>
      <c r="G7" s="982"/>
      <c r="H7" s="982"/>
      <c r="I7" s="982"/>
      <c r="J7" s="982"/>
      <c r="K7" s="982"/>
      <c r="M7" s="74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row>
    <row r="8" spans="1:55" s="167" customFormat="1" ht="13" x14ac:dyDescent="0.25">
      <c r="B8" s="1291"/>
      <c r="C8" s="1291"/>
      <c r="D8" s="1291"/>
      <c r="E8" s="1291"/>
      <c r="F8" s="1291"/>
      <c r="G8" s="982"/>
      <c r="H8" s="982"/>
      <c r="I8" s="982"/>
      <c r="J8" s="982"/>
      <c r="K8" s="982"/>
      <c r="M8" s="74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row>
    <row r="9" spans="1:55" s="167" customFormat="1" ht="13" x14ac:dyDescent="0.25">
      <c r="B9" s="1291"/>
      <c r="C9" s="1291"/>
      <c r="D9" s="1291"/>
      <c r="E9" s="1291"/>
      <c r="F9" s="1291"/>
      <c r="G9" s="982"/>
      <c r="H9" s="982"/>
      <c r="I9" s="982"/>
      <c r="J9" s="982"/>
      <c r="K9" s="982"/>
      <c r="M9" s="74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row>
    <row r="10" spans="1:55" s="167" customFormat="1" ht="13" x14ac:dyDescent="0.25">
      <c r="B10" s="1291"/>
      <c r="C10" s="1291"/>
      <c r="D10" s="1291"/>
      <c r="E10" s="1291"/>
      <c r="F10" s="1291"/>
      <c r="G10" s="982"/>
      <c r="H10" s="982"/>
      <c r="I10" s="982"/>
      <c r="J10" s="982"/>
      <c r="K10" s="982"/>
      <c r="M10" s="74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row>
    <row r="11" spans="1:55" s="167" customFormat="1" ht="13" x14ac:dyDescent="0.25">
      <c r="B11" s="1291"/>
      <c r="C11" s="1291"/>
      <c r="D11" s="1291"/>
      <c r="E11" s="1291"/>
      <c r="F11" s="1291"/>
      <c r="G11" s="982"/>
      <c r="H11" s="982"/>
      <c r="I11" s="982"/>
      <c r="J11" s="982"/>
      <c r="K11" s="982"/>
      <c r="M11" s="74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row>
    <row r="12" spans="1:55" s="167" customFormat="1" ht="13" x14ac:dyDescent="0.25">
      <c r="B12" s="1291"/>
      <c r="C12" s="1291"/>
      <c r="D12" s="1291"/>
      <c r="E12" s="1291"/>
      <c r="F12" s="1291"/>
      <c r="G12" s="982"/>
      <c r="H12" s="982"/>
      <c r="I12" s="982"/>
      <c r="J12" s="982"/>
      <c r="K12" s="982"/>
      <c r="M12" s="74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row>
    <row r="13" spans="1:55" s="167" customFormat="1" x14ac:dyDescent="0.25">
      <c r="M13" s="74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row>
    <row r="14" spans="1:55" ht="13" thickBot="1" x14ac:dyDescent="0.3">
      <c r="A14" s="359"/>
      <c r="Q14" s="520"/>
      <c r="R14" s="520"/>
      <c r="S14" s="520"/>
      <c r="T14" s="518"/>
      <c r="U14" s="518"/>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0"/>
      <c r="AY14" s="520"/>
      <c r="AZ14" s="520"/>
      <c r="BA14" s="520"/>
      <c r="BB14" s="520"/>
      <c r="BC14" s="520"/>
    </row>
    <row r="15" spans="1:55" s="366" customFormat="1" ht="75.75" customHeight="1" thickBot="1" x14ac:dyDescent="0.3">
      <c r="A15" s="362"/>
      <c r="B15" s="363"/>
      <c r="C15" s="363"/>
      <c r="D15" s="364"/>
      <c r="E15" s="94"/>
      <c r="F15" s="1292" t="str">
        <f>"Werkelijke opbrengsten uit periodieke distributienettarieven in boekjaar "&amp;TITELBLAD!E16&amp;" (elektriciteit- afname)"</f>
        <v>Werkelijke opbrengsten uit periodieke distributienettarieven in boekjaar 2021 (elektriciteit- afname)</v>
      </c>
      <c r="G15" s="1293"/>
      <c r="H15" s="1293"/>
      <c r="I15" s="1293"/>
      <c r="J15" s="1293"/>
      <c r="K15" s="1294"/>
      <c r="L15" s="726" t="s">
        <v>116</v>
      </c>
      <c r="M15" s="739"/>
      <c r="N15" s="125" t="str">
        <f>"Werkelijke opbrengsten m.b.t. endogene kosten in boekjaar "&amp;TITELBLAD!E16&amp;" (elektriciteit-afname)"</f>
        <v>Werkelijke opbrengsten m.b.t. endogene kosten in boekjaar 2021 (elektriciteit-afname)</v>
      </c>
      <c r="O15" s="365"/>
      <c r="P15" s="125" t="str">
        <f>"Werkelijke opbrengsten m.b.t. exogene kosten in boekjaar "&amp;TITELBLAD!E16&amp;" (elektriciteit-afname)"</f>
        <v>Werkelijke opbrengsten m.b.t. exogene kosten in boekjaar 2021 (elektriciteit-afname)</v>
      </c>
      <c r="Q15" s="521"/>
      <c r="R15" s="521"/>
      <c r="S15" s="521"/>
      <c r="T15" s="521"/>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row>
    <row r="16" spans="1:55" s="349" customFormat="1" ht="27" customHeight="1" thickBot="1" x14ac:dyDescent="0.3">
      <c r="A16" s="346"/>
      <c r="B16" s="347"/>
      <c r="C16" s="347"/>
      <c r="D16" s="348"/>
      <c r="F16" s="350" t="s">
        <v>252</v>
      </c>
      <c r="G16" s="351" t="s">
        <v>253</v>
      </c>
      <c r="H16" s="351" t="s">
        <v>254</v>
      </c>
      <c r="I16" s="351" t="s">
        <v>255</v>
      </c>
      <c r="J16" s="351" t="s">
        <v>256</v>
      </c>
      <c r="K16" s="352" t="s">
        <v>20</v>
      </c>
      <c r="L16" s="727"/>
      <c r="M16" s="747"/>
      <c r="N16" s="725" t="s">
        <v>380</v>
      </c>
      <c r="P16" s="725" t="s">
        <v>381</v>
      </c>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c r="AZ16" s="523"/>
      <c r="BA16" s="523"/>
      <c r="BB16" s="523"/>
      <c r="BC16" s="523"/>
    </row>
    <row r="17" spans="1:16" s="96" customFormat="1" ht="16.5" customHeight="1" x14ac:dyDescent="0.25">
      <c r="A17" s="367" t="s">
        <v>77</v>
      </c>
      <c r="B17" s="368" t="s">
        <v>78</v>
      </c>
      <c r="C17" s="368"/>
      <c r="D17" s="369"/>
      <c r="F17" s="370">
        <f t="shared" ref="F17:K17" si="0">SUM(F18,F21,F24)</f>
        <v>0</v>
      </c>
      <c r="G17" s="371">
        <f t="shared" si="0"/>
        <v>0</v>
      </c>
      <c r="H17" s="371">
        <f t="shared" si="0"/>
        <v>0</v>
      </c>
      <c r="I17" s="371">
        <f t="shared" si="0"/>
        <v>0</v>
      </c>
      <c r="J17" s="371">
        <f t="shared" si="0"/>
        <v>0</v>
      </c>
      <c r="K17" s="372">
        <f t="shared" si="0"/>
        <v>0</v>
      </c>
      <c r="L17" s="728"/>
      <c r="M17" s="748"/>
      <c r="N17" s="374">
        <f>SUM(N18,N21,N24)</f>
        <v>0</v>
      </c>
      <c r="O17" s="373"/>
      <c r="P17" s="374">
        <f>SUM(P18,P21,P24)</f>
        <v>0</v>
      </c>
    </row>
    <row r="18" spans="1:16" s="96" customFormat="1" ht="16.5" customHeight="1" x14ac:dyDescent="0.25">
      <c r="A18" s="367"/>
      <c r="B18" s="368" t="s">
        <v>79</v>
      </c>
      <c r="C18" s="368" t="s">
        <v>257</v>
      </c>
      <c r="D18" s="369"/>
      <c r="F18" s="1011">
        <v>0</v>
      </c>
      <c r="G18" s="1012">
        <v>0</v>
      </c>
      <c r="H18" s="1012">
        <v>0</v>
      </c>
      <c r="I18" s="1012">
        <v>0</v>
      </c>
      <c r="J18" s="1012">
        <v>0</v>
      </c>
      <c r="K18" s="353">
        <f>SUM(F18:J18)</f>
        <v>0</v>
      </c>
      <c r="L18" s="1013">
        <v>0</v>
      </c>
      <c r="M18" s="749"/>
      <c r="N18" s="144">
        <f>K18*L18</f>
        <v>0</v>
      </c>
      <c r="O18" s="373"/>
      <c r="P18" s="144">
        <f>K18-N18</f>
        <v>0</v>
      </c>
    </row>
    <row r="19" spans="1:16" s="96" customFormat="1" ht="16.5" customHeight="1" x14ac:dyDescent="0.25">
      <c r="A19" s="375"/>
      <c r="B19" s="368"/>
      <c r="C19" s="368"/>
      <c r="D19" s="376"/>
      <c r="E19" s="377"/>
      <c r="F19" s="378"/>
      <c r="G19" s="379"/>
      <c r="H19" s="379"/>
      <c r="I19" s="379"/>
      <c r="J19" s="379"/>
      <c r="K19" s="380"/>
      <c r="L19" s="729"/>
      <c r="M19" s="750"/>
      <c r="N19" s="381"/>
      <c r="O19" s="373"/>
      <c r="P19" s="381"/>
    </row>
    <row r="20" spans="1:16" s="96" customFormat="1" ht="16.5" customHeight="1" x14ac:dyDescent="0.25">
      <c r="A20" s="375"/>
      <c r="B20" s="368"/>
      <c r="C20" s="368"/>
      <c r="D20" s="376"/>
      <c r="E20" s="377"/>
      <c r="F20" s="378"/>
      <c r="G20" s="379"/>
      <c r="H20" s="379"/>
      <c r="I20" s="379"/>
      <c r="J20" s="379"/>
      <c r="K20" s="380"/>
      <c r="L20" s="729"/>
      <c r="M20" s="750"/>
      <c r="N20" s="381"/>
      <c r="O20" s="373"/>
      <c r="P20" s="381"/>
    </row>
    <row r="21" spans="1:16" s="96" customFormat="1" ht="16.5" customHeight="1" x14ac:dyDescent="0.25">
      <c r="A21" s="375"/>
      <c r="B21" s="368" t="s">
        <v>80</v>
      </c>
      <c r="C21" s="368" t="s">
        <v>258</v>
      </c>
      <c r="D21" s="382"/>
      <c r="E21" s="377"/>
      <c r="F21" s="1011">
        <v>0</v>
      </c>
      <c r="G21" s="1012">
        <v>0</v>
      </c>
      <c r="H21" s="1012">
        <v>0</v>
      </c>
      <c r="I21" s="1012">
        <v>0</v>
      </c>
      <c r="J21" s="1012">
        <v>0</v>
      </c>
      <c r="K21" s="353">
        <f>SUM(F21:J21)</f>
        <v>0</v>
      </c>
      <c r="L21" s="1013">
        <v>0</v>
      </c>
      <c r="M21" s="749"/>
      <c r="N21" s="144">
        <f>K21*L21</f>
        <v>0</v>
      </c>
      <c r="O21" s="373"/>
      <c r="P21" s="144">
        <f>K21-N21</f>
        <v>0</v>
      </c>
    </row>
    <row r="22" spans="1:16" s="96" customFormat="1" ht="16.5" customHeight="1" x14ac:dyDescent="0.25">
      <c r="A22" s="375"/>
      <c r="B22" s="368"/>
      <c r="C22" s="383"/>
      <c r="D22" s="384"/>
      <c r="E22" s="377"/>
      <c r="F22" s="385"/>
      <c r="G22" s="386"/>
      <c r="H22" s="386"/>
      <c r="I22" s="386"/>
      <c r="J22" s="386"/>
      <c r="K22" s="387"/>
      <c r="L22" s="730"/>
      <c r="M22" s="751"/>
      <c r="N22" s="388"/>
      <c r="O22" s="373"/>
      <c r="P22" s="388"/>
    </row>
    <row r="23" spans="1:16" s="96" customFormat="1" ht="16.5" customHeight="1" x14ac:dyDescent="0.25">
      <c r="A23" s="375"/>
      <c r="B23" s="368"/>
      <c r="C23" s="383"/>
      <c r="D23" s="382"/>
      <c r="E23" s="377"/>
      <c r="F23" s="378"/>
      <c r="G23" s="379"/>
      <c r="H23" s="379"/>
      <c r="I23" s="379"/>
      <c r="J23" s="379"/>
      <c r="K23" s="380"/>
      <c r="L23" s="729"/>
      <c r="M23" s="750"/>
      <c r="N23" s="381"/>
      <c r="O23" s="373"/>
      <c r="P23" s="381"/>
    </row>
    <row r="24" spans="1:16" s="96" customFormat="1" ht="16.5" customHeight="1" x14ac:dyDescent="0.25">
      <c r="A24" s="375"/>
      <c r="B24" s="368" t="s">
        <v>81</v>
      </c>
      <c r="C24" s="368" t="s">
        <v>259</v>
      </c>
      <c r="D24" s="382"/>
      <c r="E24" s="377"/>
      <c r="F24" s="1011">
        <v>0</v>
      </c>
      <c r="G24" s="1012">
        <v>0</v>
      </c>
      <c r="H24" s="1012">
        <v>0</v>
      </c>
      <c r="I24" s="1012">
        <v>0</v>
      </c>
      <c r="J24" s="1012">
        <v>0</v>
      </c>
      <c r="K24" s="353">
        <f>SUM(F24:J24)</f>
        <v>0</v>
      </c>
      <c r="L24" s="1013">
        <v>0</v>
      </c>
      <c r="M24" s="749"/>
      <c r="N24" s="144">
        <f>K24*L24</f>
        <v>0</v>
      </c>
      <c r="O24" s="373"/>
      <c r="P24" s="144">
        <f>K24-N24</f>
        <v>0</v>
      </c>
    </row>
    <row r="25" spans="1:16" s="394" customFormat="1" ht="16.5" customHeight="1" x14ac:dyDescent="0.25">
      <c r="A25" s="389"/>
      <c r="B25" s="390"/>
      <c r="C25" s="391"/>
      <c r="D25" s="384"/>
      <c r="E25" s="392"/>
      <c r="F25" s="385"/>
      <c r="G25" s="386"/>
      <c r="H25" s="386"/>
      <c r="I25" s="386"/>
      <c r="J25" s="386"/>
      <c r="K25" s="387"/>
      <c r="L25" s="730"/>
      <c r="M25" s="751"/>
      <c r="N25" s="388"/>
      <c r="O25" s="393"/>
      <c r="P25" s="388"/>
    </row>
    <row r="26" spans="1:16" s="394" customFormat="1" ht="16.5" customHeight="1" x14ac:dyDescent="0.25">
      <c r="A26" s="389"/>
      <c r="B26" s="390"/>
      <c r="C26" s="391"/>
      <c r="D26" s="395"/>
      <c r="E26" s="392"/>
      <c r="F26" s="396"/>
      <c r="G26" s="397"/>
      <c r="H26" s="397"/>
      <c r="I26" s="397"/>
      <c r="J26" s="397"/>
      <c r="K26" s="398"/>
      <c r="L26" s="731"/>
      <c r="M26" s="752"/>
      <c r="N26" s="399"/>
      <c r="O26" s="393"/>
      <c r="P26" s="399"/>
    </row>
    <row r="27" spans="1:16" s="96" customFormat="1" ht="16.5" customHeight="1" x14ac:dyDescent="0.25">
      <c r="A27" s="367" t="s">
        <v>82</v>
      </c>
      <c r="B27" s="368" t="s">
        <v>83</v>
      </c>
      <c r="C27" s="368"/>
      <c r="D27" s="400"/>
      <c r="F27" s="1015">
        <v>0</v>
      </c>
      <c r="G27" s="1016">
        <v>0</v>
      </c>
      <c r="H27" s="1016">
        <v>0</v>
      </c>
      <c r="I27" s="1016">
        <v>0</v>
      </c>
      <c r="J27" s="1016">
        <v>0</v>
      </c>
      <c r="K27" s="353">
        <f>SUM(F27:J27)</f>
        <v>0</v>
      </c>
      <c r="L27" s="1014">
        <v>0</v>
      </c>
      <c r="M27" s="748"/>
      <c r="N27" s="143">
        <f>K27*L27</f>
        <v>0</v>
      </c>
      <c r="O27" s="373"/>
      <c r="P27" s="143">
        <f>K27-N27</f>
        <v>0</v>
      </c>
    </row>
    <row r="28" spans="1:16" s="96" customFormat="1" ht="16.5" customHeight="1" x14ac:dyDescent="0.25">
      <c r="A28" s="375"/>
      <c r="B28" s="368"/>
      <c r="C28" s="1299"/>
      <c r="D28" s="1300"/>
      <c r="E28" s="401"/>
      <c r="F28" s="343"/>
      <c r="G28" s="344"/>
      <c r="H28" s="344"/>
      <c r="I28" s="344"/>
      <c r="J28" s="344"/>
      <c r="K28" s="353"/>
      <c r="L28" s="732"/>
      <c r="M28" s="749"/>
      <c r="N28" s="144"/>
      <c r="O28" s="373"/>
      <c r="P28" s="144"/>
    </row>
    <row r="29" spans="1:16" s="96" customFormat="1" ht="16.5" customHeight="1" x14ac:dyDescent="0.25">
      <c r="A29" s="375"/>
      <c r="B29" s="368"/>
      <c r="C29" s="1299"/>
      <c r="D29" s="1300"/>
      <c r="E29" s="401"/>
      <c r="F29" s="385"/>
      <c r="G29" s="386"/>
      <c r="H29" s="386"/>
      <c r="I29" s="386"/>
      <c r="J29" s="386"/>
      <c r="K29" s="387"/>
      <c r="L29" s="730"/>
      <c r="M29" s="751"/>
      <c r="N29" s="388"/>
      <c r="O29" s="373"/>
      <c r="P29" s="388"/>
    </row>
    <row r="30" spans="1:16" s="96" customFormat="1" ht="16.5" customHeight="1" x14ac:dyDescent="0.25">
      <c r="A30" s="367" t="s">
        <v>84</v>
      </c>
      <c r="B30" s="368" t="s">
        <v>85</v>
      </c>
      <c r="C30" s="368"/>
      <c r="D30" s="400"/>
      <c r="F30" s="402">
        <f t="shared" ref="F30:K30" si="1">SUM(F31,F33,F35)</f>
        <v>0</v>
      </c>
      <c r="G30" s="403">
        <f t="shared" si="1"/>
        <v>0</v>
      </c>
      <c r="H30" s="403">
        <f t="shared" si="1"/>
        <v>0</v>
      </c>
      <c r="I30" s="403">
        <f t="shared" si="1"/>
        <v>0</v>
      </c>
      <c r="J30" s="403">
        <f t="shared" si="1"/>
        <v>0</v>
      </c>
      <c r="K30" s="353">
        <f t="shared" si="1"/>
        <v>0</v>
      </c>
      <c r="L30" s="730"/>
      <c r="M30" s="751"/>
      <c r="N30" s="143">
        <f>SUM(N31,N33,N35)</f>
        <v>0</v>
      </c>
      <c r="O30" s="373"/>
      <c r="P30" s="143">
        <f>SUM(P31,P33,P35)</f>
        <v>0</v>
      </c>
    </row>
    <row r="31" spans="1:16" s="96" customFormat="1" ht="16.5" customHeight="1" x14ac:dyDescent="0.25">
      <c r="A31" s="375"/>
      <c r="B31" s="368" t="s">
        <v>86</v>
      </c>
      <c r="C31" s="368" t="s">
        <v>89</v>
      </c>
      <c r="D31" s="404"/>
      <c r="E31" s="401"/>
      <c r="F31" s="1011">
        <v>0</v>
      </c>
      <c r="G31" s="1012">
        <v>0</v>
      </c>
      <c r="H31" s="1012">
        <v>0</v>
      </c>
      <c r="I31" s="1012">
        <v>0</v>
      </c>
      <c r="J31" s="1012">
        <v>0</v>
      </c>
      <c r="K31" s="353">
        <f>SUM(F31:J31)</f>
        <v>0</v>
      </c>
      <c r="L31" s="1013">
        <v>0</v>
      </c>
      <c r="M31" s="749"/>
      <c r="N31" s="144">
        <f>K31*L31</f>
        <v>0</v>
      </c>
      <c r="O31" s="373"/>
      <c r="P31" s="144">
        <f>K31-N31</f>
        <v>0</v>
      </c>
    </row>
    <row r="32" spans="1:16" s="96" customFormat="1" ht="16.5" customHeight="1" x14ac:dyDescent="0.25">
      <c r="A32" s="375"/>
      <c r="B32" s="368"/>
      <c r="C32" s="368"/>
      <c r="D32" s="384"/>
      <c r="E32" s="401"/>
      <c r="F32" s="385"/>
      <c r="G32" s="386"/>
      <c r="H32" s="386"/>
      <c r="I32" s="386"/>
      <c r="J32" s="386"/>
      <c r="K32" s="387"/>
      <c r="L32" s="730"/>
      <c r="M32" s="751"/>
      <c r="N32" s="388"/>
      <c r="O32" s="373"/>
      <c r="P32" s="388"/>
    </row>
    <row r="33" spans="1:20" s="96" customFormat="1" ht="16.5" customHeight="1" x14ac:dyDescent="0.25">
      <c r="A33" s="375"/>
      <c r="B33" s="368" t="s">
        <v>88</v>
      </c>
      <c r="C33" s="368" t="s">
        <v>87</v>
      </c>
      <c r="D33" s="400"/>
      <c r="F33" s="1011">
        <v>0</v>
      </c>
      <c r="G33" s="1012">
        <v>0</v>
      </c>
      <c r="H33" s="1012">
        <v>0</v>
      </c>
      <c r="I33" s="1012">
        <v>0</v>
      </c>
      <c r="J33" s="1012">
        <v>0</v>
      </c>
      <c r="K33" s="353">
        <f>SUM(F33:J33)</f>
        <v>0</v>
      </c>
      <c r="L33" s="1013">
        <v>0</v>
      </c>
      <c r="M33" s="749"/>
      <c r="N33" s="144">
        <f>K33*L33</f>
        <v>0</v>
      </c>
      <c r="O33" s="373"/>
      <c r="P33" s="144">
        <f>K33-N33</f>
        <v>0</v>
      </c>
    </row>
    <row r="34" spans="1:20" s="96" customFormat="1" ht="16.5" customHeight="1" x14ac:dyDescent="0.25">
      <c r="A34" s="375"/>
      <c r="B34" s="368"/>
      <c r="C34" s="368"/>
      <c r="D34" s="384"/>
      <c r="E34" s="401"/>
      <c r="F34" s="385"/>
      <c r="G34" s="386"/>
      <c r="H34" s="386"/>
      <c r="I34" s="386"/>
      <c r="J34" s="386"/>
      <c r="K34" s="387"/>
      <c r="L34" s="730"/>
      <c r="M34" s="751"/>
      <c r="N34" s="388"/>
      <c r="O34" s="373"/>
      <c r="P34" s="388"/>
    </row>
    <row r="35" spans="1:20" s="96" customFormat="1" ht="16.5" customHeight="1" x14ac:dyDescent="0.25">
      <c r="A35" s="405"/>
      <c r="B35" s="406" t="s">
        <v>115</v>
      </c>
      <c r="C35" s="406" t="s">
        <v>114</v>
      </c>
      <c r="D35" s="407"/>
      <c r="F35" s="408"/>
      <c r="G35" s="409"/>
      <c r="H35" s="409"/>
      <c r="I35" s="409"/>
      <c r="J35" s="409"/>
      <c r="K35" s="410"/>
      <c r="L35" s="733"/>
      <c r="M35" s="749"/>
      <c r="N35" s="411"/>
      <c r="O35" s="373"/>
      <c r="P35" s="411"/>
    </row>
    <row r="36" spans="1:20" s="96" customFormat="1" ht="16.5" customHeight="1" x14ac:dyDescent="0.25">
      <c r="A36" s="375"/>
      <c r="B36" s="412"/>
      <c r="C36" s="412"/>
      <c r="D36" s="384"/>
      <c r="F36" s="385"/>
      <c r="G36" s="386"/>
      <c r="H36" s="386"/>
      <c r="I36" s="386"/>
      <c r="J36" s="386"/>
      <c r="K36" s="387"/>
      <c r="L36" s="730"/>
      <c r="M36" s="751"/>
      <c r="N36" s="388"/>
      <c r="O36" s="373"/>
      <c r="P36" s="388"/>
    </row>
    <row r="37" spans="1:20" s="96" customFormat="1" ht="16.5" customHeight="1" x14ac:dyDescent="0.25">
      <c r="A37" s="375"/>
      <c r="B37" s="412"/>
      <c r="C37" s="413"/>
      <c r="D37" s="404"/>
      <c r="E37" s="414"/>
      <c r="F37" s="415"/>
      <c r="G37" s="416"/>
      <c r="H37" s="416"/>
      <c r="I37" s="416"/>
      <c r="J37" s="416"/>
      <c r="K37" s="417"/>
      <c r="L37" s="729"/>
      <c r="M37" s="750"/>
      <c r="N37" s="418"/>
      <c r="O37" s="373"/>
      <c r="P37" s="418"/>
    </row>
    <row r="38" spans="1:20" s="96" customFormat="1" ht="16.5" customHeight="1" x14ac:dyDescent="0.25">
      <c r="A38" s="367" t="s">
        <v>90</v>
      </c>
      <c r="B38" s="368" t="s">
        <v>91</v>
      </c>
      <c r="C38" s="368"/>
      <c r="D38" s="404"/>
      <c r="F38" s="1015">
        <v>0</v>
      </c>
      <c r="G38" s="1016">
        <v>0</v>
      </c>
      <c r="H38" s="1016">
        <v>0</v>
      </c>
      <c r="I38" s="1016">
        <v>0</v>
      </c>
      <c r="J38" s="1016">
        <v>0</v>
      </c>
      <c r="K38" s="353">
        <f>SUM(F38:J38)</f>
        <v>0</v>
      </c>
      <c r="L38" s="1014">
        <v>0</v>
      </c>
      <c r="M38" s="748"/>
      <c r="N38" s="143">
        <f>K38*L38</f>
        <v>0</v>
      </c>
      <c r="O38" s="373"/>
      <c r="P38" s="143">
        <f>K38-N38</f>
        <v>0</v>
      </c>
    </row>
    <row r="39" spans="1:20" s="96" customFormat="1" ht="16.5" customHeight="1" x14ac:dyDescent="0.25">
      <c r="A39" s="419"/>
      <c r="B39" s="97"/>
      <c r="C39" s="1301"/>
      <c r="D39" s="1302"/>
      <c r="F39" s="343"/>
      <c r="G39" s="344"/>
      <c r="H39" s="344"/>
      <c r="I39" s="344"/>
      <c r="J39" s="344"/>
      <c r="K39" s="353"/>
      <c r="L39" s="732"/>
      <c r="M39" s="749"/>
      <c r="N39" s="144"/>
      <c r="O39" s="373"/>
      <c r="P39" s="144"/>
    </row>
    <row r="40" spans="1:20" s="423" customFormat="1" ht="13" x14ac:dyDescent="0.25">
      <c r="A40" s="420"/>
      <c r="B40" s="421"/>
      <c r="C40" s="140"/>
      <c r="D40" s="422"/>
      <c r="F40" s="424"/>
      <c r="G40" s="425"/>
      <c r="H40" s="425"/>
      <c r="I40" s="425"/>
      <c r="J40" s="425"/>
      <c r="K40" s="426"/>
      <c r="L40" s="734"/>
      <c r="M40" s="751"/>
      <c r="N40" s="427"/>
      <c r="P40" s="427"/>
    </row>
    <row r="41" spans="1:20" s="423" customFormat="1" ht="17.25" customHeight="1" x14ac:dyDescent="0.25">
      <c r="A41" s="190" t="s">
        <v>92</v>
      </c>
      <c r="B41" s="1297" t="s">
        <v>97</v>
      </c>
      <c r="C41" s="1297"/>
      <c r="D41" s="1298"/>
      <c r="F41" s="428"/>
      <c r="G41" s="429"/>
      <c r="H41" s="429"/>
      <c r="I41" s="429"/>
      <c r="J41" s="429"/>
      <c r="K41" s="410"/>
      <c r="L41" s="735"/>
      <c r="M41" s="748"/>
      <c r="N41" s="430"/>
      <c r="P41" s="430"/>
    </row>
    <row r="42" spans="1:20" s="96" customFormat="1" ht="16.5" customHeight="1" x14ac:dyDescent="0.25">
      <c r="A42" s="375"/>
      <c r="B42" s="412"/>
      <c r="C42" s="412"/>
      <c r="D42" s="384"/>
      <c r="F42" s="385"/>
      <c r="G42" s="386"/>
      <c r="H42" s="386"/>
      <c r="I42" s="386"/>
      <c r="J42" s="386"/>
      <c r="K42" s="387"/>
      <c r="L42" s="730"/>
      <c r="M42" s="751"/>
      <c r="N42" s="388"/>
      <c r="O42" s="373"/>
      <c r="P42" s="388"/>
    </row>
    <row r="43" spans="1:20" s="96" customFormat="1" ht="16.5" customHeight="1" x14ac:dyDescent="0.25">
      <c r="A43" s="375"/>
      <c r="B43" s="412"/>
      <c r="C43" s="413"/>
      <c r="D43" s="404"/>
      <c r="E43" s="414"/>
      <c r="F43" s="415"/>
      <c r="G43" s="416"/>
      <c r="H43" s="416"/>
      <c r="I43" s="416"/>
      <c r="J43" s="416"/>
      <c r="K43" s="417"/>
      <c r="L43" s="729"/>
      <c r="M43" s="750"/>
      <c r="N43" s="418"/>
      <c r="O43" s="373"/>
      <c r="P43" s="418"/>
    </row>
    <row r="44" spans="1:20" s="96" customFormat="1" ht="27.65" customHeight="1" x14ac:dyDescent="0.25">
      <c r="A44" s="367" t="s">
        <v>171</v>
      </c>
      <c r="B44" s="1295" t="s">
        <v>260</v>
      </c>
      <c r="C44" s="1295"/>
      <c r="D44" s="1296"/>
      <c r="F44" s="1015">
        <v>0</v>
      </c>
      <c r="G44" s="1016">
        <v>0</v>
      </c>
      <c r="H44" s="1016">
        <v>0</v>
      </c>
      <c r="I44" s="1016">
        <v>0</v>
      </c>
      <c r="J44" s="1016">
        <v>0</v>
      </c>
      <c r="K44" s="353">
        <f>SUM(F44:J44)</f>
        <v>0</v>
      </c>
      <c r="L44" s="736">
        <v>0</v>
      </c>
      <c r="M44" s="748"/>
      <c r="N44" s="143">
        <f>K44*L44</f>
        <v>0</v>
      </c>
      <c r="O44" s="373"/>
      <c r="P44" s="143">
        <f>K44-N44</f>
        <v>0</v>
      </c>
    </row>
    <row r="45" spans="1:20" s="423" customFormat="1" ht="13" x14ac:dyDescent="0.25">
      <c r="A45" s="420"/>
      <c r="B45" s="421"/>
      <c r="C45" s="140"/>
      <c r="D45" s="422"/>
      <c r="F45" s="424"/>
      <c r="G45" s="425"/>
      <c r="H45" s="425"/>
      <c r="I45" s="425"/>
      <c r="J45" s="425"/>
      <c r="K45" s="426"/>
      <c r="L45" s="734"/>
      <c r="M45" s="751"/>
      <c r="N45" s="427"/>
      <c r="P45" s="427"/>
    </row>
    <row r="46" spans="1:20" s="423" customFormat="1" ht="13.5" thickBot="1" x14ac:dyDescent="0.3">
      <c r="A46" s="420"/>
      <c r="B46" s="421"/>
      <c r="C46" s="140"/>
      <c r="D46" s="422"/>
      <c r="F46" s="424"/>
      <c r="G46" s="425"/>
      <c r="H46" s="425"/>
      <c r="I46" s="425"/>
      <c r="J46" s="425"/>
      <c r="K46" s="426"/>
      <c r="L46" s="737"/>
      <c r="M46" s="753"/>
      <c r="N46" s="427"/>
      <c r="P46" s="427"/>
    </row>
    <row r="47" spans="1:20" s="345" customFormat="1" ht="16.5" customHeight="1" thickBot="1" x14ac:dyDescent="0.3">
      <c r="A47" s="431"/>
      <c r="B47" s="432" t="s">
        <v>372</v>
      </c>
      <c r="C47" s="433"/>
      <c r="D47" s="434"/>
      <c r="F47" s="435">
        <f t="shared" ref="F47:K47" si="2">SUM(F38,F30,F27,F17,F44)</f>
        <v>0</v>
      </c>
      <c r="G47" s="436">
        <f t="shared" si="2"/>
        <v>0</v>
      </c>
      <c r="H47" s="436">
        <f t="shared" si="2"/>
        <v>0</v>
      </c>
      <c r="I47" s="436">
        <f t="shared" si="2"/>
        <v>0</v>
      </c>
      <c r="J47" s="436">
        <f t="shared" si="2"/>
        <v>0</v>
      </c>
      <c r="K47" s="437">
        <f t="shared" si="2"/>
        <v>0</v>
      </c>
      <c r="L47" s="738"/>
      <c r="M47" s="754"/>
      <c r="N47" s="439">
        <f>SUM(N38,N30,N27,N17,N44)</f>
        <v>0</v>
      </c>
      <c r="O47" s="438"/>
      <c r="P47" s="439">
        <f>SUM(P38,P30,P27,P17,P44)</f>
        <v>0</v>
      </c>
    </row>
    <row r="48" spans="1:20" s="440" customFormat="1" ht="13.5" customHeight="1" x14ac:dyDescent="0.25">
      <c r="D48" s="441"/>
      <c r="F48" s="442"/>
      <c r="G48" s="442"/>
      <c r="H48" s="442"/>
      <c r="I48" s="442"/>
      <c r="J48" s="442"/>
      <c r="K48" s="442"/>
      <c r="L48" s="442"/>
      <c r="M48" s="743"/>
      <c r="N48" s="442"/>
      <c r="T48" s="95"/>
    </row>
    <row r="49" spans="2:14" s="440" customFormat="1" ht="13.5" customHeight="1" x14ac:dyDescent="0.25">
      <c r="B49" s="443"/>
      <c r="D49" s="441"/>
      <c r="F49" s="444"/>
      <c r="G49" s="444"/>
      <c r="H49" s="444"/>
      <c r="I49" s="444"/>
      <c r="J49" s="444"/>
      <c r="K49" s="444"/>
      <c r="L49" s="444"/>
      <c r="M49" s="744"/>
      <c r="N49" s="444"/>
    </row>
    <row r="50" spans="2:14" s="440" customFormat="1" ht="13.5" customHeight="1" x14ac:dyDescent="0.25">
      <c r="D50" s="441"/>
      <c r="M50" s="745"/>
    </row>
    <row r="51" spans="2:14" ht="13.5" customHeight="1" x14ac:dyDescent="0.25"/>
    <row r="52" spans="2:14" ht="13.5" customHeight="1" x14ac:dyDescent="0.25"/>
    <row r="53" spans="2:14" ht="13.5" customHeight="1" x14ac:dyDescent="0.25"/>
    <row r="54" spans="2:14" ht="17.25" customHeight="1" x14ac:dyDescent="0.25"/>
    <row r="55" spans="2:14" ht="17.25" customHeight="1" x14ac:dyDescent="0.25"/>
  </sheetData>
  <sheetProtection algorithmName="SHA-512" hashValue="A9vLh9Vjwj8OlwW4vmDWafOsP1rWaMWKXl35uZFOWyvHTatrDZp0uiZUbbUd10DGNCfbnxsgC3fXrh1JGWOU0w==" saltValue="vaIn+MsSkEUYWwB5+zLRcA==" spinCount="100000" sheet="1" objects="1" scenarios="1"/>
  <mergeCells count="8">
    <mergeCell ref="A1:P1"/>
    <mergeCell ref="B5:F12"/>
    <mergeCell ref="F15:K15"/>
    <mergeCell ref="B44:D44"/>
    <mergeCell ref="B41:D41"/>
    <mergeCell ref="C28:D28"/>
    <mergeCell ref="C29:D29"/>
    <mergeCell ref="C39:D39"/>
  </mergeCells>
  <conditionalFormatting sqref="A1:XFD1048576">
    <cfRule type="expression" dxfId="41" priority="1">
      <formula>$U$2="ex-ante"</formula>
    </cfRule>
    <cfRule type="expression" dxfId="40" priority="2">
      <formula>$R$1="gas"</formula>
    </cfRule>
  </conditionalFormatting>
  <pageMargins left="0.55118110236220474" right="0.23622047244094491" top="0.43307086614173229" bottom="0.43307086614173229" header="0.27559055118110237" footer="0.27559055118110237"/>
  <pageSetup paperSize="8" scale="85" orientation="landscape" r:id="rId1"/>
  <headerFooter scaleWithDoc="0" alignWithMargins="0">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pageSetUpPr fitToPage="1"/>
  </sheetPr>
  <dimension ref="A1:BF42"/>
  <sheetViews>
    <sheetView zoomScale="80" zoomScaleNormal="80" workbookViewId="0">
      <selection activeCell="O32" sqref="O32"/>
    </sheetView>
  </sheetViews>
  <sheetFormatPr defaultColWidth="9.1796875" defaultRowHeight="12.5" x14ac:dyDescent="0.25"/>
  <cols>
    <col min="1" max="1" width="7.26953125" style="451" customWidth="1"/>
    <col min="2" max="2" width="7" style="451" customWidth="1"/>
    <col min="3" max="3" width="30.1796875" style="451" customWidth="1"/>
    <col min="4" max="4" width="10.1796875" style="493" customWidth="1"/>
    <col min="5" max="11" width="20.7265625" style="493" customWidth="1"/>
    <col min="12" max="12" width="2.26953125" style="771" customWidth="1"/>
    <col min="13" max="13" width="25.7265625" style="493" customWidth="1"/>
    <col min="14" max="14" width="2.26953125" style="451" customWidth="1"/>
    <col min="15" max="15" width="25.7265625" style="451" customWidth="1"/>
    <col min="16" max="16384" width="9.1796875" style="451"/>
  </cols>
  <sheetData>
    <row r="1" spans="1:58" s="445" customFormat="1" ht="18.5" thickBot="1" x14ac:dyDescent="0.3">
      <c r="A1" s="1225" t="str">
        <f>"TABEL 5D: Werkelijke opbrengsten uit periodieke distributienettarieven in boekjaar "&amp;TITELBLAD!E16&amp;" (elektriciteit-injectie)"</f>
        <v>TABEL 5D: Werkelijke opbrengsten uit periodieke distributienettarieven in boekjaar 2021 (elektriciteit-injectie)</v>
      </c>
      <c r="B1" s="1226"/>
      <c r="C1" s="1226"/>
      <c r="D1" s="1226"/>
      <c r="E1" s="1226"/>
      <c r="F1" s="1226"/>
      <c r="G1" s="1226"/>
      <c r="H1" s="1226"/>
      <c r="I1" s="1226"/>
      <c r="J1" s="1226"/>
      <c r="K1" s="1226"/>
      <c r="L1" s="1226"/>
      <c r="M1" s="1226"/>
      <c r="N1" s="1226"/>
      <c r="O1" s="1227"/>
      <c r="P1" s="524"/>
      <c r="Q1" s="524"/>
      <c r="R1" s="524"/>
      <c r="S1" s="524"/>
      <c r="T1" s="524"/>
      <c r="U1" s="524"/>
      <c r="V1" s="524"/>
      <c r="W1" s="524"/>
      <c r="X1" s="524"/>
    </row>
    <row r="2" spans="1:58" s="448" customFormat="1" ht="10.5" x14ac:dyDescent="0.25">
      <c r="A2" s="446"/>
      <c r="B2" s="446"/>
      <c r="C2" s="446"/>
      <c r="D2" s="447"/>
      <c r="E2" s="447"/>
      <c r="F2" s="447"/>
      <c r="G2" s="447"/>
      <c r="H2" s="447"/>
      <c r="I2" s="447"/>
      <c r="J2" s="447"/>
      <c r="K2" s="447"/>
      <c r="L2" s="755"/>
      <c r="M2" s="447"/>
      <c r="P2" s="525"/>
      <c r="Q2" s="525"/>
      <c r="R2" s="525"/>
      <c r="S2" s="525"/>
      <c r="T2" s="525"/>
      <c r="U2" s="525"/>
      <c r="V2" s="525"/>
      <c r="W2" s="525"/>
      <c r="X2" s="525"/>
    </row>
    <row r="3" spans="1:58" s="167" customFormat="1" x14ac:dyDescent="0.25">
      <c r="L3" s="301"/>
      <c r="P3" s="296"/>
      <c r="Q3" s="296"/>
      <c r="R3" s="296"/>
      <c r="S3" s="296"/>
      <c r="T3" s="296"/>
      <c r="U3" s="296"/>
      <c r="V3" s="296"/>
      <c r="W3" s="296"/>
      <c r="X3" s="296"/>
    </row>
    <row r="4" spans="1:58" s="167" customFormat="1" ht="13" x14ac:dyDescent="0.25">
      <c r="B4" s="358" t="s">
        <v>124</v>
      </c>
      <c r="K4" s="296"/>
      <c r="L4" s="75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row>
    <row r="5" spans="1:58" s="167" customFormat="1" ht="12.65" customHeight="1" x14ac:dyDescent="0.25">
      <c r="B5" s="1291" t="s">
        <v>262</v>
      </c>
      <c r="C5" s="1291"/>
      <c r="D5" s="1291"/>
      <c r="E5" s="1291"/>
      <c r="F5" s="1291"/>
      <c r="G5" s="1291"/>
      <c r="H5" s="494"/>
      <c r="I5" s="494"/>
      <c r="J5" s="494"/>
      <c r="K5" s="529"/>
      <c r="L5" s="757"/>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row>
    <row r="6" spans="1:58" s="167" customFormat="1" ht="12.65" customHeight="1" x14ac:dyDescent="0.25">
      <c r="B6" s="1291"/>
      <c r="C6" s="1291"/>
      <c r="D6" s="1291"/>
      <c r="E6" s="1291"/>
      <c r="F6" s="1291"/>
      <c r="G6" s="1291"/>
      <c r="H6" s="494"/>
      <c r="I6" s="494"/>
      <c r="J6" s="494"/>
      <c r="K6" s="529"/>
      <c r="L6" s="757"/>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row>
    <row r="7" spans="1:58" s="167" customFormat="1" ht="12.65" customHeight="1" x14ac:dyDescent="0.25">
      <c r="B7" s="1291"/>
      <c r="C7" s="1291"/>
      <c r="D7" s="1291"/>
      <c r="E7" s="1291"/>
      <c r="F7" s="1291"/>
      <c r="G7" s="1291"/>
      <c r="H7" s="494"/>
      <c r="I7" s="494"/>
      <c r="J7" s="494"/>
      <c r="K7" s="529"/>
      <c r="L7" s="757"/>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row>
    <row r="8" spans="1:58" s="167" customFormat="1" ht="12.65" customHeight="1" x14ac:dyDescent="0.25">
      <c r="B8" s="1291"/>
      <c r="C8" s="1291"/>
      <c r="D8" s="1291"/>
      <c r="E8" s="1291"/>
      <c r="F8" s="1291"/>
      <c r="G8" s="1291"/>
      <c r="H8" s="529"/>
      <c r="I8" s="529"/>
      <c r="J8" s="529"/>
      <c r="K8" s="529"/>
      <c r="L8" s="757"/>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row>
    <row r="9" spans="1:58" s="167" customFormat="1" ht="12.65" customHeight="1" x14ac:dyDescent="0.25">
      <c r="B9" s="1291"/>
      <c r="C9" s="1291"/>
      <c r="D9" s="1291"/>
      <c r="E9" s="1291"/>
      <c r="F9" s="1291"/>
      <c r="G9" s="1291"/>
      <c r="H9" s="529"/>
      <c r="I9" s="529"/>
      <c r="J9" s="529"/>
      <c r="K9" s="529"/>
      <c r="L9" s="757"/>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row>
    <row r="10" spans="1:58" s="167" customFormat="1" ht="12.65" customHeight="1" x14ac:dyDescent="0.25">
      <c r="B10" s="1291"/>
      <c r="C10" s="1291"/>
      <c r="D10" s="1291"/>
      <c r="E10" s="1291"/>
      <c r="F10" s="1291"/>
      <c r="G10" s="1291"/>
      <c r="H10" s="529"/>
      <c r="I10" s="529"/>
      <c r="J10" s="529"/>
      <c r="K10" s="529"/>
      <c r="L10" s="757"/>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row>
    <row r="11" spans="1:58" s="167" customFormat="1" ht="12.65" customHeight="1" x14ac:dyDescent="0.25">
      <c r="B11" s="1291"/>
      <c r="C11" s="1291"/>
      <c r="D11" s="1291"/>
      <c r="E11" s="1291"/>
      <c r="F11" s="1291"/>
      <c r="G11" s="1291"/>
      <c r="H11" s="529"/>
      <c r="I11" s="529"/>
      <c r="J11" s="529"/>
      <c r="K11" s="529"/>
      <c r="L11" s="757"/>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row>
    <row r="12" spans="1:58" s="167" customFormat="1" ht="12.65" customHeight="1" x14ac:dyDescent="0.25">
      <c r="B12" s="1291"/>
      <c r="C12" s="1291"/>
      <c r="D12" s="1291"/>
      <c r="E12" s="1291"/>
      <c r="F12" s="1291"/>
      <c r="G12" s="1291"/>
      <c r="H12" s="494"/>
      <c r="I12" s="494"/>
      <c r="J12" s="494"/>
      <c r="K12" s="529"/>
      <c r="L12" s="757"/>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row>
    <row r="13" spans="1:58" s="167" customFormat="1" ht="41.25" customHeight="1" x14ac:dyDescent="0.25">
      <c r="B13" s="1291"/>
      <c r="C13" s="1291"/>
      <c r="D13" s="1291"/>
      <c r="E13" s="1291"/>
      <c r="F13" s="1291"/>
      <c r="G13" s="1291"/>
      <c r="H13" s="494"/>
      <c r="I13" s="494"/>
      <c r="J13" s="494"/>
      <c r="K13" s="529"/>
      <c r="L13" s="757"/>
      <c r="M13" s="296"/>
      <c r="N13" s="296"/>
      <c r="O13" s="296"/>
      <c r="P13" s="296"/>
      <c r="Q13" s="209"/>
      <c r="R13" s="209"/>
      <c r="S13" s="209"/>
      <c r="T13" s="209"/>
      <c r="U13" s="209"/>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row>
    <row r="14" spans="1:58" s="167" customFormat="1" x14ac:dyDescent="0.25">
      <c r="L14" s="301"/>
      <c r="P14" s="296"/>
      <c r="Q14" s="209" t="str">
        <f>+TITELBLAD!C10</f>
        <v>elektriciteit</v>
      </c>
      <c r="R14" s="452"/>
      <c r="S14" s="209"/>
      <c r="T14" s="209"/>
      <c r="U14" s="209"/>
      <c r="V14" s="296"/>
      <c r="W14" s="296"/>
      <c r="X14" s="296"/>
    </row>
    <row r="15" spans="1:58" ht="18.5" thickBot="1" x14ac:dyDescent="0.3">
      <c r="A15" s="449"/>
      <c r="B15" s="101"/>
      <c r="C15" s="101"/>
      <c r="D15" s="450"/>
      <c r="E15" s="450"/>
      <c r="F15" s="450"/>
      <c r="G15" s="450"/>
      <c r="H15" s="450"/>
      <c r="I15" s="450"/>
      <c r="J15" s="450"/>
      <c r="K15" s="450"/>
      <c r="L15" s="758"/>
      <c r="M15" s="450"/>
      <c r="N15" s="101"/>
      <c r="P15" s="526"/>
      <c r="Q15" s="452" t="str">
        <f>+TITELBLAD!B16</f>
        <v>Rapportering over boekjaar:</v>
      </c>
      <c r="R15" s="452"/>
      <c r="S15" s="452"/>
      <c r="T15" s="452">
        <f>+TITELBLAD!E16</f>
        <v>2021</v>
      </c>
      <c r="U15" s="452" t="str">
        <f>+TITELBLAD!F16</f>
        <v>ex-ante</v>
      </c>
      <c r="V15" s="526"/>
      <c r="W15" s="526"/>
      <c r="X15" s="526"/>
    </row>
    <row r="16" spans="1:58" s="456" customFormat="1" ht="56.25" customHeight="1" thickBot="1" x14ac:dyDescent="0.3">
      <c r="A16" s="453"/>
      <c r="B16" s="454"/>
      <c r="C16" s="454"/>
      <c r="D16" s="455"/>
      <c r="E16" s="1292" t="str">
        <f>"Werkelijke opbrengsten uit periodieke distributienettarieven in boekjaar "&amp;TITELBLAD!E16&amp;" (elektriciteit- injectie)"</f>
        <v>Werkelijke opbrengsten uit periodieke distributienettarieven in boekjaar 2021 (elektriciteit- injectie)</v>
      </c>
      <c r="F16" s="1293"/>
      <c r="G16" s="1293"/>
      <c r="H16" s="1293"/>
      <c r="I16" s="1293"/>
      <c r="J16" s="1293"/>
      <c r="K16" s="772" t="s">
        <v>116</v>
      </c>
      <c r="L16" s="759"/>
      <c r="M16" s="217" t="str">
        <f>"Werkelijke opbrengsten m.b.t. endogene kosten in boekjaar "&amp;TITELBLAD!E16&amp;" (elektriciteit-injectie)"</f>
        <v>Werkelijke opbrengsten m.b.t. endogene kosten in boekjaar 2021 (elektriciteit-injectie)</v>
      </c>
      <c r="N16" s="101"/>
      <c r="O16" s="217" t="str">
        <f>"Werkelijke opbrengsten m.b.t. exogene kosten in boekjaar "&amp;TITELBLAD!E16&amp;" (elektriciteit-injectie)"</f>
        <v>Werkelijke opbrengsten m.b.t. exogene kosten in boekjaar 2021 (elektriciteit-injectie)</v>
      </c>
      <c r="P16" s="527"/>
      <c r="Q16" s="457"/>
      <c r="R16" s="457"/>
      <c r="S16" s="457"/>
      <c r="T16" s="452"/>
      <c r="U16" s="452"/>
      <c r="V16" s="527"/>
      <c r="W16" s="527"/>
      <c r="X16" s="527"/>
    </row>
    <row r="17" spans="1:22" s="98" customFormat="1" ht="28.5" customHeight="1" thickBot="1" x14ac:dyDescent="0.3">
      <c r="A17" s="458"/>
      <c r="B17" s="459"/>
      <c r="C17" s="459"/>
      <c r="D17" s="460"/>
      <c r="E17" s="350" t="s">
        <v>252</v>
      </c>
      <c r="F17" s="351" t="s">
        <v>253</v>
      </c>
      <c r="G17" s="351" t="s">
        <v>254</v>
      </c>
      <c r="H17" s="351" t="s">
        <v>255</v>
      </c>
      <c r="I17" s="351" t="s">
        <v>256</v>
      </c>
      <c r="J17" s="516" t="s">
        <v>20</v>
      </c>
      <c r="K17" s="773"/>
      <c r="L17" s="760"/>
      <c r="M17" s="781" t="s">
        <v>380</v>
      </c>
      <c r="N17" s="101"/>
      <c r="O17" s="781" t="s">
        <v>381</v>
      </c>
      <c r="P17" s="528"/>
      <c r="Q17" s="528"/>
      <c r="R17" s="528"/>
      <c r="S17" s="528"/>
      <c r="T17" s="528"/>
      <c r="U17" s="528"/>
      <c r="V17" s="528"/>
    </row>
    <row r="18" spans="1:22" s="101" customFormat="1" ht="16.5" customHeight="1" x14ac:dyDescent="0.25">
      <c r="A18" s="461"/>
      <c r="B18" s="462"/>
      <c r="C18" s="463"/>
      <c r="D18" s="464"/>
      <c r="E18" s="502"/>
      <c r="F18" s="509"/>
      <c r="G18" s="509"/>
      <c r="H18" s="509"/>
      <c r="I18" s="509"/>
      <c r="J18" s="496"/>
      <c r="K18" s="774"/>
      <c r="L18" s="761"/>
      <c r="M18" s="495"/>
      <c r="O18" s="495"/>
      <c r="P18" s="526"/>
      <c r="Q18" s="526"/>
      <c r="R18" s="526"/>
      <c r="S18" s="526"/>
      <c r="T18" s="526"/>
      <c r="U18" s="526"/>
      <c r="V18" s="526"/>
    </row>
    <row r="19" spans="1:22" s="101" customFormat="1" ht="16.5" customHeight="1" x14ac:dyDescent="0.25">
      <c r="A19" s="465"/>
      <c r="B19" s="466"/>
      <c r="C19" s="467"/>
      <c r="D19" s="100"/>
      <c r="E19" s="503"/>
      <c r="F19" s="510"/>
      <c r="G19" s="510"/>
      <c r="H19" s="510"/>
      <c r="I19" s="510"/>
      <c r="J19" s="497"/>
      <c r="K19" s="775"/>
      <c r="L19" s="762"/>
      <c r="M19" s="468"/>
      <c r="O19" s="468"/>
      <c r="P19" s="526"/>
      <c r="Q19" s="526"/>
      <c r="R19" s="526"/>
      <c r="S19" s="526"/>
      <c r="T19" s="526"/>
      <c r="U19" s="526"/>
      <c r="V19" s="526"/>
    </row>
    <row r="20" spans="1:22" s="101" customFormat="1" ht="16.5" customHeight="1" x14ac:dyDescent="0.25">
      <c r="A20" s="465" t="s">
        <v>77</v>
      </c>
      <c r="B20" s="462" t="s">
        <v>258</v>
      </c>
      <c r="C20" s="469"/>
      <c r="D20" s="100"/>
      <c r="E20" s="1015">
        <v>0</v>
      </c>
      <c r="F20" s="1016">
        <v>0</v>
      </c>
      <c r="G20" s="1016">
        <v>0</v>
      </c>
      <c r="H20" s="1016">
        <v>0</v>
      </c>
      <c r="I20" s="1016">
        <v>0</v>
      </c>
      <c r="J20" s="353">
        <f>SUM(E20:I20)</f>
        <v>0</v>
      </c>
      <c r="K20" s="1017">
        <v>0</v>
      </c>
      <c r="L20" s="763"/>
      <c r="M20" s="143">
        <f>+J20*K20</f>
        <v>0</v>
      </c>
      <c r="O20" s="143">
        <f>+J20-M20</f>
        <v>0</v>
      </c>
      <c r="P20" s="526"/>
      <c r="Q20" s="526"/>
      <c r="R20" s="526"/>
      <c r="S20" s="526"/>
      <c r="T20" s="526"/>
      <c r="U20" s="526"/>
      <c r="V20" s="526"/>
    </row>
    <row r="21" spans="1:22" s="101" customFormat="1" ht="16.5" customHeight="1" x14ac:dyDescent="0.25">
      <c r="A21" s="99"/>
      <c r="B21" s="470"/>
      <c r="C21" s="470"/>
      <c r="D21" s="384"/>
      <c r="E21" s="504"/>
      <c r="F21" s="511"/>
      <c r="G21" s="511"/>
      <c r="H21" s="511"/>
      <c r="I21" s="511"/>
      <c r="J21" s="517"/>
      <c r="K21" s="736"/>
      <c r="L21" s="742"/>
      <c r="M21" s="145"/>
      <c r="O21" s="145"/>
      <c r="P21" s="526"/>
      <c r="Q21" s="526"/>
      <c r="R21" s="526"/>
      <c r="S21" s="526"/>
      <c r="T21" s="526"/>
      <c r="U21" s="526"/>
      <c r="V21" s="526"/>
    </row>
    <row r="22" spans="1:22" s="101" customFormat="1" ht="16.5" customHeight="1" x14ac:dyDescent="0.25">
      <c r="A22" s="99"/>
      <c r="B22" s="470"/>
      <c r="C22" s="470"/>
      <c r="D22" s="384"/>
      <c r="E22" s="505"/>
      <c r="F22" s="512"/>
      <c r="G22" s="512"/>
      <c r="H22" s="512"/>
      <c r="I22" s="512"/>
      <c r="J22" s="498"/>
      <c r="K22" s="776"/>
      <c r="L22" s="764"/>
      <c r="M22" s="471"/>
      <c r="O22" s="471"/>
      <c r="P22" s="526"/>
      <c r="Q22" s="526"/>
      <c r="R22" s="526"/>
      <c r="S22" s="526"/>
      <c r="T22" s="526"/>
      <c r="U22" s="526"/>
      <c r="V22" s="526"/>
    </row>
    <row r="23" spans="1:22" s="101" customFormat="1" ht="14.25" customHeight="1" x14ac:dyDescent="0.25">
      <c r="A23" s="99" t="s">
        <v>82</v>
      </c>
      <c r="B23" s="1303" t="s">
        <v>259</v>
      </c>
      <c r="C23" s="1303"/>
      <c r="D23" s="1304"/>
      <c r="E23" s="1015">
        <v>0</v>
      </c>
      <c r="F23" s="1016">
        <v>0</v>
      </c>
      <c r="G23" s="1016">
        <v>0</v>
      </c>
      <c r="H23" s="1016">
        <v>0</v>
      </c>
      <c r="I23" s="1016">
        <v>0</v>
      </c>
      <c r="J23" s="353">
        <f>SUM(E23:I23)</f>
        <v>0</v>
      </c>
      <c r="K23" s="1017">
        <v>0</v>
      </c>
      <c r="L23" s="763"/>
      <c r="M23" s="143">
        <f>+J23*K23</f>
        <v>0</v>
      </c>
      <c r="N23" s="472"/>
      <c r="O23" s="143">
        <f>+J23-M23</f>
        <v>0</v>
      </c>
      <c r="P23" s="526"/>
      <c r="Q23" s="526"/>
      <c r="R23" s="526"/>
      <c r="S23" s="526"/>
      <c r="T23" s="526"/>
      <c r="U23" s="526"/>
      <c r="V23" s="526"/>
    </row>
    <row r="24" spans="1:22" s="101" customFormat="1" ht="16.5" customHeight="1" x14ac:dyDescent="0.25">
      <c r="A24" s="473"/>
      <c r="B24" s="474"/>
      <c r="C24" s="475"/>
      <c r="D24" s="476"/>
      <c r="E24" s="504"/>
      <c r="F24" s="511"/>
      <c r="G24" s="511"/>
      <c r="H24" s="511"/>
      <c r="I24" s="511"/>
      <c r="J24" s="517"/>
      <c r="K24" s="736"/>
      <c r="L24" s="742"/>
      <c r="M24" s="145"/>
      <c r="O24" s="145"/>
      <c r="P24" s="526"/>
      <c r="Q24" s="526"/>
      <c r="R24" s="526"/>
      <c r="S24" s="526"/>
      <c r="T24" s="526"/>
      <c r="U24" s="526"/>
      <c r="V24" s="526"/>
    </row>
    <row r="25" spans="1:22" s="101" customFormat="1" ht="16.5" customHeight="1" x14ac:dyDescent="0.25">
      <c r="A25" s="473"/>
      <c r="B25" s="474"/>
      <c r="C25" s="475"/>
      <c r="D25" s="477"/>
      <c r="E25" s="506"/>
      <c r="F25" s="513"/>
      <c r="G25" s="513"/>
      <c r="H25" s="513"/>
      <c r="I25" s="513"/>
      <c r="J25" s="499"/>
      <c r="K25" s="777"/>
      <c r="L25" s="765"/>
      <c r="M25" s="478"/>
      <c r="N25" s="479"/>
      <c r="O25" s="478"/>
    </row>
    <row r="26" spans="1:22" s="101" customFormat="1" ht="16.5" customHeight="1" x14ac:dyDescent="0.25">
      <c r="A26" s="99" t="s">
        <v>84</v>
      </c>
      <c r="B26" s="474" t="s">
        <v>87</v>
      </c>
      <c r="C26" s="474"/>
      <c r="D26" s="477"/>
      <c r="E26" s="1015">
        <v>0</v>
      </c>
      <c r="F26" s="1016">
        <v>0</v>
      </c>
      <c r="G26" s="1016">
        <v>0</v>
      </c>
      <c r="H26" s="1016">
        <v>0</v>
      </c>
      <c r="I26" s="1016">
        <v>0</v>
      </c>
      <c r="J26" s="353">
        <f>SUM(E26:I26)</f>
        <v>0</v>
      </c>
      <c r="K26" s="1017">
        <v>0</v>
      </c>
      <c r="L26" s="763"/>
      <c r="M26" s="143">
        <f>+J26*K26</f>
        <v>0</v>
      </c>
      <c r="O26" s="143">
        <f>+J26-M26</f>
        <v>0</v>
      </c>
    </row>
    <row r="27" spans="1:22" s="101" customFormat="1" ht="16.5" customHeight="1" x14ac:dyDescent="0.25">
      <c r="A27" s="473"/>
      <c r="B27" s="470"/>
      <c r="C27" s="470"/>
      <c r="D27" s="100"/>
      <c r="E27" s="504"/>
      <c r="F27" s="511"/>
      <c r="G27" s="511"/>
      <c r="H27" s="511"/>
      <c r="I27" s="511"/>
      <c r="J27" s="517"/>
      <c r="K27" s="736"/>
      <c r="L27" s="742"/>
      <c r="M27" s="145"/>
      <c r="O27" s="145"/>
    </row>
    <row r="28" spans="1:22" s="101" customFormat="1" ht="16.5" customHeight="1" x14ac:dyDescent="0.25">
      <c r="A28" s="473"/>
      <c r="B28" s="474"/>
      <c r="C28" s="474"/>
      <c r="D28" s="384"/>
      <c r="E28" s="505"/>
      <c r="F28" s="512"/>
      <c r="G28" s="512"/>
      <c r="H28" s="512"/>
      <c r="I28" s="512"/>
      <c r="J28" s="498"/>
      <c r="K28" s="776"/>
      <c r="L28" s="764"/>
      <c r="M28" s="471"/>
      <c r="N28" s="472"/>
      <c r="O28" s="471"/>
    </row>
    <row r="29" spans="1:22" s="101" customFormat="1" ht="16.5" customHeight="1" x14ac:dyDescent="0.25">
      <c r="A29" s="99" t="s">
        <v>90</v>
      </c>
      <c r="B29" s="474" t="s">
        <v>91</v>
      </c>
      <c r="C29" s="474"/>
      <c r="D29" s="477"/>
      <c r="E29" s="1015">
        <v>0</v>
      </c>
      <c r="F29" s="1016">
        <v>0</v>
      </c>
      <c r="G29" s="1016">
        <v>0</v>
      </c>
      <c r="H29" s="1016">
        <v>0</v>
      </c>
      <c r="I29" s="1016">
        <v>0</v>
      </c>
      <c r="J29" s="353">
        <f>SUM(E29:I29)</f>
        <v>0</v>
      </c>
      <c r="K29" s="1017">
        <v>0</v>
      </c>
      <c r="L29" s="763"/>
      <c r="M29" s="143">
        <f>+J29*K29</f>
        <v>0</v>
      </c>
      <c r="O29" s="143">
        <f>+J29-M29</f>
        <v>0</v>
      </c>
    </row>
    <row r="30" spans="1:22" s="101" customFormat="1" ht="16.5" customHeight="1" x14ac:dyDescent="0.25">
      <c r="A30" s="473"/>
      <c r="B30" s="139"/>
      <c r="C30" s="140"/>
      <c r="D30" s="100"/>
      <c r="E30" s="504"/>
      <c r="F30" s="511"/>
      <c r="G30" s="511"/>
      <c r="H30" s="511"/>
      <c r="I30" s="511"/>
      <c r="J30" s="517"/>
      <c r="K30" s="778"/>
      <c r="L30" s="766"/>
      <c r="M30" s="145"/>
      <c r="O30" s="145"/>
    </row>
    <row r="31" spans="1:22" s="98" customFormat="1" ht="16.5" customHeight="1" thickBot="1" x14ac:dyDescent="0.3">
      <c r="A31" s="480"/>
      <c r="B31" s="481"/>
      <c r="C31" s="481"/>
      <c r="D31" s="482"/>
      <c r="E31" s="507"/>
      <c r="F31" s="514"/>
      <c r="G31" s="514"/>
      <c r="H31" s="514"/>
      <c r="I31" s="514"/>
      <c r="J31" s="500"/>
      <c r="K31" s="779"/>
      <c r="L31" s="767"/>
      <c r="M31" s="483"/>
      <c r="O31" s="483"/>
    </row>
    <row r="32" spans="1:22" s="489" customFormat="1" ht="16.5" customHeight="1" thickBot="1" x14ac:dyDescent="0.3">
      <c r="A32" s="484"/>
      <c r="B32" s="485" t="s">
        <v>373</v>
      </c>
      <c r="C32" s="486"/>
      <c r="D32" s="487"/>
      <c r="E32" s="508">
        <f>SUM(E29,E26,E23,E20)</f>
        <v>0</v>
      </c>
      <c r="F32" s="515">
        <f t="shared" ref="F32:J32" si="0">SUM(F29,F26,F23,F20)</f>
        <v>0</v>
      </c>
      <c r="G32" s="515">
        <f t="shared" si="0"/>
        <v>0</v>
      </c>
      <c r="H32" s="515">
        <f t="shared" si="0"/>
        <v>0</v>
      </c>
      <c r="I32" s="515">
        <f t="shared" si="0"/>
        <v>0</v>
      </c>
      <c r="J32" s="501">
        <f t="shared" si="0"/>
        <v>0</v>
      </c>
      <c r="K32" s="780"/>
      <c r="L32" s="768"/>
      <c r="M32" s="488">
        <f>SUM(M29,M26,M23,M20)</f>
        <v>0</v>
      </c>
      <c r="N32" s="98"/>
      <c r="O32" s="488">
        <f>SUM(O29,O26,O23,O20)</f>
        <v>0</v>
      </c>
    </row>
    <row r="33" spans="3:14" s="490" customFormat="1" ht="13.5" customHeight="1" x14ac:dyDescent="0.25">
      <c r="C33" s="491"/>
      <c r="L33" s="769"/>
      <c r="N33" s="98"/>
    </row>
    <row r="34" spans="3:14" s="490" customFormat="1" ht="13.5" customHeight="1" x14ac:dyDescent="0.25">
      <c r="D34" s="492"/>
      <c r="E34" s="492"/>
      <c r="F34" s="492"/>
      <c r="G34" s="492"/>
      <c r="H34" s="492"/>
      <c r="I34" s="492"/>
      <c r="J34" s="492"/>
      <c r="K34" s="492"/>
      <c r="L34" s="770"/>
      <c r="M34" s="492"/>
    </row>
    <row r="35" spans="3:14" s="490" customFormat="1" ht="13.5" customHeight="1" x14ac:dyDescent="0.25">
      <c r="D35" s="492"/>
      <c r="E35" s="492"/>
      <c r="F35" s="492"/>
      <c r="G35" s="492"/>
      <c r="H35" s="492"/>
      <c r="I35" s="492"/>
      <c r="J35" s="492"/>
      <c r="K35" s="492"/>
      <c r="L35" s="770"/>
      <c r="M35" s="492"/>
    </row>
    <row r="36" spans="3:14" s="490" customFormat="1" ht="13.5" customHeight="1" x14ac:dyDescent="0.25">
      <c r="D36" s="492"/>
      <c r="E36" s="492"/>
      <c r="F36" s="492"/>
      <c r="G36" s="492"/>
      <c r="H36" s="492"/>
      <c r="I36" s="492"/>
      <c r="J36" s="492"/>
      <c r="K36" s="492"/>
      <c r="L36" s="770"/>
      <c r="M36" s="492"/>
    </row>
    <row r="37" spans="3:14" s="490" customFormat="1" ht="13.5" customHeight="1" x14ac:dyDescent="0.25">
      <c r="D37" s="492"/>
      <c r="E37" s="492"/>
      <c r="F37" s="492"/>
      <c r="G37" s="492"/>
      <c r="H37" s="492"/>
      <c r="I37" s="492"/>
      <c r="J37" s="492"/>
      <c r="K37" s="492"/>
      <c r="L37" s="770"/>
      <c r="M37" s="492"/>
    </row>
    <row r="38" spans="3:14" ht="13.5" customHeight="1" x14ac:dyDescent="0.25">
      <c r="N38" s="490"/>
    </row>
    <row r="39" spans="3:14" ht="13.5" customHeight="1" x14ac:dyDescent="0.25">
      <c r="N39" s="490"/>
    </row>
    <row r="40" spans="3:14" ht="13.5" customHeight="1" x14ac:dyDescent="0.25">
      <c r="N40" s="490"/>
    </row>
    <row r="41" spans="3:14" ht="17.25" customHeight="1" x14ac:dyDescent="0.25"/>
    <row r="42" spans="3:14" ht="17.25" customHeight="1" x14ac:dyDescent="0.25"/>
  </sheetData>
  <sheetProtection algorithmName="SHA-512" hashValue="G3uoPSyUlMtEpvITTpOpKdRDfvaV7nTDd2yeVqVZRynLXQzEDNcB5H6EWQ7rEaDeCcQhv7M01LST/vwGrCSdbg==" saltValue="ZTp0htzK7kSRG19bsZyoGQ==" spinCount="100000" sheet="1" objects="1" scenarios="1"/>
  <mergeCells count="4">
    <mergeCell ref="B23:D23"/>
    <mergeCell ref="A1:O1"/>
    <mergeCell ref="E16:J16"/>
    <mergeCell ref="B5:G13"/>
  </mergeCells>
  <conditionalFormatting sqref="A1:XFD1048576">
    <cfRule type="expression" dxfId="39" priority="1">
      <formula>$U$15="ex-ante"</formula>
    </cfRule>
    <cfRule type="expression" dxfId="38" priority="2">
      <formula>$Q$14="gas"</formula>
    </cfRule>
  </conditionalFormatting>
  <pageMargins left="7.874015748031496E-2" right="7.874015748031496E-2" top="0.39370078740157483" bottom="0.39370078740157483" header="0.31496062992125984" footer="0.31496062992125984"/>
  <pageSetup paperSize="8" orientation="landscape" r:id="rId1"/>
  <headerFooter alignWithMargins="0">
    <oddFooter>&amp;L&amp;"Arial,Bold Italic"&amp;8&amp;F&amp;C&amp;"Arial,Bold Italic"&amp;8&amp;A&amp;"Arial,Regular"&amp;10
&amp;R&amp;"Arial,Bold Italic"&amp;8&amp;D
Pagina 1 / 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pageSetUpPr fitToPage="1"/>
  </sheetPr>
  <dimension ref="A1:Y38"/>
  <sheetViews>
    <sheetView zoomScale="80" zoomScaleNormal="80" workbookViewId="0">
      <selection activeCell="G29" sqref="G29"/>
    </sheetView>
  </sheetViews>
  <sheetFormatPr defaultColWidth="9.1796875" defaultRowHeight="12.5" x14ac:dyDescent="0.25"/>
  <cols>
    <col min="1" max="1" width="8.54296875" style="531" customWidth="1"/>
    <col min="2" max="2" width="52.1796875" style="531" customWidth="1"/>
    <col min="3" max="3" width="8.54296875" style="531" customWidth="1"/>
    <col min="4" max="4" width="3.7265625" style="531" customWidth="1"/>
    <col min="5" max="13" width="20.7265625" style="531" customWidth="1"/>
    <col min="14" max="14" width="2.26953125" style="783" customWidth="1"/>
    <col min="15" max="15" width="25.7265625" style="531" customWidth="1"/>
    <col min="16" max="16" width="2.26953125" style="531" customWidth="1"/>
    <col min="17" max="17" width="25.7265625" style="531" customWidth="1"/>
    <col min="18" max="16384" width="9.1796875" style="531"/>
  </cols>
  <sheetData>
    <row r="1" spans="1:25" ht="18.5" thickBot="1" x14ac:dyDescent="0.3">
      <c r="A1" s="1225" t="str">
        <f>"TABEL 5E: Werkelijke opbrengsten uit periodieke distributienettarieven in boekjaar "&amp;TITELBLAD!E16&amp;" (gas - afname)"</f>
        <v>TABEL 5E: Werkelijke opbrengsten uit periodieke distributienettarieven in boekjaar 2021 (gas - afname)</v>
      </c>
      <c r="B1" s="1226"/>
      <c r="C1" s="1226"/>
      <c r="D1" s="1226"/>
      <c r="E1" s="1226"/>
      <c r="F1" s="1226"/>
      <c r="G1" s="1226"/>
      <c r="H1" s="1226"/>
      <c r="I1" s="1226"/>
      <c r="J1" s="1226"/>
      <c r="K1" s="1226"/>
      <c r="L1" s="1226"/>
      <c r="M1" s="1226"/>
      <c r="N1" s="1226"/>
      <c r="O1" s="1227"/>
      <c r="P1" s="530"/>
      <c r="Q1" s="555"/>
      <c r="R1" s="555"/>
      <c r="S1" s="556"/>
      <c r="T1" s="556"/>
      <c r="U1" s="556"/>
      <c r="V1" s="556"/>
      <c r="W1" s="556"/>
      <c r="X1" s="556"/>
      <c r="Y1" s="556"/>
    </row>
    <row r="2" spans="1:25" x14ac:dyDescent="0.25">
      <c r="Q2" s="556"/>
      <c r="R2" s="556"/>
      <c r="S2" s="556"/>
      <c r="T2" s="556"/>
      <c r="U2" s="556"/>
      <c r="V2" s="556"/>
      <c r="W2" s="556"/>
      <c r="X2" s="556"/>
      <c r="Y2" s="556"/>
    </row>
    <row r="3" spans="1:25" s="167" customFormat="1" x14ac:dyDescent="0.25">
      <c r="N3" s="301"/>
      <c r="Q3" s="296"/>
      <c r="R3" s="296"/>
      <c r="S3" s="296"/>
      <c r="T3" s="296"/>
      <c r="U3" s="296"/>
      <c r="V3" s="296"/>
      <c r="W3" s="296"/>
      <c r="X3" s="296"/>
      <c r="Y3" s="296"/>
    </row>
    <row r="4" spans="1:25" s="167" customFormat="1" ht="13" x14ac:dyDescent="0.25">
      <c r="B4" s="358" t="s">
        <v>124</v>
      </c>
      <c r="N4" s="301"/>
      <c r="Q4" s="296"/>
      <c r="R4" s="296"/>
      <c r="S4" s="296"/>
      <c r="T4" s="296"/>
      <c r="U4" s="296"/>
      <c r="V4" s="296"/>
      <c r="W4" s="296"/>
      <c r="X4" s="296"/>
      <c r="Y4" s="296"/>
    </row>
    <row r="5" spans="1:25" s="167" customFormat="1" ht="12.65" customHeight="1" x14ac:dyDescent="0.25">
      <c r="B5" s="1291" t="s">
        <v>263</v>
      </c>
      <c r="C5" s="1291"/>
      <c r="D5" s="1291"/>
      <c r="E5" s="1291"/>
      <c r="F5" s="1291"/>
      <c r="G5" s="982"/>
      <c r="H5" s="494"/>
      <c r="I5" s="494"/>
      <c r="J5" s="494"/>
      <c r="K5" s="494"/>
      <c r="L5" s="494"/>
      <c r="M5" s="494"/>
      <c r="N5" s="784"/>
      <c r="Q5" s="296"/>
      <c r="R5" s="296"/>
      <c r="S5" s="296"/>
      <c r="T5" s="296"/>
      <c r="U5" s="296"/>
      <c r="V5" s="296"/>
      <c r="W5" s="296"/>
      <c r="X5" s="296"/>
      <c r="Y5" s="296"/>
    </row>
    <row r="6" spans="1:25" s="167" customFormat="1" ht="12.65" customHeight="1" x14ac:dyDescent="0.25">
      <c r="B6" s="1291"/>
      <c r="C6" s="1291"/>
      <c r="D6" s="1291"/>
      <c r="E6" s="1291"/>
      <c r="F6" s="1291"/>
      <c r="G6" s="982"/>
      <c r="H6" s="494"/>
      <c r="I6" s="494"/>
      <c r="J6" s="494"/>
      <c r="K6" s="494"/>
      <c r="L6" s="494"/>
      <c r="M6" s="494"/>
      <c r="N6" s="784"/>
      <c r="Q6" s="296"/>
      <c r="R6" s="296"/>
      <c r="S6" s="209"/>
      <c r="T6" s="209"/>
      <c r="U6" s="209"/>
      <c r="V6" s="209"/>
      <c r="W6" s="209"/>
      <c r="X6" s="296"/>
      <c r="Y6" s="296"/>
    </row>
    <row r="7" spans="1:25" s="167" customFormat="1" ht="12.65" customHeight="1" x14ac:dyDescent="0.25">
      <c r="B7" s="1291"/>
      <c r="C7" s="1291"/>
      <c r="D7" s="1291"/>
      <c r="E7" s="1291"/>
      <c r="F7" s="1291"/>
      <c r="G7" s="982"/>
      <c r="H7" s="494"/>
      <c r="I7" s="494"/>
      <c r="J7" s="494"/>
      <c r="K7" s="494"/>
      <c r="L7" s="494"/>
      <c r="M7" s="494"/>
      <c r="N7" s="784"/>
      <c r="Q7" s="296"/>
      <c r="R7" s="296"/>
      <c r="S7" s="209"/>
      <c r="T7" s="209"/>
      <c r="U7" s="209"/>
      <c r="V7" s="209"/>
      <c r="W7" s="209"/>
      <c r="X7" s="296"/>
      <c r="Y7" s="296"/>
    </row>
    <row r="8" spans="1:25" s="167" customFormat="1" ht="12.65" customHeight="1" x14ac:dyDescent="0.25">
      <c r="B8" s="1291"/>
      <c r="C8" s="1291"/>
      <c r="D8" s="1291"/>
      <c r="E8" s="1291"/>
      <c r="F8" s="1291"/>
      <c r="G8" s="982"/>
      <c r="H8" s="494"/>
      <c r="I8" s="494"/>
      <c r="J8" s="494"/>
      <c r="K8" s="494"/>
      <c r="L8" s="494"/>
      <c r="M8" s="494"/>
      <c r="N8" s="784"/>
      <c r="Q8" s="296"/>
      <c r="R8" s="296"/>
      <c r="S8" s="209"/>
      <c r="T8" s="209"/>
      <c r="U8" s="209"/>
      <c r="V8" s="209"/>
      <c r="W8" s="209"/>
      <c r="X8" s="296"/>
      <c r="Y8" s="296"/>
    </row>
    <row r="9" spans="1:25" s="167" customFormat="1" ht="12.65" customHeight="1" x14ac:dyDescent="0.25">
      <c r="B9" s="1291"/>
      <c r="C9" s="1291"/>
      <c r="D9" s="1291"/>
      <c r="E9" s="1291"/>
      <c r="F9" s="1291"/>
      <c r="G9" s="982"/>
      <c r="H9" s="494"/>
      <c r="I9" s="494"/>
      <c r="J9" s="494"/>
      <c r="K9" s="494"/>
      <c r="L9" s="494"/>
      <c r="M9" s="494"/>
      <c r="N9" s="784"/>
      <c r="Q9" s="296"/>
      <c r="R9" s="296"/>
      <c r="S9" s="209"/>
      <c r="T9" s="209"/>
      <c r="U9" s="209"/>
      <c r="V9" s="209"/>
      <c r="W9" s="209"/>
      <c r="X9" s="296"/>
      <c r="Y9" s="296"/>
    </row>
    <row r="10" spans="1:25" s="167" customFormat="1" ht="12.65" customHeight="1" x14ac:dyDescent="0.25">
      <c r="B10" s="1291"/>
      <c r="C10" s="1291"/>
      <c r="D10" s="1291"/>
      <c r="E10" s="1291"/>
      <c r="F10" s="1291"/>
      <c r="G10" s="982"/>
      <c r="H10" s="494"/>
      <c r="I10" s="494"/>
      <c r="J10" s="494"/>
      <c r="K10" s="494"/>
      <c r="L10" s="494"/>
      <c r="M10" s="494"/>
      <c r="N10" s="784"/>
      <c r="Q10" s="296"/>
      <c r="R10" s="296"/>
      <c r="S10" s="209"/>
      <c r="T10" s="209"/>
      <c r="U10" s="209"/>
      <c r="V10" s="209"/>
      <c r="W10" s="209"/>
      <c r="X10" s="296"/>
      <c r="Y10" s="296"/>
    </row>
    <row r="11" spans="1:25" s="167" customFormat="1" ht="12.65" customHeight="1" x14ac:dyDescent="0.25">
      <c r="B11" s="1291"/>
      <c r="C11" s="1291"/>
      <c r="D11" s="1291"/>
      <c r="E11" s="1291"/>
      <c r="F11" s="1291"/>
      <c r="G11" s="982"/>
      <c r="H11" s="494"/>
      <c r="I11" s="494"/>
      <c r="J11" s="494"/>
      <c r="K11" s="494"/>
      <c r="L11" s="494"/>
      <c r="M11" s="494"/>
      <c r="N11" s="784"/>
      <c r="Q11" s="296"/>
      <c r="R11" s="296"/>
      <c r="S11" s="209"/>
      <c r="T11" s="209"/>
      <c r="U11" s="209"/>
      <c r="V11" s="209"/>
      <c r="W11" s="209"/>
      <c r="X11" s="296"/>
      <c r="Y11" s="296"/>
    </row>
    <row r="12" spans="1:25" s="167" customFormat="1" ht="12.65" customHeight="1" x14ac:dyDescent="0.25">
      <c r="B12" s="1291"/>
      <c r="C12" s="1291"/>
      <c r="D12" s="1291"/>
      <c r="E12" s="1291"/>
      <c r="F12" s="1291"/>
      <c r="G12" s="982"/>
      <c r="H12" s="494"/>
      <c r="I12" s="494"/>
      <c r="J12" s="494"/>
      <c r="K12" s="494"/>
      <c r="L12" s="494"/>
      <c r="M12" s="494"/>
      <c r="N12" s="784"/>
      <c r="Q12" s="296"/>
      <c r="R12" s="296"/>
      <c r="S12" s="209"/>
      <c r="T12" s="209"/>
      <c r="U12" s="209"/>
      <c r="V12" s="209"/>
      <c r="W12" s="209"/>
      <c r="X12" s="296"/>
      <c r="Y12" s="296"/>
    </row>
    <row r="13" spans="1:25" s="167" customFormat="1" ht="39.75" customHeight="1" x14ac:dyDescent="0.25">
      <c r="B13" s="1291"/>
      <c r="C13" s="1291"/>
      <c r="D13" s="1291"/>
      <c r="E13" s="1291"/>
      <c r="F13" s="1291"/>
      <c r="G13" s="982"/>
      <c r="H13" s="494"/>
      <c r="I13" s="494"/>
      <c r="J13" s="494"/>
      <c r="K13" s="494"/>
      <c r="L13" s="494"/>
      <c r="M13" s="494"/>
      <c r="N13" s="784"/>
      <c r="Q13" s="296"/>
      <c r="R13" s="296"/>
      <c r="S13" s="209"/>
      <c r="T13" s="209"/>
      <c r="U13" s="209"/>
      <c r="V13" s="209"/>
      <c r="W13" s="209"/>
      <c r="X13" s="296"/>
      <c r="Y13" s="296"/>
    </row>
    <row r="14" spans="1:25" s="167" customFormat="1" x14ac:dyDescent="0.25">
      <c r="N14" s="301"/>
      <c r="Q14" s="296"/>
      <c r="R14" s="296"/>
      <c r="S14" s="209"/>
      <c r="T14" s="209"/>
      <c r="U14" s="209"/>
      <c r="V14" s="209"/>
      <c r="W14" s="209"/>
      <c r="X14" s="296"/>
      <c r="Y14" s="296"/>
    </row>
    <row r="15" spans="1:25" x14ac:dyDescent="0.25">
      <c r="Q15" s="556"/>
      <c r="R15" s="556"/>
      <c r="S15" s="532" t="str">
        <f>+TITELBLAD!C10</f>
        <v>elektriciteit</v>
      </c>
      <c r="T15" s="532"/>
      <c r="U15" s="532"/>
      <c r="V15" s="532"/>
      <c r="W15" s="532"/>
      <c r="X15" s="556"/>
      <c r="Y15" s="556"/>
    </row>
    <row r="16" spans="1:25" ht="15" customHeight="1" thickBot="1" x14ac:dyDescent="0.3">
      <c r="R16" s="532"/>
      <c r="S16" s="532" t="str">
        <f>+TITELBLAD!B16</f>
        <v>Rapportering over boekjaar:</v>
      </c>
      <c r="T16" s="532"/>
      <c r="U16" s="532"/>
      <c r="V16" s="532">
        <f>+TITELBLAD!E16</f>
        <v>2021</v>
      </c>
      <c r="W16" s="532" t="str">
        <f>+TITELBLAD!F16</f>
        <v>ex-ante</v>
      </c>
    </row>
    <row r="17" spans="1:23" ht="57.75" customHeight="1" thickBot="1" x14ac:dyDescent="0.3">
      <c r="A17" s="1305"/>
      <c r="B17" s="1306"/>
      <c r="C17" s="1307"/>
      <c r="D17" s="218"/>
      <c r="E17" s="1311" t="str">
        <f>"Werkelijke opbrengsten uit periodieke distributienettarieven in boekjaar "&amp;TITELBLAD!E16&amp;" (gas-afname)"</f>
        <v>Werkelijke opbrengsten uit periodieke distributienettarieven in boekjaar 2021 (gas-afname)</v>
      </c>
      <c r="F17" s="1312"/>
      <c r="G17" s="1312"/>
      <c r="H17" s="1312"/>
      <c r="I17" s="1312"/>
      <c r="J17" s="1312"/>
      <c r="K17" s="1312"/>
      <c r="L17" s="1313"/>
      <c r="M17" s="790" t="s">
        <v>116</v>
      </c>
      <c r="N17" s="785"/>
      <c r="O17" s="217" t="str">
        <f>"Werkelijke opbrengsten m.b.t. endogene kosten in boekjaar "&amp;TITELBLAD!E16&amp;" (gas-afname)"</f>
        <v>Werkelijke opbrengsten m.b.t. endogene kosten in boekjaar 2021 (gas-afname)</v>
      </c>
      <c r="Q17" s="217" t="str">
        <f>"Werkelijke opbrengsten m.b.t. exogene kosten in boekjaar "&amp;TITELBLAD!E16&amp;" (gas-afname)"</f>
        <v>Werkelijke opbrengsten m.b.t. exogene kosten in boekjaar 2021 (gas-afname)</v>
      </c>
      <c r="R17" s="532"/>
      <c r="S17" s="532"/>
      <c r="T17" s="532"/>
      <c r="U17" s="532"/>
      <c r="V17" s="532"/>
      <c r="W17" s="532"/>
    </row>
    <row r="18" spans="1:23" s="122" customFormat="1" ht="23.5" customHeight="1" thickBot="1" x14ac:dyDescent="0.3">
      <c r="A18" s="1308"/>
      <c r="B18" s="1309"/>
      <c r="C18" s="1310"/>
      <c r="D18" s="218"/>
      <c r="E18" s="539" t="s">
        <v>268</v>
      </c>
      <c r="F18" s="538" t="s">
        <v>269</v>
      </c>
      <c r="G18" s="538" t="s">
        <v>270</v>
      </c>
      <c r="H18" s="538" t="s">
        <v>271</v>
      </c>
      <c r="I18" s="538" t="s">
        <v>272</v>
      </c>
      <c r="J18" s="538" t="s">
        <v>273</v>
      </c>
      <c r="K18" s="538" t="s">
        <v>274</v>
      </c>
      <c r="L18" s="102" t="s">
        <v>20</v>
      </c>
      <c r="M18" s="791"/>
      <c r="N18" s="786"/>
      <c r="O18" s="781" t="s">
        <v>380</v>
      </c>
      <c r="Q18" s="781" t="s">
        <v>381</v>
      </c>
      <c r="S18" s="532"/>
      <c r="T18" s="532"/>
      <c r="U18" s="532"/>
      <c r="V18" s="532"/>
      <c r="W18" s="532"/>
    </row>
    <row r="19" spans="1:23" s="122" customFormat="1" ht="18.75" customHeight="1" x14ac:dyDescent="0.25">
      <c r="A19" s="536" t="s">
        <v>264</v>
      </c>
      <c r="B19" s="103"/>
      <c r="C19" s="104"/>
      <c r="D19" s="105"/>
      <c r="E19" s="540">
        <f t="shared" ref="E19:L19" si="0">SUM(E21,E27,E24)</f>
        <v>0</v>
      </c>
      <c r="F19" s="549">
        <f t="shared" si="0"/>
        <v>0</v>
      </c>
      <c r="G19" s="549">
        <f t="shared" si="0"/>
        <v>0</v>
      </c>
      <c r="H19" s="549">
        <f t="shared" si="0"/>
        <v>0</v>
      </c>
      <c r="I19" s="549">
        <f t="shared" si="0"/>
        <v>0</v>
      </c>
      <c r="J19" s="549">
        <f t="shared" si="0"/>
        <v>0</v>
      </c>
      <c r="K19" s="549">
        <f t="shared" si="0"/>
        <v>0</v>
      </c>
      <c r="L19" s="542">
        <f t="shared" si="0"/>
        <v>0</v>
      </c>
      <c r="M19" s="792"/>
      <c r="N19" s="742"/>
      <c r="O19" s="151">
        <f>SUM(O21,O27,O24)</f>
        <v>0</v>
      </c>
      <c r="Q19" s="151">
        <f>SUM(Q21,Q27,Q24)</f>
        <v>0</v>
      </c>
      <c r="S19" s="532"/>
      <c r="T19" s="532"/>
      <c r="U19" s="532"/>
      <c r="V19" s="532"/>
      <c r="W19" s="532"/>
    </row>
    <row r="20" spans="1:23" s="533" customFormat="1" ht="18" customHeight="1" x14ac:dyDescent="0.25">
      <c r="A20" s="106"/>
      <c r="B20" s="103"/>
      <c r="C20" s="104"/>
      <c r="D20" s="105"/>
      <c r="E20" s="106"/>
      <c r="F20" s="550"/>
      <c r="G20" s="550"/>
      <c r="H20" s="550"/>
      <c r="I20" s="550"/>
      <c r="J20" s="550"/>
      <c r="K20" s="550"/>
      <c r="L20" s="543"/>
      <c r="M20" s="793"/>
      <c r="N20" s="740"/>
      <c r="O20" s="152"/>
      <c r="Q20" s="152"/>
      <c r="S20" s="557"/>
      <c r="T20" s="557"/>
      <c r="U20" s="557"/>
      <c r="V20" s="557"/>
      <c r="W20" s="557"/>
    </row>
    <row r="21" spans="1:23" s="122" customFormat="1" ht="18" customHeight="1" x14ac:dyDescent="0.25">
      <c r="A21" s="107"/>
      <c r="B21" s="537" t="s">
        <v>280</v>
      </c>
      <c r="C21" s="109"/>
      <c r="D21" s="110"/>
      <c r="E21" s="1018">
        <v>0</v>
      </c>
      <c r="F21" s="1019">
        <v>0</v>
      </c>
      <c r="G21" s="1019">
        <v>0</v>
      </c>
      <c r="H21" s="1019">
        <v>0</v>
      </c>
      <c r="I21" s="1019">
        <v>0</v>
      </c>
      <c r="J21" s="1019">
        <v>0</v>
      </c>
      <c r="K21" s="1019">
        <v>0</v>
      </c>
      <c r="L21" s="552">
        <f>SUM(E21:K21)</f>
        <v>0</v>
      </c>
      <c r="M21" s="1020">
        <v>0</v>
      </c>
      <c r="N21" s="789"/>
      <c r="O21" s="153">
        <f>L21*M21</f>
        <v>0</v>
      </c>
      <c r="Q21" s="153">
        <f>L21-O21</f>
        <v>0</v>
      </c>
    </row>
    <row r="22" spans="1:23" s="122" customFormat="1" ht="18" customHeight="1" x14ac:dyDescent="0.25">
      <c r="A22" s="106"/>
      <c r="B22" s="111"/>
      <c r="C22" s="112"/>
      <c r="D22" s="113"/>
      <c r="E22" s="162"/>
      <c r="F22" s="544"/>
      <c r="G22" s="544"/>
      <c r="H22" s="544"/>
      <c r="I22" s="544"/>
      <c r="J22" s="544"/>
      <c r="K22" s="544"/>
      <c r="L22" s="544"/>
      <c r="M22" s="794"/>
      <c r="N22" s="741"/>
      <c r="O22" s="154"/>
      <c r="Q22" s="154"/>
    </row>
    <row r="23" spans="1:23" s="122" customFormat="1" ht="18" customHeight="1" x14ac:dyDescent="0.25">
      <c r="A23" s="106"/>
      <c r="B23" s="103"/>
      <c r="C23" s="114"/>
      <c r="D23" s="115"/>
      <c r="E23" s="163"/>
      <c r="F23" s="545"/>
      <c r="G23" s="545"/>
      <c r="H23" s="545"/>
      <c r="I23" s="545"/>
      <c r="J23" s="545"/>
      <c r="K23" s="545"/>
      <c r="L23" s="545"/>
      <c r="M23" s="795"/>
      <c r="N23" s="740"/>
      <c r="O23" s="155"/>
      <c r="Q23" s="155"/>
    </row>
    <row r="24" spans="1:23" s="122" customFormat="1" ht="19.5" customHeight="1" x14ac:dyDescent="0.25">
      <c r="A24" s="107"/>
      <c r="B24" s="537" t="s">
        <v>265</v>
      </c>
      <c r="C24" s="112"/>
      <c r="D24" s="113"/>
      <c r="E24" s="1018">
        <v>0</v>
      </c>
      <c r="F24" s="1019">
        <v>0</v>
      </c>
      <c r="G24" s="1019">
        <v>0</v>
      </c>
      <c r="H24" s="1019">
        <v>0</v>
      </c>
      <c r="I24" s="1019">
        <v>0</v>
      </c>
      <c r="J24" s="1019">
        <v>0</v>
      </c>
      <c r="K24" s="1019">
        <v>0</v>
      </c>
      <c r="L24" s="552">
        <f>SUM(E24:K24)</f>
        <v>0</v>
      </c>
      <c r="M24" s="1020">
        <v>0</v>
      </c>
      <c r="N24" s="789"/>
      <c r="O24" s="153">
        <f>L24*M24</f>
        <v>0</v>
      </c>
      <c r="Q24" s="153">
        <f>L24-O24</f>
        <v>0</v>
      </c>
    </row>
    <row r="25" spans="1:23" s="122" customFormat="1" ht="14.25" customHeight="1" x14ac:dyDescent="0.25">
      <c r="A25" s="106"/>
      <c r="B25" s="103"/>
      <c r="C25" s="114"/>
      <c r="D25" s="115"/>
      <c r="E25" s="164"/>
      <c r="F25" s="545"/>
      <c r="G25" s="545"/>
      <c r="H25" s="545"/>
      <c r="I25" s="545"/>
      <c r="J25" s="545"/>
      <c r="K25" s="545"/>
      <c r="L25" s="545"/>
      <c r="M25" s="795"/>
      <c r="N25" s="740"/>
      <c r="O25" s="155"/>
      <c r="Q25" s="155"/>
    </row>
    <row r="26" spans="1:23" s="122" customFormat="1" ht="14.25" customHeight="1" x14ac:dyDescent="0.25">
      <c r="A26" s="106"/>
      <c r="B26" s="103"/>
      <c r="C26" s="114"/>
      <c r="D26" s="115"/>
      <c r="E26" s="164"/>
      <c r="F26" s="545"/>
      <c r="G26" s="545"/>
      <c r="H26" s="545"/>
      <c r="I26" s="545"/>
      <c r="J26" s="545"/>
      <c r="K26" s="545"/>
      <c r="L26" s="545"/>
      <c r="M26" s="795"/>
      <c r="N26" s="740"/>
      <c r="O26" s="155"/>
      <c r="Q26" s="155"/>
    </row>
    <row r="27" spans="1:23" s="122" customFormat="1" ht="18" customHeight="1" x14ac:dyDescent="0.25">
      <c r="A27" s="107"/>
      <c r="B27" s="537" t="s">
        <v>266</v>
      </c>
      <c r="C27" s="114"/>
      <c r="D27" s="115"/>
      <c r="E27" s="1018">
        <v>0</v>
      </c>
      <c r="F27" s="1019">
        <v>0</v>
      </c>
      <c r="G27" s="1019">
        <v>0</v>
      </c>
      <c r="H27" s="1019">
        <v>0</v>
      </c>
      <c r="I27" s="1019">
        <v>0</v>
      </c>
      <c r="J27" s="1019">
        <v>0</v>
      </c>
      <c r="K27" s="1019">
        <v>0</v>
      </c>
      <c r="L27" s="552">
        <f>SUM(E27:K27)</f>
        <v>0</v>
      </c>
      <c r="M27" s="1020">
        <v>0</v>
      </c>
      <c r="N27" s="789"/>
      <c r="O27" s="153">
        <f>L27*M27</f>
        <v>0</v>
      </c>
      <c r="Q27" s="153">
        <f>L27-O27</f>
        <v>0</v>
      </c>
    </row>
    <row r="28" spans="1:23" s="122" customFormat="1" ht="21" customHeight="1" x14ac:dyDescent="0.25">
      <c r="A28" s="106"/>
      <c r="B28" s="111"/>
      <c r="C28" s="112"/>
      <c r="D28" s="113"/>
      <c r="E28" s="162"/>
      <c r="F28" s="544"/>
      <c r="G28" s="544"/>
      <c r="H28" s="544"/>
      <c r="I28" s="544"/>
      <c r="J28" s="544"/>
      <c r="K28" s="544"/>
      <c r="L28" s="544"/>
      <c r="M28" s="794"/>
      <c r="N28" s="741"/>
      <c r="O28" s="154"/>
      <c r="Q28" s="154"/>
    </row>
    <row r="29" spans="1:23" s="122" customFormat="1" ht="18" customHeight="1" x14ac:dyDescent="0.25">
      <c r="A29" s="106"/>
      <c r="B29" s="103"/>
      <c r="C29" s="114"/>
      <c r="D29" s="115"/>
      <c r="E29" s="163"/>
      <c r="F29" s="545"/>
      <c r="G29" s="545"/>
      <c r="H29" s="545"/>
      <c r="I29" s="545"/>
      <c r="J29" s="545"/>
      <c r="K29" s="545"/>
      <c r="L29" s="545"/>
      <c r="M29" s="795"/>
      <c r="N29" s="740"/>
      <c r="O29" s="155"/>
      <c r="Q29" s="155"/>
    </row>
    <row r="30" spans="1:23" s="122" customFormat="1" ht="18" customHeight="1" x14ac:dyDescent="0.25">
      <c r="A30" s="536" t="s">
        <v>284</v>
      </c>
      <c r="B30" s="103"/>
      <c r="C30" s="112"/>
      <c r="D30" s="113"/>
      <c r="E30" s="1021">
        <v>0</v>
      </c>
      <c r="F30" s="1022">
        <v>0</v>
      </c>
      <c r="G30" s="1022">
        <v>0</v>
      </c>
      <c r="H30" s="1022">
        <v>0</v>
      </c>
      <c r="I30" s="1022">
        <v>0</v>
      </c>
      <c r="J30" s="1022">
        <v>0</v>
      </c>
      <c r="K30" s="1022">
        <v>0</v>
      </c>
      <c r="L30" s="553">
        <f>SUM(E30:K30)</f>
        <v>0</v>
      </c>
      <c r="M30" s="1017">
        <v>0</v>
      </c>
      <c r="N30" s="763"/>
      <c r="O30" s="151">
        <f>L30*M30</f>
        <v>0</v>
      </c>
      <c r="Q30" s="151">
        <f>L30-O30</f>
        <v>0</v>
      </c>
    </row>
    <row r="31" spans="1:23" s="122" customFormat="1" ht="18" customHeight="1" x14ac:dyDescent="0.25">
      <c r="A31" s="106"/>
      <c r="B31" s="103"/>
      <c r="C31" s="114"/>
      <c r="D31" s="115"/>
      <c r="E31" s="163"/>
      <c r="F31" s="545"/>
      <c r="G31" s="545"/>
      <c r="H31" s="545"/>
      <c r="I31" s="545"/>
      <c r="J31" s="545"/>
      <c r="K31" s="545"/>
      <c r="L31" s="545"/>
      <c r="M31" s="795"/>
      <c r="N31" s="740"/>
      <c r="O31" s="155"/>
      <c r="Q31" s="155"/>
    </row>
    <row r="32" spans="1:23" s="122" customFormat="1" ht="18" customHeight="1" x14ac:dyDescent="0.25">
      <c r="A32" s="106"/>
      <c r="B32" s="103"/>
      <c r="C32" s="114"/>
      <c r="D32" s="115"/>
      <c r="E32" s="163"/>
      <c r="F32" s="545"/>
      <c r="G32" s="545"/>
      <c r="H32" s="545"/>
      <c r="I32" s="545"/>
      <c r="J32" s="545"/>
      <c r="K32" s="545"/>
      <c r="L32" s="545"/>
      <c r="M32" s="795"/>
      <c r="N32" s="740"/>
      <c r="O32" s="155"/>
      <c r="Q32" s="155"/>
    </row>
    <row r="33" spans="1:17" s="122" customFormat="1" ht="22.5" customHeight="1" x14ac:dyDescent="0.25">
      <c r="A33" s="536" t="s">
        <v>267</v>
      </c>
      <c r="B33" s="103"/>
      <c r="C33" s="114"/>
      <c r="D33" s="115"/>
      <c r="E33" s="1021">
        <v>0</v>
      </c>
      <c r="F33" s="1022">
        <v>0</v>
      </c>
      <c r="G33" s="1022">
        <v>0</v>
      </c>
      <c r="H33" s="1022">
        <v>0</v>
      </c>
      <c r="I33" s="1022">
        <v>0</v>
      </c>
      <c r="J33" s="1022">
        <v>0</v>
      </c>
      <c r="K33" s="1022">
        <v>0</v>
      </c>
      <c r="L33" s="553">
        <f>SUM(E33:K33)</f>
        <v>0</v>
      </c>
      <c r="M33" s="1017">
        <v>0</v>
      </c>
      <c r="N33" s="763"/>
      <c r="O33" s="151">
        <f>L33*M33</f>
        <v>0</v>
      </c>
      <c r="Q33" s="151">
        <f>L33-O33</f>
        <v>0</v>
      </c>
    </row>
    <row r="34" spans="1:17" s="122" customFormat="1" ht="18" customHeight="1" x14ac:dyDescent="0.25">
      <c r="A34" s="116"/>
      <c r="B34" s="108"/>
      <c r="C34" s="112"/>
      <c r="D34" s="113"/>
      <c r="E34" s="165"/>
      <c r="F34" s="546"/>
      <c r="G34" s="546"/>
      <c r="H34" s="546"/>
      <c r="I34" s="546"/>
      <c r="J34" s="546"/>
      <c r="K34" s="546"/>
      <c r="L34" s="554"/>
      <c r="M34" s="796"/>
      <c r="N34" s="740"/>
      <c r="O34" s="156"/>
      <c r="Q34" s="156"/>
    </row>
    <row r="35" spans="1:17" s="122" customFormat="1" ht="14.25" customHeight="1" thickBot="1" x14ac:dyDescent="0.3">
      <c r="A35" s="116"/>
      <c r="B35" s="117"/>
      <c r="C35" s="118"/>
      <c r="D35" s="113"/>
      <c r="E35" s="113"/>
      <c r="F35" s="551"/>
      <c r="G35" s="551"/>
      <c r="H35" s="551"/>
      <c r="I35" s="551"/>
      <c r="J35" s="551"/>
      <c r="K35" s="551"/>
      <c r="L35" s="547"/>
      <c r="M35" s="797"/>
      <c r="N35" s="741"/>
      <c r="O35" s="157"/>
      <c r="Q35" s="157"/>
    </row>
    <row r="36" spans="1:17" s="122" customFormat="1" ht="21" customHeight="1" thickBot="1" x14ac:dyDescent="0.3">
      <c r="A36" s="119"/>
      <c r="B36" s="120" t="s">
        <v>278</v>
      </c>
      <c r="C36" s="121"/>
      <c r="D36" s="113"/>
      <c r="E36" s="541">
        <f t="shared" ref="E36:L36" si="1">+SUM(E19,E30,E33)</f>
        <v>0</v>
      </c>
      <c r="F36" s="548">
        <f t="shared" si="1"/>
        <v>0</v>
      </c>
      <c r="G36" s="548">
        <f t="shared" si="1"/>
        <v>0</v>
      </c>
      <c r="H36" s="548">
        <f t="shared" si="1"/>
        <v>0</v>
      </c>
      <c r="I36" s="548">
        <f t="shared" si="1"/>
        <v>0</v>
      </c>
      <c r="J36" s="548">
        <f t="shared" si="1"/>
        <v>0</v>
      </c>
      <c r="K36" s="548">
        <f t="shared" si="1"/>
        <v>0</v>
      </c>
      <c r="L36" s="548">
        <f t="shared" si="1"/>
        <v>0</v>
      </c>
      <c r="M36" s="150"/>
      <c r="N36" s="787"/>
      <c r="O36" s="158">
        <f>+SUM(O19,O30,O33)</f>
        <v>0</v>
      </c>
      <c r="Q36" s="158">
        <f>+SUM(Q19,Q30,Q33)</f>
        <v>0</v>
      </c>
    </row>
    <row r="38" spans="1:17" ht="13" x14ac:dyDescent="0.25">
      <c r="C38" s="534"/>
      <c r="E38" s="535"/>
      <c r="F38" s="535"/>
      <c r="G38" s="535"/>
      <c r="H38" s="535"/>
      <c r="I38" s="535"/>
      <c r="J38" s="535"/>
      <c r="K38" s="535"/>
      <c r="L38" s="535"/>
      <c r="M38" s="535"/>
      <c r="N38" s="788"/>
    </row>
  </sheetData>
  <sheetProtection algorithmName="SHA-512" hashValue="snMIWmD3CqQcqh/nwg8lXLZO3rGbXgXUykkp8BuByOuEpL3pa6/bGUIUAz4CdWMm9/R4dbB233yi+UDo9lzdhQ==" saltValue="eCOIQ050lc2bdXwUFbcMEQ==" spinCount="100000" sheet="1" objects="1" scenarios="1"/>
  <mergeCells count="4">
    <mergeCell ref="A1:O1"/>
    <mergeCell ref="A17:C18"/>
    <mergeCell ref="B5:F13"/>
    <mergeCell ref="E17:L17"/>
  </mergeCells>
  <conditionalFormatting sqref="A1:XFD1048576">
    <cfRule type="expression" dxfId="37" priority="1">
      <formula>$W$16="ex-ante"</formula>
    </cfRule>
    <cfRule type="expression" dxfId="36" priority="2">
      <formula>$S$15="elektriciteit"</formula>
    </cfRule>
  </conditionalFormatting>
  <pageMargins left="0.19685039370078741" right="0.19685039370078741" top="0.39370078740157483" bottom="0.39370078740157483" header="0.51181102362204722" footer="0.19685039370078741"/>
  <pageSetup paperSize="8" scale="81" orientation="landscape" r:id="rId1"/>
  <headerFooter alignWithMargins="0">
    <oddFooter>&amp;C&amp;8&amp;F&amp;R&amp;8&amp;A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0975-2D20-4D95-A879-AA50E15E71FF}">
  <sheetPr codeName="Blad10">
    <pageSetUpPr fitToPage="1"/>
  </sheetPr>
  <dimension ref="A1:R30"/>
  <sheetViews>
    <sheetView zoomScale="80" zoomScaleNormal="80" workbookViewId="0">
      <selection activeCell="H28" sqref="H28"/>
    </sheetView>
  </sheetViews>
  <sheetFormatPr defaultColWidth="9.1796875" defaultRowHeight="12.5" x14ac:dyDescent="0.25"/>
  <cols>
    <col min="1" max="1" width="8.54296875" style="531" customWidth="1"/>
    <col min="2" max="2" width="46.54296875" style="531" customWidth="1"/>
    <col min="3" max="3" width="5.81640625" style="531" customWidth="1"/>
    <col min="4" max="4" width="3.7265625" style="531" customWidth="1"/>
    <col min="5" max="6" width="20.7265625" style="531" customWidth="1"/>
    <col min="7" max="7" width="2.26953125" style="783" customWidth="1"/>
    <col min="8" max="8" width="25.7265625" style="531" customWidth="1"/>
    <col min="9" max="9" width="2.26953125" style="531" customWidth="1"/>
    <col min="10" max="10" width="25.7265625" style="531" customWidth="1"/>
    <col min="11" max="16384" width="9.1796875" style="531"/>
  </cols>
  <sheetData>
    <row r="1" spans="1:18" ht="18.5" thickBot="1" x14ac:dyDescent="0.3">
      <c r="A1" s="1225" t="str">
        <f>"TABEL 5F: Werkelijke opbrengsten uit periodieke distributienettarieven in boekjaar "&amp;TITELBLAD!E16&amp;" (gas - injectie)"</f>
        <v>TABEL 5F: Werkelijke opbrengsten uit periodieke distributienettarieven in boekjaar 2021 (gas - injectie)</v>
      </c>
      <c r="B1" s="1226"/>
      <c r="C1" s="1226"/>
      <c r="D1" s="1226"/>
      <c r="E1" s="1226"/>
      <c r="F1" s="1226"/>
      <c r="G1" s="1226"/>
      <c r="H1" s="1227"/>
      <c r="I1" s="530"/>
      <c r="J1" s="555"/>
      <c r="K1" s="555"/>
      <c r="L1" s="556"/>
      <c r="M1" s="556"/>
      <c r="N1" s="556"/>
      <c r="O1" s="556"/>
      <c r="P1" s="556"/>
      <c r="Q1" s="556"/>
      <c r="R1" s="556"/>
    </row>
    <row r="2" spans="1:18" x14ac:dyDescent="0.25">
      <c r="J2" s="556"/>
      <c r="K2" s="556"/>
      <c r="L2" s="556"/>
      <c r="M2" s="556"/>
      <c r="N2" s="556"/>
      <c r="O2" s="556"/>
      <c r="P2" s="556"/>
      <c r="Q2" s="556"/>
      <c r="R2" s="556"/>
    </row>
    <row r="3" spans="1:18" s="167" customFormat="1" x14ac:dyDescent="0.25">
      <c r="G3" s="301"/>
      <c r="J3" s="296"/>
      <c r="K3" s="296"/>
      <c r="L3" s="296"/>
      <c r="M3" s="296"/>
      <c r="N3" s="296"/>
      <c r="O3" s="296"/>
      <c r="P3" s="296"/>
      <c r="Q3" s="296"/>
      <c r="R3" s="296"/>
    </row>
    <row r="4" spans="1:18" s="167" customFormat="1" ht="13" x14ac:dyDescent="0.25">
      <c r="B4" s="358" t="s">
        <v>124</v>
      </c>
      <c r="G4" s="301"/>
      <c r="J4" s="296"/>
      <c r="K4" s="296"/>
      <c r="L4" s="296"/>
      <c r="M4" s="296"/>
      <c r="N4" s="296"/>
      <c r="O4" s="296"/>
      <c r="P4" s="296"/>
      <c r="Q4" s="296"/>
      <c r="R4" s="296"/>
    </row>
    <row r="5" spans="1:18" s="167" customFormat="1" ht="12.65" customHeight="1" x14ac:dyDescent="0.25">
      <c r="B5" s="1291" t="s">
        <v>275</v>
      </c>
      <c r="C5" s="1291"/>
      <c r="D5" s="1291"/>
      <c r="E5" s="1291"/>
      <c r="F5" s="1291"/>
      <c r="G5" s="798"/>
      <c r="J5" s="296"/>
      <c r="K5" s="296"/>
      <c r="L5" s="296"/>
      <c r="M5" s="296"/>
      <c r="N5" s="296"/>
      <c r="O5" s="296"/>
      <c r="P5" s="296"/>
      <c r="Q5" s="296"/>
      <c r="R5" s="296"/>
    </row>
    <row r="6" spans="1:18" s="167" customFormat="1" ht="12.65" customHeight="1" x14ac:dyDescent="0.25">
      <c r="B6" s="1291"/>
      <c r="C6" s="1291"/>
      <c r="D6" s="1291"/>
      <c r="E6" s="1291"/>
      <c r="F6" s="1291"/>
      <c r="G6" s="798"/>
      <c r="J6" s="296"/>
      <c r="K6" s="296"/>
      <c r="L6" s="209"/>
      <c r="M6" s="209"/>
      <c r="N6" s="209"/>
      <c r="O6" s="209"/>
      <c r="P6" s="209"/>
      <c r="Q6" s="296"/>
      <c r="R6" s="296"/>
    </row>
    <row r="7" spans="1:18" s="167" customFormat="1" ht="12.65" customHeight="1" x14ac:dyDescent="0.25">
      <c r="B7" s="1291"/>
      <c r="C7" s="1291"/>
      <c r="D7" s="1291"/>
      <c r="E7" s="1291"/>
      <c r="F7" s="1291"/>
      <c r="G7" s="798"/>
      <c r="J7" s="296"/>
      <c r="K7" s="296"/>
      <c r="L7" s="209"/>
      <c r="M7" s="209"/>
      <c r="N7" s="209"/>
      <c r="O7" s="209"/>
      <c r="P7" s="209"/>
      <c r="Q7" s="296"/>
      <c r="R7" s="296"/>
    </row>
    <row r="8" spans="1:18" s="167" customFormat="1" ht="12.65" customHeight="1" x14ac:dyDescent="0.25">
      <c r="B8" s="1291"/>
      <c r="C8" s="1291"/>
      <c r="D8" s="1291"/>
      <c r="E8" s="1291"/>
      <c r="F8" s="1291"/>
      <c r="G8" s="798"/>
      <c r="J8" s="296"/>
      <c r="K8" s="296"/>
      <c r="L8" s="209"/>
      <c r="M8" s="209"/>
      <c r="N8" s="209"/>
      <c r="O8" s="209"/>
      <c r="P8" s="209"/>
      <c r="Q8" s="296"/>
      <c r="R8" s="296"/>
    </row>
    <row r="9" spans="1:18" s="167" customFormat="1" ht="12.65" customHeight="1" x14ac:dyDescent="0.25">
      <c r="B9" s="1291"/>
      <c r="C9" s="1291"/>
      <c r="D9" s="1291"/>
      <c r="E9" s="1291"/>
      <c r="F9" s="1291"/>
      <c r="G9" s="798"/>
      <c r="J9" s="296"/>
      <c r="K9" s="296"/>
      <c r="L9" s="209"/>
      <c r="M9" s="209"/>
      <c r="N9" s="209"/>
      <c r="O9" s="209"/>
      <c r="P9" s="209"/>
      <c r="Q9" s="296"/>
      <c r="R9" s="296"/>
    </row>
    <row r="10" spans="1:18" s="167" customFormat="1" ht="12.65" customHeight="1" x14ac:dyDescent="0.25">
      <c r="B10" s="1291"/>
      <c r="C10" s="1291"/>
      <c r="D10" s="1291"/>
      <c r="E10" s="1291"/>
      <c r="F10" s="1291"/>
      <c r="G10" s="798"/>
      <c r="J10" s="296"/>
      <c r="K10" s="296"/>
      <c r="L10" s="209"/>
      <c r="M10" s="209"/>
      <c r="N10" s="209"/>
      <c r="O10" s="209"/>
      <c r="P10" s="209"/>
      <c r="Q10" s="296"/>
      <c r="R10" s="296"/>
    </row>
    <row r="11" spans="1:18" s="167" customFormat="1" ht="12.65" customHeight="1" x14ac:dyDescent="0.25">
      <c r="B11" s="1291"/>
      <c r="C11" s="1291"/>
      <c r="D11" s="1291"/>
      <c r="E11" s="1291"/>
      <c r="F11" s="1291"/>
      <c r="G11" s="798"/>
      <c r="J11" s="296"/>
      <c r="K11" s="296"/>
      <c r="L11" s="209"/>
      <c r="M11" s="209"/>
      <c r="N11" s="209"/>
      <c r="O11" s="209"/>
      <c r="P11" s="209"/>
      <c r="Q11" s="296"/>
      <c r="R11" s="296"/>
    </row>
    <row r="12" spans="1:18" s="167" customFormat="1" ht="12.65" customHeight="1" x14ac:dyDescent="0.25">
      <c r="B12" s="1291"/>
      <c r="C12" s="1291"/>
      <c r="D12" s="1291"/>
      <c r="E12" s="1291"/>
      <c r="F12" s="1291"/>
      <c r="G12" s="798"/>
      <c r="J12" s="296"/>
      <c r="K12" s="296"/>
      <c r="L12" s="209"/>
      <c r="M12" s="209"/>
      <c r="N12" s="209"/>
      <c r="O12" s="209"/>
      <c r="P12" s="209"/>
      <c r="Q12" s="296"/>
      <c r="R12" s="296"/>
    </row>
    <row r="13" spans="1:18" s="167" customFormat="1" ht="12.65" customHeight="1" x14ac:dyDescent="0.25">
      <c r="B13" s="1291"/>
      <c r="C13" s="1291"/>
      <c r="D13" s="1291"/>
      <c r="E13" s="1291"/>
      <c r="F13" s="1291"/>
      <c r="G13" s="798"/>
      <c r="J13" s="296"/>
      <c r="K13" s="296"/>
      <c r="L13" s="209"/>
      <c r="M13" s="209"/>
      <c r="N13" s="209"/>
      <c r="O13" s="209"/>
      <c r="P13" s="209"/>
      <c r="Q13" s="296"/>
      <c r="R13" s="296"/>
    </row>
    <row r="14" spans="1:18" s="167" customFormat="1" ht="38.25" customHeight="1" x14ac:dyDescent="0.25">
      <c r="B14" s="1291"/>
      <c r="C14" s="1291"/>
      <c r="D14" s="1291"/>
      <c r="E14" s="1291"/>
      <c r="F14" s="1291"/>
      <c r="G14" s="798"/>
      <c r="J14" s="296"/>
      <c r="K14" s="296"/>
      <c r="L14" s="209"/>
      <c r="M14" s="209"/>
      <c r="N14" s="209"/>
      <c r="O14" s="209"/>
      <c r="P14" s="209"/>
      <c r="Q14" s="296"/>
      <c r="R14" s="296"/>
    </row>
    <row r="15" spans="1:18" s="167" customFormat="1" x14ac:dyDescent="0.25">
      <c r="G15" s="301"/>
      <c r="J15" s="296"/>
      <c r="K15" s="296"/>
      <c r="L15" s="209"/>
      <c r="M15" s="209"/>
      <c r="N15" s="209"/>
      <c r="O15" s="209"/>
      <c r="P15" s="209"/>
      <c r="Q15" s="296"/>
      <c r="R15" s="296"/>
    </row>
    <row r="16" spans="1:18" x14ac:dyDescent="0.25">
      <c r="J16" s="556"/>
      <c r="K16" s="556"/>
      <c r="L16" s="532" t="str">
        <f>+TITELBLAD!C10</f>
        <v>elektriciteit</v>
      </c>
      <c r="M16" s="532"/>
      <c r="N16" s="532"/>
      <c r="O16" s="532"/>
      <c r="P16" s="532"/>
      <c r="Q16" s="556"/>
      <c r="R16" s="556"/>
    </row>
    <row r="17" spans="1:16" ht="15" customHeight="1" thickBot="1" x14ac:dyDescent="0.3">
      <c r="K17" s="532"/>
      <c r="L17" s="532" t="str">
        <f>+TITELBLAD!B16</f>
        <v>Rapportering over boekjaar:</v>
      </c>
      <c r="M17" s="532"/>
      <c r="N17" s="532"/>
      <c r="O17" s="532">
        <f>+TITELBLAD!E16</f>
        <v>2021</v>
      </c>
      <c r="P17" s="532" t="str">
        <f>+TITELBLAD!F16</f>
        <v>ex-ante</v>
      </c>
    </row>
    <row r="18" spans="1:16" ht="83.25" customHeight="1" thickBot="1" x14ac:dyDescent="0.3">
      <c r="A18" s="1305"/>
      <c r="B18" s="1306"/>
      <c r="C18" s="1307"/>
      <c r="D18" s="218"/>
      <c r="E18" s="219" t="str">
        <f>"Werkelijke opbrengsten uit periodieke distributienettarieven in boekjaar "&amp;TITELBLAD!E16&amp;" (gas-injectie)"</f>
        <v>Werkelijke opbrengsten uit periodieke distributienettarieven in boekjaar 2021 (gas-injectie)</v>
      </c>
      <c r="F18" s="799" t="s">
        <v>116</v>
      </c>
      <c r="G18" s="785"/>
      <c r="H18" s="217" t="str">
        <f>"Werkelijke opbrengsten m.b.t. endogene kosten in boekjaar "&amp;TITELBLAD!E16&amp;" (gas-injectie)"</f>
        <v>Werkelijke opbrengsten m.b.t. endogene kosten in boekjaar 2021 (gas-injectie)</v>
      </c>
      <c r="J18" s="217" t="str">
        <f>"Werkelijke opbrengsten m.b.t. exogene kosten in boekjaar "&amp;TITELBLAD!E16&amp;" (gas-injectie)"</f>
        <v>Werkelijke opbrengsten m.b.t. exogene kosten in boekjaar 2021 (gas-injectie)</v>
      </c>
      <c r="K18" s="532"/>
      <c r="L18" s="532"/>
      <c r="M18" s="532"/>
      <c r="N18" s="532"/>
      <c r="O18" s="532"/>
      <c r="P18" s="532"/>
    </row>
    <row r="19" spans="1:16" s="122" customFormat="1" ht="23.5" customHeight="1" thickBot="1" x14ac:dyDescent="0.3">
      <c r="A19" s="1308"/>
      <c r="B19" s="1309"/>
      <c r="C19" s="1310"/>
      <c r="D19" s="218"/>
      <c r="E19" s="802" t="s">
        <v>20</v>
      </c>
      <c r="F19" s="800"/>
      <c r="G19" s="786"/>
      <c r="H19" s="781" t="s">
        <v>380</v>
      </c>
      <c r="I19" s="803"/>
      <c r="J19" s="781" t="s">
        <v>381</v>
      </c>
      <c r="L19" s="532"/>
      <c r="M19" s="532"/>
      <c r="N19" s="532"/>
      <c r="O19" s="532"/>
      <c r="P19" s="532"/>
    </row>
    <row r="20" spans="1:16" s="122" customFormat="1" ht="18.75" customHeight="1" x14ac:dyDescent="0.25">
      <c r="A20" s="536" t="s">
        <v>264</v>
      </c>
      <c r="B20" s="103"/>
      <c r="C20" s="104"/>
      <c r="D20" s="105"/>
      <c r="E20" s="146">
        <f>+SUM(E22,E25)</f>
        <v>0</v>
      </c>
      <c r="F20" s="792"/>
      <c r="G20" s="742"/>
      <c r="H20" s="151">
        <f>+SUM(H22,H25)</f>
        <v>0</v>
      </c>
      <c r="J20" s="151">
        <f>+SUM(J22,J25)</f>
        <v>0</v>
      </c>
      <c r="L20" s="532"/>
      <c r="M20" s="532"/>
      <c r="N20" s="532"/>
      <c r="O20" s="532"/>
      <c r="P20" s="532"/>
    </row>
    <row r="21" spans="1:16" s="533" customFormat="1" ht="18" customHeight="1" x14ac:dyDescent="0.25">
      <c r="A21" s="106"/>
      <c r="B21" s="103"/>
      <c r="C21" s="104"/>
      <c r="D21" s="105"/>
      <c r="E21" s="147"/>
      <c r="F21" s="793"/>
      <c r="G21" s="740"/>
      <c r="H21" s="152"/>
      <c r="J21" s="152"/>
      <c r="L21" s="557"/>
      <c r="M21" s="557"/>
      <c r="N21" s="557"/>
      <c r="O21" s="557"/>
      <c r="P21" s="557"/>
    </row>
    <row r="22" spans="1:16" s="122" customFormat="1" ht="19.5" customHeight="1" x14ac:dyDescent="0.25">
      <c r="A22" s="107"/>
      <c r="B22" s="537" t="s">
        <v>276</v>
      </c>
      <c r="C22" s="112"/>
      <c r="D22" s="113"/>
      <c r="E22" s="1011">
        <v>0</v>
      </c>
      <c r="F22" s="1023">
        <v>0</v>
      </c>
      <c r="G22" s="789"/>
      <c r="H22" s="153">
        <f>+E22*F22</f>
        <v>0</v>
      </c>
      <c r="J22" s="153">
        <f>+E22-H22</f>
        <v>0</v>
      </c>
    </row>
    <row r="23" spans="1:16" s="122" customFormat="1" ht="14.25" customHeight="1" x14ac:dyDescent="0.25">
      <c r="A23" s="106"/>
      <c r="B23" s="103"/>
      <c r="C23" s="114"/>
      <c r="D23" s="115"/>
      <c r="E23" s="558"/>
      <c r="F23" s="793"/>
      <c r="G23" s="740"/>
      <c r="H23" s="155"/>
      <c r="J23" s="155"/>
    </row>
    <row r="24" spans="1:16" s="122" customFormat="1" ht="14.25" customHeight="1" x14ac:dyDescent="0.25">
      <c r="A24" s="106"/>
      <c r="B24" s="103"/>
      <c r="C24" s="114"/>
      <c r="D24" s="115"/>
      <c r="E24" s="558"/>
      <c r="F24" s="793"/>
      <c r="G24" s="740"/>
      <c r="H24" s="155"/>
      <c r="J24" s="155"/>
    </row>
    <row r="25" spans="1:16" s="122" customFormat="1" ht="18" customHeight="1" x14ac:dyDescent="0.25">
      <c r="A25" s="107"/>
      <c r="B25" s="537" t="s">
        <v>277</v>
      </c>
      <c r="C25" s="114"/>
      <c r="D25" s="115"/>
      <c r="E25" s="1011">
        <v>0</v>
      </c>
      <c r="F25" s="1023">
        <v>0</v>
      </c>
      <c r="G25" s="789"/>
      <c r="H25" s="153">
        <f>+E25*F25</f>
        <v>0</v>
      </c>
      <c r="J25" s="153">
        <f>+E25-H25</f>
        <v>0</v>
      </c>
    </row>
    <row r="26" spans="1:16" s="122" customFormat="1" ht="18" customHeight="1" x14ac:dyDescent="0.25">
      <c r="A26" s="116"/>
      <c r="B26" s="108"/>
      <c r="C26" s="112"/>
      <c r="D26" s="113"/>
      <c r="E26" s="559"/>
      <c r="F26" s="801"/>
      <c r="G26" s="740"/>
      <c r="H26" s="156"/>
      <c r="J26" s="156"/>
    </row>
    <row r="27" spans="1:16" s="122" customFormat="1" ht="14.25" customHeight="1" thickBot="1" x14ac:dyDescent="0.3">
      <c r="A27" s="116"/>
      <c r="B27" s="117"/>
      <c r="C27" s="118"/>
      <c r="D27" s="113"/>
      <c r="E27" s="148"/>
      <c r="F27" s="797"/>
      <c r="G27" s="741"/>
      <c r="H27" s="157"/>
      <c r="J27" s="157"/>
    </row>
    <row r="28" spans="1:16" s="122" customFormat="1" ht="21" customHeight="1" thickBot="1" x14ac:dyDescent="0.3">
      <c r="A28" s="119"/>
      <c r="B28" s="120" t="s">
        <v>279</v>
      </c>
      <c r="C28" s="121"/>
      <c r="D28" s="113"/>
      <c r="E28" s="149">
        <f>+E20</f>
        <v>0</v>
      </c>
      <c r="F28" s="782"/>
      <c r="G28" s="787"/>
      <c r="H28" s="158">
        <f>+H20</f>
        <v>0</v>
      </c>
      <c r="J28" s="158">
        <f>+J20</f>
        <v>0</v>
      </c>
    </row>
    <row r="30" spans="1:16" ht="13" x14ac:dyDescent="0.25">
      <c r="C30" s="534"/>
      <c r="E30" s="535"/>
      <c r="F30" s="535"/>
      <c r="G30" s="788"/>
    </row>
  </sheetData>
  <sheetProtection algorithmName="SHA-512" hashValue="VTX/qSCqlJNwLfXpZuKdfb30X7oeWQLxF5QclCN/zebrGV3xOsz8nvtZ1ycbi2d8A323pZUYkaVlFPJMLi33pA==" saltValue="qOpCTICmSkFDAxbmlHMXaA==" spinCount="100000" sheet="1" objects="1" scenarios="1"/>
  <mergeCells count="3">
    <mergeCell ref="A1:H1"/>
    <mergeCell ref="A18:C19"/>
    <mergeCell ref="B5:F14"/>
  </mergeCells>
  <conditionalFormatting sqref="A1:XFD1048576">
    <cfRule type="expression" dxfId="35" priority="19">
      <formula>$P$17="ex-ante"</formula>
    </cfRule>
    <cfRule type="expression" dxfId="34" priority="20">
      <formula>$L$16="elektriciteit"</formula>
    </cfRule>
  </conditionalFormatting>
  <pageMargins left="0.19685039370078741" right="0.19685039370078741" top="0.39370078740157483" bottom="0.39370078740157483" header="0.51181102362204722" footer="0.19685039370078741"/>
  <pageSetup paperSize="8" scale="81" orientation="landscape" r:id="rId1"/>
  <headerFooter alignWithMargins="0">
    <oddFooter>&amp;C&amp;8&amp;F&amp;R&amp;8&amp;A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pageSetUpPr fitToPage="1"/>
  </sheetPr>
  <dimension ref="A1:AE123"/>
  <sheetViews>
    <sheetView topLeftCell="A37" zoomScale="80" zoomScaleNormal="80" zoomScaleSheetLayoutView="80" workbookViewId="0">
      <selection activeCell="A44" sqref="A44:B44"/>
    </sheetView>
  </sheetViews>
  <sheetFormatPr defaultColWidth="11.453125" defaultRowHeight="12.5" x14ac:dyDescent="0.25"/>
  <cols>
    <col min="1" max="1" width="25.453125" style="178" customWidth="1"/>
    <col min="2" max="2" width="26.26953125" style="178" customWidth="1"/>
    <col min="3" max="10" width="20.7265625" style="178" customWidth="1"/>
    <col min="11" max="11" width="2.26953125" style="178" customWidth="1"/>
    <col min="12" max="12" width="17.7265625" style="178" customWidth="1"/>
    <col min="13" max="13" width="2" style="178" customWidth="1"/>
    <col min="14" max="14" width="17.7265625" style="178" customWidth="1"/>
    <col min="15" max="15" width="28.7265625" style="178" bestFit="1" customWidth="1"/>
    <col min="16" max="16" width="14" style="178" customWidth="1"/>
    <col min="17" max="17" width="11.453125" style="178"/>
    <col min="18" max="18" width="12.26953125" style="178" bestFit="1" customWidth="1"/>
    <col min="19" max="16384" width="11.453125" style="178"/>
  </cols>
  <sheetData>
    <row r="1" spans="1:19" ht="21.75" customHeight="1" thickBot="1" x14ac:dyDescent="0.3">
      <c r="A1" s="1274" t="s">
        <v>127</v>
      </c>
      <c r="B1" s="1275"/>
      <c r="C1" s="1275"/>
      <c r="D1" s="1275"/>
      <c r="E1" s="1275"/>
      <c r="F1" s="1275"/>
      <c r="G1" s="1275"/>
      <c r="H1" s="1275"/>
      <c r="I1" s="1275"/>
      <c r="J1" s="1275"/>
      <c r="K1" s="1275"/>
      <c r="L1" s="1276"/>
      <c r="M1" s="220"/>
      <c r="N1" s="296"/>
      <c r="O1" s="575"/>
      <c r="P1" s="237"/>
      <c r="Q1" s="237"/>
      <c r="R1" s="231"/>
      <c r="S1" s="231"/>
    </row>
    <row r="2" spans="1:19" x14ac:dyDescent="0.25">
      <c r="A2" s="233"/>
      <c r="B2" s="233"/>
      <c r="C2" s="233"/>
      <c r="D2" s="233"/>
      <c r="E2" s="233"/>
      <c r="F2" s="233"/>
      <c r="G2" s="233"/>
      <c r="H2" s="233"/>
      <c r="I2" s="233"/>
      <c r="J2" s="233"/>
      <c r="K2" s="233"/>
      <c r="L2" s="233"/>
      <c r="M2" s="220"/>
      <c r="N2" s="296"/>
      <c r="O2" s="288"/>
      <c r="P2" s="237"/>
      <c r="Q2" s="237"/>
      <c r="R2" s="231"/>
      <c r="S2" s="231"/>
    </row>
    <row r="3" spans="1:19" x14ac:dyDescent="0.25">
      <c r="A3" s="233"/>
      <c r="B3" s="233"/>
      <c r="C3" s="233"/>
      <c r="D3" s="233"/>
      <c r="E3" s="233"/>
      <c r="F3" s="233"/>
      <c r="G3" s="233"/>
      <c r="H3" s="233"/>
      <c r="I3" s="233"/>
      <c r="J3" s="233"/>
      <c r="K3" s="233"/>
      <c r="L3" s="233"/>
      <c r="M3" s="220"/>
      <c r="N3" s="296"/>
      <c r="O3" s="288" t="str">
        <f>+TITELBLAD!B16</f>
        <v>Rapportering over boekjaar:</v>
      </c>
      <c r="P3" s="237">
        <f>+TITELBLAD!E16</f>
        <v>2021</v>
      </c>
      <c r="Q3" s="237" t="str">
        <f>+TITELBLAD!F16</f>
        <v>ex-ante</v>
      </c>
      <c r="R3" s="231"/>
      <c r="S3" s="231"/>
    </row>
    <row r="4" spans="1:19" s="167" customFormat="1" ht="16.5" x14ac:dyDescent="0.25">
      <c r="A4" s="224"/>
      <c r="C4" s="1210" t="str">
        <f>+TITELBLAD!C7</f>
        <v>NAAM DNB</v>
      </c>
      <c r="D4" s="1211"/>
      <c r="E4" s="1211"/>
      <c r="F4" s="1211"/>
      <c r="G4" s="1211"/>
      <c r="H4" s="1211"/>
      <c r="I4" s="1211"/>
      <c r="J4" s="1212"/>
      <c r="K4" s="220"/>
      <c r="M4" s="209"/>
      <c r="N4" s="231"/>
      <c r="O4" s="237"/>
      <c r="P4" s="209"/>
      <c r="Q4" s="209"/>
      <c r="R4" s="296"/>
      <c r="S4" s="296"/>
    </row>
    <row r="5" spans="1:19" s="167" customFormat="1" ht="16.5" x14ac:dyDescent="0.25">
      <c r="A5" s="224"/>
      <c r="C5" s="1210" t="str">
        <f>+TITELBLAD!C10</f>
        <v>elektriciteit</v>
      </c>
      <c r="D5" s="1211"/>
      <c r="E5" s="1211"/>
      <c r="F5" s="1211"/>
      <c r="G5" s="1211"/>
      <c r="H5" s="1211"/>
      <c r="I5" s="1211"/>
      <c r="J5" s="1212"/>
      <c r="K5" s="220"/>
      <c r="M5" s="209"/>
      <c r="N5" s="296"/>
      <c r="O5" s="209"/>
      <c r="P5" s="209"/>
      <c r="Q5" s="209"/>
      <c r="R5" s="296"/>
      <c r="S5" s="296"/>
    </row>
    <row r="6" spans="1:19" s="167" customFormat="1" ht="17" thickBot="1" x14ac:dyDescent="0.3">
      <c r="A6" s="224"/>
      <c r="C6" s="1314" t="s">
        <v>19</v>
      </c>
      <c r="D6" s="1315"/>
      <c r="E6" s="1315"/>
      <c r="F6" s="1315"/>
      <c r="G6" s="1315"/>
      <c r="H6" s="1315"/>
      <c r="I6" s="1315"/>
      <c r="J6" s="1316"/>
      <c r="K6" s="220"/>
      <c r="N6" s="296"/>
      <c r="O6" s="209"/>
      <c r="P6" s="209"/>
      <c r="Q6" s="209"/>
      <c r="R6" s="296"/>
      <c r="S6" s="296"/>
    </row>
    <row r="7" spans="1:19" s="167" customFormat="1" ht="44.5" customHeight="1" thickBot="1" x14ac:dyDescent="0.3">
      <c r="A7" s="1332"/>
      <c r="B7" s="1333"/>
      <c r="C7" s="930">
        <v>2017</v>
      </c>
      <c r="D7" s="930">
        <v>2018</v>
      </c>
      <c r="E7" s="930">
        <v>2019</v>
      </c>
      <c r="F7" s="930">
        <v>2020</v>
      </c>
      <c r="G7" s="930">
        <v>2021</v>
      </c>
      <c r="H7" s="931">
        <v>2022</v>
      </c>
      <c r="I7" s="931">
        <v>2023</v>
      </c>
      <c r="J7" s="932">
        <v>2024</v>
      </c>
      <c r="K7" s="220"/>
      <c r="N7" s="296"/>
      <c r="O7" s="209"/>
      <c r="P7" s="209"/>
      <c r="Q7" s="209"/>
      <c r="R7" s="296"/>
      <c r="S7" s="296"/>
    </row>
    <row r="8" spans="1:19" s="167" customFormat="1" ht="39.65" customHeight="1" thickBot="1" x14ac:dyDescent="0.3">
      <c r="A8" s="1285" t="s">
        <v>154</v>
      </c>
      <c r="B8" s="1286"/>
      <c r="C8" s="880">
        <f t="shared" ref="C8:G8" si="0">SUM(C9:C15)</f>
        <v>0</v>
      </c>
      <c r="D8" s="880">
        <f t="shared" si="0"/>
        <v>0</v>
      </c>
      <c r="E8" s="880">
        <f t="shared" si="0"/>
        <v>0</v>
      </c>
      <c r="F8" s="880">
        <f t="shared" si="0"/>
        <v>0</v>
      </c>
      <c r="G8" s="880">
        <f t="shared" si="0"/>
        <v>0</v>
      </c>
      <c r="H8" s="881"/>
      <c r="I8" s="881"/>
      <c r="J8" s="882"/>
      <c r="K8" s="220"/>
      <c r="N8" s="296"/>
      <c r="O8" s="296"/>
      <c r="P8" s="296"/>
      <c r="Q8" s="296"/>
      <c r="R8" s="296"/>
      <c r="S8" s="296"/>
    </row>
    <row r="9" spans="1:19" s="167" customFormat="1" ht="22.5" customHeight="1" x14ac:dyDescent="0.25">
      <c r="A9" s="1319" t="s">
        <v>107</v>
      </c>
      <c r="B9" s="1320"/>
      <c r="C9" s="255">
        <f>+T5A!E9</f>
        <v>0</v>
      </c>
      <c r="D9" s="255">
        <f>+T5A!F9</f>
        <v>0</v>
      </c>
      <c r="E9" s="255">
        <f>+T5A!G9</f>
        <v>0</v>
      </c>
      <c r="F9" s="213">
        <v>0</v>
      </c>
      <c r="G9" s="213">
        <v>0</v>
      </c>
      <c r="H9" s="340"/>
      <c r="I9" s="340"/>
      <c r="J9" s="884"/>
      <c r="K9" s="220"/>
      <c r="N9" s="296"/>
      <c r="O9" s="296"/>
      <c r="P9" s="296"/>
      <c r="Q9" s="296"/>
      <c r="R9" s="296"/>
      <c r="S9" s="296"/>
    </row>
    <row r="10" spans="1:19" s="167" customFormat="1" ht="21" customHeight="1" x14ac:dyDescent="0.25">
      <c r="A10" s="1317" t="s">
        <v>108</v>
      </c>
      <c r="B10" s="1318"/>
      <c r="C10" s="255">
        <f>+T5A!E10</f>
        <v>0</v>
      </c>
      <c r="D10" s="255">
        <f>+T5A!F10</f>
        <v>0</v>
      </c>
      <c r="E10" s="255">
        <f>+T5A!G10</f>
        <v>0</v>
      </c>
      <c r="F10" s="213">
        <v>0</v>
      </c>
      <c r="G10" s="213">
        <v>0</v>
      </c>
      <c r="H10" s="340"/>
      <c r="I10" s="340"/>
      <c r="J10" s="884"/>
      <c r="K10" s="220"/>
    </row>
    <row r="11" spans="1:19" s="167" customFormat="1" ht="21" customHeight="1" x14ac:dyDescent="0.25">
      <c r="A11" s="1317" t="s">
        <v>204</v>
      </c>
      <c r="B11" s="1318"/>
      <c r="C11" s="213">
        <v>0</v>
      </c>
      <c r="D11" s="213">
        <v>0</v>
      </c>
      <c r="E11" s="213">
        <v>0</v>
      </c>
      <c r="F11" s="213">
        <v>0</v>
      </c>
      <c r="G11" s="213">
        <v>0</v>
      </c>
      <c r="H11" s="340"/>
      <c r="I11" s="340"/>
      <c r="J11" s="884"/>
      <c r="K11" s="220"/>
    </row>
    <row r="12" spans="1:19" s="167" customFormat="1" ht="21.75" customHeight="1" x14ac:dyDescent="0.25">
      <c r="A12" s="1317" t="s">
        <v>109</v>
      </c>
      <c r="B12" s="1318"/>
      <c r="C12" s="255">
        <f>+T5A!E12</f>
        <v>0</v>
      </c>
      <c r="D12" s="255">
        <f>+T5A!F12</f>
        <v>0</v>
      </c>
      <c r="E12" s="255">
        <f>+T5A!G12</f>
        <v>0</v>
      </c>
      <c r="F12" s="213">
        <v>0</v>
      </c>
      <c r="G12" s="213">
        <v>0</v>
      </c>
      <c r="H12" s="340"/>
      <c r="I12" s="340"/>
      <c r="J12" s="884"/>
      <c r="K12" s="220"/>
    </row>
    <row r="13" spans="1:19" s="167" customFormat="1" ht="35.25" customHeight="1" x14ac:dyDescent="0.25">
      <c r="A13" s="1317" t="s">
        <v>110</v>
      </c>
      <c r="B13" s="1318"/>
      <c r="C13" s="255">
        <f>+T5A!E13</f>
        <v>0</v>
      </c>
      <c r="D13" s="255">
        <f>+T5A!F13</f>
        <v>0</v>
      </c>
      <c r="E13" s="255">
        <f>+T5A!G13</f>
        <v>0</v>
      </c>
      <c r="F13" s="213">
        <v>0</v>
      </c>
      <c r="G13" s="213">
        <v>0</v>
      </c>
      <c r="H13" s="340"/>
      <c r="I13" s="340"/>
      <c r="J13" s="884"/>
      <c r="K13" s="220"/>
    </row>
    <row r="14" spans="1:19" s="167" customFormat="1" ht="30.75" customHeight="1" x14ac:dyDescent="0.25">
      <c r="A14" s="1317" t="s">
        <v>111</v>
      </c>
      <c r="B14" s="1318"/>
      <c r="C14" s="255">
        <f>+T5A!E14</f>
        <v>0</v>
      </c>
      <c r="D14" s="255">
        <f>+T5A!F14</f>
        <v>0</v>
      </c>
      <c r="E14" s="255">
        <f>+T5A!G14</f>
        <v>0</v>
      </c>
      <c r="F14" s="213">
        <v>0</v>
      </c>
      <c r="G14" s="213">
        <v>0</v>
      </c>
      <c r="H14" s="340"/>
      <c r="I14" s="340"/>
      <c r="J14" s="884"/>
      <c r="K14" s="220"/>
    </row>
    <row r="15" spans="1:19" s="167" customFormat="1" ht="35.25" customHeight="1" thickBot="1" x14ac:dyDescent="0.3">
      <c r="A15" s="1330" t="s">
        <v>112</v>
      </c>
      <c r="B15" s="1331"/>
      <c r="C15" s="900">
        <f>+T5A!E15</f>
        <v>0</v>
      </c>
      <c r="D15" s="900">
        <f>+T5A!F15</f>
        <v>0</v>
      </c>
      <c r="E15" s="900">
        <f>+T5A!G15</f>
        <v>0</v>
      </c>
      <c r="F15" s="1007">
        <v>0</v>
      </c>
      <c r="G15" s="1007">
        <v>0</v>
      </c>
      <c r="H15" s="885"/>
      <c r="I15" s="885"/>
      <c r="J15" s="886"/>
      <c r="K15" s="220"/>
    </row>
    <row r="16" spans="1:19" ht="10.5" customHeight="1" thickBot="1" x14ac:dyDescent="0.3"/>
    <row r="17" spans="1:11" s="167" customFormat="1" ht="66" customHeight="1" thickBot="1" x14ac:dyDescent="0.3">
      <c r="A17" s="1285" t="s">
        <v>281</v>
      </c>
      <c r="B17" s="1286"/>
      <c r="C17" s="880"/>
      <c r="D17" s="880"/>
      <c r="E17" s="880"/>
      <c r="F17" s="880"/>
      <c r="G17" s="880"/>
      <c r="H17" s="881"/>
      <c r="I17" s="881"/>
      <c r="J17" s="882"/>
      <c r="K17" s="220"/>
    </row>
    <row r="18" spans="1:11" s="167" customFormat="1" ht="24" customHeight="1" thickBot="1" x14ac:dyDescent="0.3">
      <c r="A18" s="1328" t="s">
        <v>107</v>
      </c>
      <c r="B18" s="1329"/>
      <c r="C18" s="1024">
        <v>0</v>
      </c>
      <c r="D18" s="1024">
        <v>0</v>
      </c>
      <c r="E18" s="1024">
        <v>0</v>
      </c>
      <c r="F18" s="1024">
        <v>0</v>
      </c>
      <c r="G18" s="1024">
        <v>0</v>
      </c>
      <c r="H18" s="898"/>
      <c r="I18" s="898"/>
      <c r="J18" s="899"/>
      <c r="K18" s="220"/>
    </row>
    <row r="19" spans="1:11" ht="10.5" customHeight="1" thickBot="1" x14ac:dyDescent="0.3"/>
    <row r="20" spans="1:11" s="167" customFormat="1" ht="85.5" customHeight="1" thickBot="1" x14ac:dyDescent="0.3">
      <c r="A20" s="1285" t="s">
        <v>282</v>
      </c>
      <c r="B20" s="1286"/>
      <c r="C20" s="880"/>
      <c r="D20" s="880"/>
      <c r="E20" s="880"/>
      <c r="F20" s="880"/>
      <c r="G20" s="880"/>
      <c r="H20" s="881"/>
      <c r="I20" s="881"/>
      <c r="J20" s="882"/>
      <c r="K20" s="220"/>
    </row>
    <row r="21" spans="1:11" s="167" customFormat="1" ht="24" customHeight="1" thickBot="1" x14ac:dyDescent="0.3">
      <c r="A21" s="1328" t="s">
        <v>107</v>
      </c>
      <c r="B21" s="1329"/>
      <c r="C21" s="898"/>
      <c r="D21" s="898"/>
      <c r="E21" s="898"/>
      <c r="F21" s="898"/>
      <c r="G21" s="1024">
        <v>0</v>
      </c>
      <c r="H21" s="898"/>
      <c r="I21" s="898"/>
      <c r="J21" s="899"/>
      <c r="K21" s="220"/>
    </row>
    <row r="22" spans="1:11" ht="10.5" customHeight="1" thickBot="1" x14ac:dyDescent="0.3"/>
    <row r="23" spans="1:11" s="167" customFormat="1" ht="70.5" customHeight="1" thickBot="1" x14ac:dyDescent="0.3">
      <c r="A23" s="1285" t="s">
        <v>283</v>
      </c>
      <c r="B23" s="1286"/>
      <c r="C23" s="880"/>
      <c r="D23" s="880"/>
      <c r="E23" s="880"/>
      <c r="F23" s="880"/>
      <c r="G23" s="880"/>
      <c r="H23" s="881"/>
      <c r="I23" s="881"/>
      <c r="J23" s="882"/>
      <c r="K23" s="220"/>
    </row>
    <row r="24" spans="1:11" s="167" customFormat="1" ht="24" customHeight="1" thickBot="1" x14ac:dyDescent="0.3">
      <c r="A24" s="1328" t="s">
        <v>107</v>
      </c>
      <c r="B24" s="1329"/>
      <c r="C24" s="898"/>
      <c r="D24" s="898"/>
      <c r="E24" s="898"/>
      <c r="F24" s="898"/>
      <c r="G24" s="1024">
        <v>0</v>
      </c>
      <c r="H24" s="898"/>
      <c r="I24" s="898"/>
      <c r="J24" s="899"/>
      <c r="K24" s="220"/>
    </row>
    <row r="25" spans="1:11" ht="10.5" customHeight="1" thickBot="1" x14ac:dyDescent="0.3"/>
    <row r="26" spans="1:11" s="167" customFormat="1" ht="62.25" customHeight="1" thickBot="1" x14ac:dyDescent="0.3">
      <c r="A26" s="1285" t="s">
        <v>168</v>
      </c>
      <c r="B26" s="1286"/>
      <c r="C26" s="880"/>
      <c r="D26" s="880">
        <f t="shared" ref="D26:G26" si="1">SUM(D27:D33)</f>
        <v>0</v>
      </c>
      <c r="E26" s="880">
        <f t="shared" si="1"/>
        <v>0</v>
      </c>
      <c r="F26" s="880">
        <f t="shared" si="1"/>
        <v>0</v>
      </c>
      <c r="G26" s="880">
        <f t="shared" si="1"/>
        <v>0</v>
      </c>
      <c r="H26" s="881"/>
      <c r="I26" s="881"/>
      <c r="J26" s="882"/>
      <c r="K26" s="220"/>
    </row>
    <row r="27" spans="1:11" s="167" customFormat="1" ht="22.5" customHeight="1" x14ac:dyDescent="0.25">
      <c r="A27" s="1319" t="s">
        <v>107</v>
      </c>
      <c r="B27" s="1320"/>
      <c r="C27" s="897"/>
      <c r="D27" s="897">
        <v>0</v>
      </c>
      <c r="E27" s="897">
        <v>0</v>
      </c>
      <c r="F27" s="897">
        <v>0</v>
      </c>
      <c r="G27" s="1006">
        <v>0</v>
      </c>
      <c r="H27" s="879"/>
      <c r="I27" s="879"/>
      <c r="J27" s="883"/>
      <c r="K27" s="220"/>
    </row>
    <row r="28" spans="1:11" s="167" customFormat="1" ht="21" customHeight="1" x14ac:dyDescent="0.25">
      <c r="A28" s="1317" t="s">
        <v>108</v>
      </c>
      <c r="B28" s="1318"/>
      <c r="C28" s="255"/>
      <c r="D28" s="255">
        <v>0</v>
      </c>
      <c r="E28" s="255">
        <v>0</v>
      </c>
      <c r="F28" s="255">
        <v>0</v>
      </c>
      <c r="G28" s="213">
        <v>0</v>
      </c>
      <c r="H28" s="340"/>
      <c r="I28" s="340"/>
      <c r="J28" s="884"/>
      <c r="K28" s="220"/>
    </row>
    <row r="29" spans="1:11" s="167" customFormat="1" ht="21" customHeight="1" x14ac:dyDescent="0.25">
      <c r="A29" s="1317" t="s">
        <v>204</v>
      </c>
      <c r="B29" s="1318"/>
      <c r="C29" s="255"/>
      <c r="D29" s="255">
        <v>0</v>
      </c>
      <c r="E29" s="255">
        <v>0</v>
      </c>
      <c r="F29" s="255">
        <v>0</v>
      </c>
      <c r="G29" s="213">
        <v>0</v>
      </c>
      <c r="H29" s="340"/>
      <c r="I29" s="340"/>
      <c r="J29" s="884"/>
      <c r="K29" s="220"/>
    </row>
    <row r="30" spans="1:11" s="167" customFormat="1" ht="21.75" customHeight="1" x14ac:dyDescent="0.25">
      <c r="A30" s="1317" t="s">
        <v>109</v>
      </c>
      <c r="B30" s="1318"/>
      <c r="C30" s="255"/>
      <c r="D30" s="255">
        <v>0</v>
      </c>
      <c r="E30" s="255">
        <v>0</v>
      </c>
      <c r="F30" s="255">
        <v>0</v>
      </c>
      <c r="G30" s="213">
        <v>0</v>
      </c>
      <c r="H30" s="340"/>
      <c r="I30" s="340"/>
      <c r="J30" s="884"/>
      <c r="K30" s="220"/>
    </row>
    <row r="31" spans="1:11" s="167" customFormat="1" ht="35.25" customHeight="1" x14ac:dyDescent="0.25">
      <c r="A31" s="1317" t="s">
        <v>110</v>
      </c>
      <c r="B31" s="1318"/>
      <c r="C31" s="255"/>
      <c r="D31" s="255">
        <v>0</v>
      </c>
      <c r="E31" s="255">
        <v>0</v>
      </c>
      <c r="F31" s="255">
        <v>0</v>
      </c>
      <c r="G31" s="213">
        <v>0</v>
      </c>
      <c r="H31" s="340"/>
      <c r="I31" s="340"/>
      <c r="J31" s="884"/>
      <c r="K31" s="220"/>
    </row>
    <row r="32" spans="1:11" s="167" customFormat="1" ht="30.75" customHeight="1" x14ac:dyDescent="0.25">
      <c r="A32" s="1317" t="s">
        <v>111</v>
      </c>
      <c r="B32" s="1318"/>
      <c r="C32" s="255"/>
      <c r="D32" s="255">
        <v>0</v>
      </c>
      <c r="E32" s="255">
        <v>0</v>
      </c>
      <c r="F32" s="255">
        <v>0</v>
      </c>
      <c r="G32" s="213">
        <v>0</v>
      </c>
      <c r="H32" s="340"/>
      <c r="I32" s="340"/>
      <c r="J32" s="884"/>
      <c r="K32" s="220"/>
    </row>
    <row r="33" spans="1:11" s="167" customFormat="1" ht="35.25" customHeight="1" thickBot="1" x14ac:dyDescent="0.3">
      <c r="A33" s="1330" t="s">
        <v>112</v>
      </c>
      <c r="B33" s="1331"/>
      <c r="C33" s="900"/>
      <c r="D33" s="900">
        <v>0</v>
      </c>
      <c r="E33" s="900">
        <v>0</v>
      </c>
      <c r="F33" s="900">
        <v>0</v>
      </c>
      <c r="G33" s="1007">
        <v>0</v>
      </c>
      <c r="H33" s="885"/>
      <c r="I33" s="885"/>
      <c r="J33" s="886"/>
      <c r="K33" s="220"/>
    </row>
    <row r="34" spans="1:11" ht="10.5" customHeight="1" thickBot="1" x14ac:dyDescent="0.3"/>
    <row r="35" spans="1:11" s="167" customFormat="1" ht="62.25" customHeight="1" thickBot="1" x14ac:dyDescent="0.3">
      <c r="A35" s="1285" t="s">
        <v>170</v>
      </c>
      <c r="B35" s="1286"/>
      <c r="C35" s="880"/>
      <c r="D35" s="880">
        <f t="shared" ref="D35:G35" si="2">SUM(D36:D42)</f>
        <v>0</v>
      </c>
      <c r="E35" s="880">
        <f t="shared" si="2"/>
        <v>0</v>
      </c>
      <c r="F35" s="880">
        <f t="shared" si="2"/>
        <v>0</v>
      </c>
      <c r="G35" s="880">
        <f t="shared" si="2"/>
        <v>0</v>
      </c>
      <c r="H35" s="881"/>
      <c r="I35" s="881"/>
      <c r="J35" s="882"/>
      <c r="K35" s="220"/>
    </row>
    <row r="36" spans="1:11" s="167" customFormat="1" ht="22.5" customHeight="1" x14ac:dyDescent="0.25">
      <c r="A36" s="1319" t="s">
        <v>107</v>
      </c>
      <c r="B36" s="1320"/>
      <c r="C36" s="897"/>
      <c r="D36" s="897">
        <v>0</v>
      </c>
      <c r="E36" s="897">
        <v>0</v>
      </c>
      <c r="F36" s="897">
        <v>0</v>
      </c>
      <c r="G36" s="1006">
        <v>0</v>
      </c>
      <c r="H36" s="879"/>
      <c r="I36" s="879"/>
      <c r="J36" s="883"/>
      <c r="K36" s="220"/>
    </row>
    <row r="37" spans="1:11" s="167" customFormat="1" ht="21" customHeight="1" x14ac:dyDescent="0.25">
      <c r="A37" s="1317" t="s">
        <v>108</v>
      </c>
      <c r="B37" s="1318"/>
      <c r="C37" s="255"/>
      <c r="D37" s="255">
        <v>0</v>
      </c>
      <c r="E37" s="255">
        <v>0</v>
      </c>
      <c r="F37" s="255">
        <v>0</v>
      </c>
      <c r="G37" s="213">
        <v>0</v>
      </c>
      <c r="H37" s="340"/>
      <c r="I37" s="340"/>
      <c r="J37" s="884"/>
      <c r="K37" s="220"/>
    </row>
    <row r="38" spans="1:11" s="167" customFormat="1" ht="21" customHeight="1" x14ac:dyDescent="0.25">
      <c r="A38" s="1317" t="s">
        <v>204</v>
      </c>
      <c r="B38" s="1318"/>
      <c r="C38" s="255"/>
      <c r="D38" s="255">
        <v>0</v>
      </c>
      <c r="E38" s="255">
        <v>0</v>
      </c>
      <c r="F38" s="255">
        <v>0</v>
      </c>
      <c r="G38" s="213">
        <v>0</v>
      </c>
      <c r="H38" s="340"/>
      <c r="I38" s="340"/>
      <c r="J38" s="884"/>
      <c r="K38" s="220"/>
    </row>
    <row r="39" spans="1:11" s="167" customFormat="1" ht="21.75" customHeight="1" x14ac:dyDescent="0.25">
      <c r="A39" s="1317" t="s">
        <v>109</v>
      </c>
      <c r="B39" s="1318"/>
      <c r="C39" s="255"/>
      <c r="D39" s="255">
        <v>0</v>
      </c>
      <c r="E39" s="255">
        <v>0</v>
      </c>
      <c r="F39" s="255">
        <v>0</v>
      </c>
      <c r="G39" s="213">
        <v>0</v>
      </c>
      <c r="H39" s="340"/>
      <c r="I39" s="340"/>
      <c r="J39" s="884"/>
      <c r="K39" s="220"/>
    </row>
    <row r="40" spans="1:11" s="167" customFormat="1" ht="35.25" customHeight="1" x14ac:dyDescent="0.25">
      <c r="A40" s="1317" t="s">
        <v>110</v>
      </c>
      <c r="B40" s="1318"/>
      <c r="C40" s="255"/>
      <c r="D40" s="255">
        <v>0</v>
      </c>
      <c r="E40" s="255">
        <v>0</v>
      </c>
      <c r="F40" s="255">
        <v>0</v>
      </c>
      <c r="G40" s="213">
        <v>0</v>
      </c>
      <c r="H40" s="340"/>
      <c r="I40" s="340"/>
      <c r="J40" s="884"/>
      <c r="K40" s="220"/>
    </row>
    <row r="41" spans="1:11" s="167" customFormat="1" ht="30.75" customHeight="1" x14ac:dyDescent="0.25">
      <c r="A41" s="1317" t="s">
        <v>111</v>
      </c>
      <c r="B41" s="1318"/>
      <c r="C41" s="255"/>
      <c r="D41" s="255">
        <v>0</v>
      </c>
      <c r="E41" s="255">
        <v>0</v>
      </c>
      <c r="F41" s="255">
        <v>0</v>
      </c>
      <c r="G41" s="213">
        <v>0</v>
      </c>
      <c r="H41" s="340"/>
      <c r="I41" s="340"/>
      <c r="J41" s="884"/>
      <c r="K41" s="220"/>
    </row>
    <row r="42" spans="1:11" s="167" customFormat="1" ht="35.25" customHeight="1" thickBot="1" x14ac:dyDescent="0.3">
      <c r="A42" s="1330" t="s">
        <v>112</v>
      </c>
      <c r="B42" s="1331"/>
      <c r="C42" s="900"/>
      <c r="D42" s="900">
        <v>0</v>
      </c>
      <c r="E42" s="900">
        <v>0</v>
      </c>
      <c r="F42" s="900">
        <v>0</v>
      </c>
      <c r="G42" s="1007">
        <v>0</v>
      </c>
      <c r="H42" s="885"/>
      <c r="I42" s="885"/>
      <c r="J42" s="886"/>
      <c r="K42" s="220"/>
    </row>
    <row r="43" spans="1:11" ht="10.5" customHeight="1" thickBot="1" x14ac:dyDescent="0.3"/>
    <row r="44" spans="1:11" s="167" customFormat="1" ht="64.5" customHeight="1" x14ac:dyDescent="0.25">
      <c r="A44" s="1324" t="s">
        <v>156</v>
      </c>
      <c r="B44" s="1325"/>
      <c r="C44" s="901">
        <v>1.3938631303842763E-2</v>
      </c>
      <c r="D44" s="901">
        <v>1.6452686638135816E-2</v>
      </c>
      <c r="E44" s="901">
        <v>1.7499767290328538E-2</v>
      </c>
      <c r="F44" s="902">
        <v>1.4225403817915039E-2</v>
      </c>
      <c r="G44" s="1025">
        <v>0</v>
      </c>
      <c r="H44" s="903"/>
      <c r="I44" s="903"/>
      <c r="J44" s="904"/>
      <c r="K44" s="220"/>
    </row>
    <row r="45" spans="1:11" s="167" customFormat="1" ht="33" customHeight="1" x14ac:dyDescent="0.25">
      <c r="A45" s="1323" t="s">
        <v>155</v>
      </c>
      <c r="B45" s="1256"/>
      <c r="C45" s="561">
        <v>1.7810473332688037E-2</v>
      </c>
      <c r="D45" s="561">
        <v>2.1683309557774644E-2</v>
      </c>
      <c r="E45" s="561">
        <v>1.4241831890533296E-2</v>
      </c>
      <c r="F45" s="984">
        <v>0</v>
      </c>
      <c r="G45" s="984">
        <v>0</v>
      </c>
      <c r="H45" s="576"/>
      <c r="I45" s="576"/>
      <c r="J45" s="905"/>
      <c r="K45" s="220"/>
    </row>
    <row r="46" spans="1:11" s="167" customFormat="1" ht="36.75" customHeight="1" x14ac:dyDescent="0.25">
      <c r="A46" s="1323" t="s">
        <v>128</v>
      </c>
      <c r="B46" s="1256"/>
      <c r="C46" s="562"/>
      <c r="D46" s="567">
        <f>IF($C$5="elektriciteit",0.000387594609710495,IF($C$5="gas",-0.0133592722464226,"FOUT"))</f>
        <v>3.8759460971049499E-4</v>
      </c>
      <c r="E46" s="567">
        <f>IF($C$5="elektriciteit",0.00904486401476334,IF($C$5="gas",-0.00477591609930217,"FOUT"))</f>
        <v>9.0448640147633395E-3</v>
      </c>
      <c r="F46" s="567">
        <f>IF($C$5="elektriciteit",0.00916230782852157,IF($C$5="gas",-0.00478971333989509,"FOUT"))</f>
        <v>9.1623078285215705E-3</v>
      </c>
      <c r="G46" s="560"/>
      <c r="H46" s="858"/>
      <c r="I46" s="858"/>
      <c r="J46" s="906"/>
      <c r="K46" s="220"/>
    </row>
    <row r="47" spans="1:11" s="167" customFormat="1" ht="56.5" customHeight="1" x14ac:dyDescent="0.25">
      <c r="A47" s="1326" t="str">
        <f>"ai-waarde in de relevante geactualiseerde endogene sectorkosten "&amp;C3&amp;" in de historische referentieperiode 2015-2019"</f>
        <v>ai-waarde in de relevante geactualiseerde endogene sectorkosten  in de historische referentieperiode 2015-2019</v>
      </c>
      <c r="B47" s="1327"/>
      <c r="C47" s="576"/>
      <c r="D47" s="576"/>
      <c r="E47" s="576"/>
      <c r="F47" s="576"/>
      <c r="G47" s="1026">
        <v>0</v>
      </c>
      <c r="H47" s="857"/>
      <c r="I47" s="857"/>
      <c r="J47" s="907"/>
      <c r="K47" s="220"/>
    </row>
    <row r="48" spans="1:11" s="167" customFormat="1" ht="31.5" customHeight="1" x14ac:dyDescent="0.25">
      <c r="A48" s="1326" t="str">
        <f>"Fl21-waarde voor aan "&amp;C5&amp;" opgelegde kostenbesparing in 2021 n.a.v. de fusie tot FSO"</f>
        <v>Fl21-waarde voor aan elektriciteit opgelegde kostenbesparing in 2021 n.a.v. de fusie tot FSO</v>
      </c>
      <c r="B48" s="1327"/>
      <c r="C48" s="560"/>
      <c r="D48" s="560"/>
      <c r="E48" s="560"/>
      <c r="F48" s="560"/>
      <c r="G48" s="876">
        <f>IF(C5="elektriciteit",14000000,IF(C5="gas",6875000,"FOUT"))</f>
        <v>14000000</v>
      </c>
      <c r="H48" s="560"/>
      <c r="I48" s="560"/>
      <c r="J48" s="908"/>
      <c r="K48" s="220"/>
    </row>
    <row r="49" spans="1:14" s="212" customFormat="1" ht="36.75" customHeight="1" x14ac:dyDescent="0.25">
      <c r="A49" s="1326" t="s">
        <v>285</v>
      </c>
      <c r="B49" s="1327"/>
      <c r="C49" s="560"/>
      <c r="D49" s="560"/>
      <c r="E49" s="560"/>
      <c r="F49" s="560"/>
      <c r="G49" s="933">
        <f>IF($C$5="elektriciteit",0,IF($C$5="gas",0.004,"FOUT"))</f>
        <v>0</v>
      </c>
      <c r="H49" s="859"/>
      <c r="I49" s="859"/>
      <c r="J49" s="909"/>
      <c r="K49" s="564"/>
    </row>
    <row r="50" spans="1:14" s="167" customFormat="1" ht="21" customHeight="1" thickBot="1" x14ac:dyDescent="0.3">
      <c r="A50" s="1321" t="s">
        <v>403</v>
      </c>
      <c r="B50" s="1322"/>
      <c r="C50" s="910"/>
      <c r="D50" s="911">
        <v>0</v>
      </c>
      <c r="E50" s="911">
        <v>0</v>
      </c>
      <c r="F50" s="911">
        <v>0</v>
      </c>
      <c r="G50" s="912"/>
      <c r="H50" s="912"/>
      <c r="I50" s="912"/>
      <c r="J50" s="913"/>
      <c r="K50" s="220"/>
    </row>
    <row r="51" spans="1:14" ht="10.5" customHeight="1" thickBot="1" x14ac:dyDescent="0.3"/>
    <row r="52" spans="1:14" s="167" customFormat="1" ht="29.25" customHeight="1" x14ac:dyDescent="0.25">
      <c r="A52" s="914"/>
      <c r="B52" s="915"/>
      <c r="C52" s="916">
        <f t="shared" ref="C52:J52" si="3">+C7</f>
        <v>2017</v>
      </c>
      <c r="D52" s="916">
        <f t="shared" si="3"/>
        <v>2018</v>
      </c>
      <c r="E52" s="916">
        <f t="shared" si="3"/>
        <v>2019</v>
      </c>
      <c r="F52" s="916">
        <f t="shared" si="3"/>
        <v>2020</v>
      </c>
      <c r="G52" s="916">
        <f t="shared" si="3"/>
        <v>2021</v>
      </c>
      <c r="H52" s="917">
        <f t="shared" si="3"/>
        <v>2022</v>
      </c>
      <c r="I52" s="917">
        <f t="shared" si="3"/>
        <v>2023</v>
      </c>
      <c r="J52" s="918">
        <f t="shared" si="3"/>
        <v>2024</v>
      </c>
      <c r="K52" s="220"/>
    </row>
    <row r="53" spans="1:14" s="167" customFormat="1" ht="30" customHeight="1" thickBot="1" x14ac:dyDescent="0.3">
      <c r="A53" s="1334" t="s">
        <v>382</v>
      </c>
      <c r="B53" s="1335"/>
      <c r="C53" s="926">
        <f t="shared" ref="C53:G53" si="4">SUM(C54:C60)</f>
        <v>0</v>
      </c>
      <c r="D53" s="927">
        <f t="shared" si="4"/>
        <v>0</v>
      </c>
      <c r="E53" s="927">
        <f t="shared" si="4"/>
        <v>0</v>
      </c>
      <c r="F53" s="927">
        <f t="shared" si="4"/>
        <v>0</v>
      </c>
      <c r="G53" s="926">
        <f t="shared" si="4"/>
        <v>0</v>
      </c>
      <c r="H53" s="928"/>
      <c r="I53" s="928"/>
      <c r="J53" s="929"/>
      <c r="K53" s="220"/>
    </row>
    <row r="54" spans="1:14" s="167" customFormat="1" ht="32.25" customHeight="1" x14ac:dyDescent="0.25">
      <c r="A54" s="1279" t="s">
        <v>107</v>
      </c>
      <c r="B54" s="1280"/>
      <c r="C54" s="923">
        <f>(C9-C18)*(((1+C45)/(1+C44))-1)</f>
        <v>0</v>
      </c>
      <c r="D54" s="887">
        <f>(D9-D18-D27+D36)*(((1+$D$45-$D$46+$D$50)/(1+$D$44-$D$46+$D$50))-1)</f>
        <v>0</v>
      </c>
      <c r="E54" s="887">
        <f>(E9-E18-E27+E36)*(((1+$E$45-$E$46+$E$50)/(1+$E$44-$E$46+$E$50))-1)</f>
        <v>0</v>
      </c>
      <c r="F54" s="887">
        <f>(F9-F18-F27+F36)*(((1+$F$45-$F$46+$F$50)/(1+$F$44-$F$46+$F$50))-1)</f>
        <v>0</v>
      </c>
      <c r="G54" s="923">
        <f>(((G9-(G18+G21+G24+(G27-G36)))+(G47*G48))*(((1+G$45-G$49)/(1+G$44-G$49))-1))+((G13-(G31-G40))*(((1+G$45-G$49)/(1+G$44-G$49))-1))+((G11-(G29-G38))*(((1+G$45-G$49)/(1+G$44-G$49))-1))</f>
        <v>0</v>
      </c>
      <c r="H54" s="924"/>
      <c r="I54" s="924"/>
      <c r="J54" s="925"/>
      <c r="K54" s="220"/>
    </row>
    <row r="55" spans="1:14" s="167" customFormat="1" ht="30.75" customHeight="1" x14ac:dyDescent="0.25">
      <c r="A55" s="1281" t="s">
        <v>108</v>
      </c>
      <c r="B55" s="1282"/>
      <c r="C55" s="566">
        <f t="shared" ref="C55:C60" si="5">+C10*(((1+$C$45)/(1+$C$44))-1)</f>
        <v>0</v>
      </c>
      <c r="D55" s="177">
        <f t="shared" ref="D55:D60" si="6">(D10-D28+D37)*(((1+$D$45-$D$46+$D$50)/(1+$D$44-$D$46+$D$50))-1)</f>
        <v>0</v>
      </c>
      <c r="E55" s="177">
        <f t="shared" ref="E55:E60" si="7">(E10-E28+E37)*(((1+$E$45-$E$46+$E$50)/(1+$E$44-$E$46+$E$50))-1)</f>
        <v>0</v>
      </c>
      <c r="F55" s="177">
        <f t="shared" ref="F55:F60" si="8">(F10-F28+F37)*(((1+$F$45-$F$46+$F$50)/(1+$F$44-$F$46+$F$50))-1)</f>
        <v>0</v>
      </c>
      <c r="G55" s="566">
        <f>(G10-(G28-G37))*(((1+G$45-G$49)/(1+G$44-G$49))-1)</f>
        <v>0</v>
      </c>
      <c r="H55" s="568"/>
      <c r="I55" s="568"/>
      <c r="J55" s="919"/>
      <c r="K55" s="220"/>
    </row>
    <row r="56" spans="1:14" s="167" customFormat="1" ht="21" customHeight="1" x14ac:dyDescent="0.25">
      <c r="A56" s="1281" t="s">
        <v>204</v>
      </c>
      <c r="B56" s="1282"/>
      <c r="C56" s="566">
        <f t="shared" si="5"/>
        <v>0</v>
      </c>
      <c r="D56" s="177">
        <f t="shared" si="6"/>
        <v>0</v>
      </c>
      <c r="E56" s="177">
        <f t="shared" si="7"/>
        <v>0</v>
      </c>
      <c r="F56" s="177">
        <f t="shared" si="8"/>
        <v>0</v>
      </c>
      <c r="G56" s="568"/>
      <c r="H56" s="568"/>
      <c r="I56" s="568"/>
      <c r="J56" s="919"/>
      <c r="K56" s="220"/>
    </row>
    <row r="57" spans="1:14" s="167" customFormat="1" ht="22.5" customHeight="1" x14ac:dyDescent="0.25">
      <c r="A57" s="1281" t="s">
        <v>109</v>
      </c>
      <c r="B57" s="1282"/>
      <c r="C57" s="566">
        <f t="shared" si="5"/>
        <v>0</v>
      </c>
      <c r="D57" s="177">
        <f t="shared" si="6"/>
        <v>0</v>
      </c>
      <c r="E57" s="177">
        <f t="shared" si="7"/>
        <v>0</v>
      </c>
      <c r="F57" s="177">
        <f t="shared" si="8"/>
        <v>0</v>
      </c>
      <c r="G57" s="566">
        <f>(G12-(G30-G39))*(((1+G$45-G$49)/(1+G$44-G$49))-1)</f>
        <v>0</v>
      </c>
      <c r="H57" s="568"/>
      <c r="I57" s="568"/>
      <c r="J57" s="919"/>
      <c r="K57" s="220"/>
    </row>
    <row r="58" spans="1:14" s="167" customFormat="1" ht="35.25" customHeight="1" x14ac:dyDescent="0.25">
      <c r="A58" s="1281" t="s">
        <v>110</v>
      </c>
      <c r="B58" s="1282"/>
      <c r="C58" s="566">
        <f t="shared" si="5"/>
        <v>0</v>
      </c>
      <c r="D58" s="177">
        <f t="shared" si="6"/>
        <v>0</v>
      </c>
      <c r="E58" s="177">
        <f t="shared" si="7"/>
        <v>0</v>
      </c>
      <c r="F58" s="177">
        <f t="shared" si="8"/>
        <v>0</v>
      </c>
      <c r="G58" s="568"/>
      <c r="H58" s="568"/>
      <c r="I58" s="568"/>
      <c r="J58" s="919"/>
      <c r="K58" s="220"/>
    </row>
    <row r="59" spans="1:14" s="167" customFormat="1" ht="30.75" customHeight="1" x14ac:dyDescent="0.25">
      <c r="A59" s="1281" t="s">
        <v>111</v>
      </c>
      <c r="B59" s="1282"/>
      <c r="C59" s="566">
        <f t="shared" si="5"/>
        <v>0</v>
      </c>
      <c r="D59" s="177">
        <f t="shared" si="6"/>
        <v>0</v>
      </c>
      <c r="E59" s="177">
        <f t="shared" si="7"/>
        <v>0</v>
      </c>
      <c r="F59" s="177">
        <f t="shared" si="8"/>
        <v>0</v>
      </c>
      <c r="G59" s="566">
        <f>(G14-(G32-G41))*(((1+G$45-G$49)/(1+G$44-G$49))-1)</f>
        <v>0</v>
      </c>
      <c r="H59" s="568"/>
      <c r="I59" s="568"/>
      <c r="J59" s="919"/>
      <c r="K59" s="220"/>
    </row>
    <row r="60" spans="1:14" s="167" customFormat="1" ht="35.25" customHeight="1" thickBot="1" x14ac:dyDescent="0.3">
      <c r="A60" s="1277" t="s">
        <v>112</v>
      </c>
      <c r="B60" s="1278"/>
      <c r="C60" s="920">
        <f t="shared" si="5"/>
        <v>0</v>
      </c>
      <c r="D60" s="894">
        <f t="shared" si="6"/>
        <v>0</v>
      </c>
      <c r="E60" s="894">
        <f t="shared" si="7"/>
        <v>0</v>
      </c>
      <c r="F60" s="894">
        <f t="shared" si="8"/>
        <v>0</v>
      </c>
      <c r="G60" s="920">
        <f>(G15-(G33-G42))*(((1+G$45-G$49)/(1+G$44-G$49))-1)</f>
        <v>0</v>
      </c>
      <c r="H60" s="921"/>
      <c r="I60" s="921"/>
      <c r="J60" s="922"/>
      <c r="K60" s="220"/>
    </row>
    <row r="61" spans="1:14" s="167" customFormat="1" ht="13" x14ac:dyDescent="0.25">
      <c r="A61" s="224"/>
      <c r="C61" s="241" t="s">
        <v>160</v>
      </c>
      <c r="M61" s="220"/>
    </row>
    <row r="62" spans="1:14" s="167" customFormat="1" ht="13" x14ac:dyDescent="0.25">
      <c r="A62" s="224"/>
      <c r="C62" s="243" t="s">
        <v>129</v>
      </c>
      <c r="M62" s="220"/>
    </row>
    <row r="63" spans="1:14" s="167" customFormat="1" ht="13" x14ac:dyDescent="0.25">
      <c r="A63" s="224"/>
      <c r="C63" s="220"/>
      <c r="M63" s="220"/>
    </row>
    <row r="64" spans="1:14" ht="14.25" customHeight="1" thickBot="1" x14ac:dyDescent="0.3">
      <c r="A64" s="232"/>
      <c r="B64" s="333"/>
      <c r="C64" s="333"/>
      <c r="D64" s="333"/>
      <c r="E64" s="333"/>
      <c r="F64" s="333"/>
      <c r="G64" s="333"/>
      <c r="H64" s="333"/>
      <c r="I64" s="333"/>
      <c r="J64" s="333"/>
      <c r="K64" s="333"/>
      <c r="L64" s="333"/>
      <c r="M64" s="235"/>
      <c r="N64" s="235"/>
    </row>
    <row r="65" spans="1:31" s="179" customFormat="1" ht="18" customHeight="1" thickBot="1" x14ac:dyDescent="0.3">
      <c r="A65" s="1217" t="s">
        <v>136</v>
      </c>
      <c r="B65" s="1218"/>
      <c r="C65" s="1218"/>
      <c r="D65" s="1218"/>
      <c r="E65" s="1218"/>
      <c r="F65" s="1218"/>
      <c r="G65" s="1218"/>
      <c r="H65" s="1218"/>
      <c r="I65" s="1218"/>
      <c r="J65" s="1218"/>
      <c r="K65" s="1218"/>
      <c r="L65" s="1219"/>
      <c r="M65" s="235"/>
      <c r="N65" s="235"/>
      <c r="O65" s="178"/>
      <c r="P65" s="178"/>
      <c r="Q65" s="178"/>
      <c r="R65" s="178"/>
      <c r="S65" s="178"/>
      <c r="T65" s="178"/>
      <c r="U65" s="178"/>
      <c r="V65" s="178"/>
      <c r="W65" s="178"/>
      <c r="X65" s="178"/>
      <c r="Y65" s="178"/>
      <c r="Z65" s="178"/>
      <c r="AA65" s="178"/>
      <c r="AB65" s="178"/>
      <c r="AC65" s="178"/>
      <c r="AD65" s="178"/>
      <c r="AE65" s="178"/>
    </row>
    <row r="66" spans="1:31" ht="13" thickBot="1" x14ac:dyDescent="0.3"/>
    <row r="67" spans="1:31" s="179" customFormat="1" ht="17" thickBot="1" x14ac:dyDescent="0.3">
      <c r="A67" s="178"/>
      <c r="B67" s="178"/>
      <c r="C67" s="1220" t="s">
        <v>30</v>
      </c>
      <c r="D67" s="1221"/>
      <c r="E67" s="1221"/>
      <c r="F67" s="1221"/>
      <c r="G67" s="1221"/>
      <c r="H67" s="1221"/>
      <c r="I67" s="1221"/>
      <c r="J67" s="1222"/>
      <c r="K67" s="178"/>
      <c r="L67" s="178"/>
      <c r="M67" s="178"/>
      <c r="N67" s="178"/>
      <c r="O67" s="178"/>
      <c r="P67" s="178"/>
      <c r="Q67" s="178"/>
      <c r="R67" s="178"/>
      <c r="S67" s="178"/>
      <c r="T67" s="178"/>
      <c r="U67" s="178"/>
      <c r="V67" s="178"/>
      <c r="W67" s="178"/>
      <c r="X67" s="178"/>
      <c r="Y67" s="178"/>
      <c r="Z67" s="178"/>
      <c r="AA67" s="178"/>
      <c r="AB67" s="178"/>
      <c r="AC67" s="178"/>
      <c r="AD67" s="178"/>
      <c r="AE67" s="178"/>
    </row>
    <row r="68" spans="1:31" s="179" customFormat="1" ht="13.5" thickBot="1" x14ac:dyDescent="0.3">
      <c r="A68" s="178"/>
      <c r="B68" s="178"/>
      <c r="C68" s="334">
        <f t="shared" ref="C68:J68" si="9">+C7</f>
        <v>2017</v>
      </c>
      <c r="D68" s="335">
        <f t="shared" si="9"/>
        <v>2018</v>
      </c>
      <c r="E68" s="335">
        <f t="shared" si="9"/>
        <v>2019</v>
      </c>
      <c r="F68" s="335">
        <f t="shared" si="9"/>
        <v>2020</v>
      </c>
      <c r="G68" s="335">
        <f t="shared" si="9"/>
        <v>2021</v>
      </c>
      <c r="H68" s="850">
        <f t="shared" si="9"/>
        <v>2022</v>
      </c>
      <c r="I68" s="850">
        <f t="shared" si="9"/>
        <v>2023</v>
      </c>
      <c r="J68" s="850">
        <f t="shared" si="9"/>
        <v>2024</v>
      </c>
      <c r="K68" s="178"/>
      <c r="L68" s="178"/>
      <c r="M68" s="178"/>
      <c r="N68" s="178"/>
      <c r="O68" s="178"/>
      <c r="P68" s="178"/>
      <c r="Q68" s="178"/>
      <c r="R68" s="178"/>
      <c r="S68" s="178"/>
      <c r="T68" s="178"/>
      <c r="U68" s="178"/>
      <c r="V68" s="178"/>
      <c r="W68" s="178"/>
      <c r="X68" s="178"/>
      <c r="Y68" s="178"/>
      <c r="Z68" s="178"/>
      <c r="AA68" s="178"/>
      <c r="AB68" s="178"/>
      <c r="AC68" s="178"/>
      <c r="AD68" s="178"/>
      <c r="AE68" s="178"/>
    </row>
    <row r="69" spans="1:31" s="179" customFormat="1" x14ac:dyDescent="0.25">
      <c r="A69" s="178"/>
      <c r="B69" s="178"/>
      <c r="C69" s="986">
        <f t="shared" ref="C69:F69" si="10">+C53</f>
        <v>0</v>
      </c>
      <c r="D69" s="986">
        <f t="shared" si="10"/>
        <v>0</v>
      </c>
      <c r="E69" s="986">
        <f t="shared" si="10"/>
        <v>0</v>
      </c>
      <c r="F69" s="986">
        <f t="shared" si="10"/>
        <v>0</v>
      </c>
      <c r="G69" s="986">
        <f>+G53</f>
        <v>0</v>
      </c>
      <c r="H69" s="851">
        <v>0</v>
      </c>
      <c r="I69" s="851">
        <v>0</v>
      </c>
      <c r="J69" s="851">
        <v>0</v>
      </c>
      <c r="K69" s="178"/>
      <c r="L69" s="178"/>
      <c r="M69" s="178"/>
      <c r="N69" s="178"/>
      <c r="O69" s="178"/>
      <c r="P69" s="178"/>
      <c r="Q69" s="178"/>
      <c r="R69" s="178"/>
      <c r="S69" s="178"/>
      <c r="T69" s="178"/>
      <c r="U69" s="178"/>
      <c r="V69" s="178"/>
      <c r="W69" s="178"/>
      <c r="X69" s="178"/>
      <c r="Y69" s="178"/>
      <c r="Z69" s="178"/>
      <c r="AA69" s="178"/>
      <c r="AB69" s="178"/>
      <c r="AC69" s="178"/>
      <c r="AD69" s="178"/>
      <c r="AE69" s="178"/>
    </row>
    <row r="70" spans="1:31" ht="13" x14ac:dyDescent="0.25">
      <c r="C70" s="241" t="s">
        <v>160</v>
      </c>
      <c r="F70" s="242"/>
      <c r="J70" s="242"/>
    </row>
    <row r="71" spans="1:31" ht="13" x14ac:dyDescent="0.25">
      <c r="C71" s="243" t="s">
        <v>129</v>
      </c>
    </row>
    <row r="72" spans="1:31" x14ac:dyDescent="0.25">
      <c r="C72" s="244"/>
    </row>
    <row r="73" spans="1:31" ht="13" thickBot="1" x14ac:dyDescent="0.3">
      <c r="C73" s="244"/>
    </row>
    <row r="74" spans="1:31" ht="20.25" customHeight="1" thickBot="1" x14ac:dyDescent="0.3">
      <c r="A74" s="1217" t="s">
        <v>18</v>
      </c>
      <c r="B74" s="1218"/>
      <c r="C74" s="1218"/>
      <c r="D74" s="1218"/>
      <c r="E74" s="1218"/>
      <c r="F74" s="1218"/>
      <c r="G74" s="1218"/>
      <c r="H74" s="1218"/>
      <c r="I74" s="1218"/>
      <c r="J74" s="1218"/>
      <c r="K74" s="1218"/>
      <c r="L74" s="1219"/>
      <c r="M74" s="1272"/>
      <c r="N74" s="1272"/>
    </row>
    <row r="76" spans="1:31" ht="13" x14ac:dyDescent="0.25">
      <c r="C76" s="241" t="s">
        <v>160</v>
      </c>
    </row>
    <row r="77" spans="1:31" ht="13" x14ac:dyDescent="0.25">
      <c r="C77" s="243" t="s">
        <v>129</v>
      </c>
    </row>
    <row r="78" spans="1:31" ht="16.5" x14ac:dyDescent="0.25">
      <c r="C78" s="1210" t="s">
        <v>19</v>
      </c>
      <c r="D78" s="1211"/>
      <c r="E78" s="1211"/>
      <c r="F78" s="1211"/>
      <c r="G78" s="1211"/>
      <c r="H78" s="1211"/>
      <c r="I78" s="1211"/>
      <c r="J78" s="1212"/>
      <c r="L78" s="245" t="s">
        <v>20</v>
      </c>
    </row>
    <row r="79" spans="1:31" ht="13.5" thickBot="1" x14ac:dyDescent="0.3">
      <c r="A79" s="1213"/>
      <c r="B79" s="1213"/>
      <c r="C79" s="246">
        <f>C68</f>
        <v>2017</v>
      </c>
      <c r="D79" s="247">
        <f>D68</f>
        <v>2018</v>
      </c>
      <c r="E79" s="247">
        <f>E68</f>
        <v>2019</v>
      </c>
      <c r="F79" s="247">
        <f>F68</f>
        <v>2020</v>
      </c>
      <c r="G79" s="247">
        <f t="shared" ref="G79:I79" si="11">G68</f>
        <v>2021</v>
      </c>
      <c r="H79" s="809">
        <f t="shared" si="11"/>
        <v>2022</v>
      </c>
      <c r="I79" s="809">
        <f t="shared" si="11"/>
        <v>2023</v>
      </c>
      <c r="J79" s="809">
        <f>J68</f>
        <v>2024</v>
      </c>
      <c r="L79" s="248"/>
    </row>
    <row r="80" spans="1:31" s="179" customFormat="1" ht="13" thickBot="1" x14ac:dyDescent="0.3">
      <c r="A80" s="1204" t="s">
        <v>21</v>
      </c>
      <c r="B80" s="249">
        <f>C68</f>
        <v>2017</v>
      </c>
      <c r="C80" s="1027">
        <v>0</v>
      </c>
      <c r="D80" s="250"/>
      <c r="E80" s="250"/>
      <c r="F80" s="259"/>
      <c r="G80" s="259"/>
      <c r="H80" s="810"/>
      <c r="I80" s="810"/>
      <c r="J80" s="811"/>
      <c r="K80" s="252"/>
      <c r="L80" s="253">
        <f>SUM(C80:J80)</f>
        <v>0</v>
      </c>
      <c r="M80" s="178"/>
      <c r="N80" s="178"/>
      <c r="O80" s="178"/>
      <c r="P80" s="178"/>
      <c r="Q80" s="178"/>
      <c r="R80" s="178"/>
      <c r="S80" s="178"/>
      <c r="T80" s="178"/>
      <c r="U80" s="178"/>
      <c r="V80" s="178"/>
      <c r="W80" s="178"/>
      <c r="X80" s="178"/>
      <c r="Y80" s="178"/>
      <c r="Z80" s="178"/>
      <c r="AA80" s="178"/>
      <c r="AB80" s="178"/>
      <c r="AC80" s="178"/>
      <c r="AD80" s="178"/>
      <c r="AE80" s="178"/>
    </row>
    <row r="81" spans="1:31" s="179" customFormat="1" ht="13" thickBot="1" x14ac:dyDescent="0.3">
      <c r="A81" s="1289"/>
      <c r="B81" s="254">
        <f>D68</f>
        <v>2018</v>
      </c>
      <c r="C81" s="336">
        <f>+C$69-C80</f>
        <v>0</v>
      </c>
      <c r="D81" s="1027">
        <v>0</v>
      </c>
      <c r="E81" s="256"/>
      <c r="F81" s="259"/>
      <c r="G81" s="259"/>
      <c r="H81" s="812"/>
      <c r="I81" s="812"/>
      <c r="J81" s="813"/>
      <c r="K81" s="252"/>
      <c r="L81" s="253">
        <f t="shared" ref="L81:L87" si="12">SUM(C81:J81)</f>
        <v>0</v>
      </c>
      <c r="M81" s="178"/>
      <c r="N81" s="178"/>
      <c r="O81" s="178"/>
      <c r="P81" s="178"/>
      <c r="Q81" s="178"/>
      <c r="R81" s="178"/>
      <c r="S81" s="178"/>
      <c r="T81" s="178"/>
      <c r="U81" s="178"/>
      <c r="V81" s="178"/>
      <c r="W81" s="178"/>
      <c r="X81" s="178"/>
      <c r="Y81" s="178"/>
      <c r="Z81" s="178"/>
      <c r="AA81" s="178"/>
      <c r="AB81" s="178"/>
      <c r="AC81" s="178"/>
      <c r="AD81" s="178"/>
      <c r="AE81" s="178"/>
    </row>
    <row r="82" spans="1:31" s="179" customFormat="1" ht="13" thickBot="1" x14ac:dyDescent="0.3">
      <c r="A82" s="1289"/>
      <c r="B82" s="254">
        <f>E68</f>
        <v>2019</v>
      </c>
      <c r="C82" s="258"/>
      <c r="D82" s="336">
        <f>+D$69-D81</f>
        <v>0</v>
      </c>
      <c r="E82" s="1027">
        <v>0</v>
      </c>
      <c r="F82" s="259"/>
      <c r="G82" s="259"/>
      <c r="H82" s="815"/>
      <c r="I82" s="815"/>
      <c r="J82" s="860"/>
      <c r="K82" s="252"/>
      <c r="L82" s="253">
        <f t="shared" si="12"/>
        <v>0</v>
      </c>
      <c r="M82" s="178"/>
      <c r="N82" s="178"/>
      <c r="O82" s="178"/>
      <c r="P82" s="178"/>
      <c r="Q82" s="178"/>
      <c r="R82" s="178"/>
      <c r="S82" s="178"/>
      <c r="T82" s="178"/>
      <c r="U82" s="178"/>
      <c r="V82" s="178"/>
      <c r="W82" s="178"/>
      <c r="X82" s="178"/>
      <c r="Y82" s="178"/>
      <c r="Z82" s="178"/>
      <c r="AA82" s="178"/>
      <c r="AB82" s="178"/>
      <c r="AC82" s="178"/>
      <c r="AD82" s="178"/>
      <c r="AE82" s="178"/>
    </row>
    <row r="83" spans="1:31" s="179" customFormat="1" ht="13" thickBot="1" x14ac:dyDescent="0.3">
      <c r="A83" s="1289"/>
      <c r="B83" s="254">
        <f>+F68</f>
        <v>2020</v>
      </c>
      <c r="C83" s="258"/>
      <c r="D83" s="259"/>
      <c r="E83" s="336">
        <f>+E$69-E82</f>
        <v>0</v>
      </c>
      <c r="F83" s="1027">
        <v>0</v>
      </c>
      <c r="G83" s="259"/>
      <c r="H83" s="815"/>
      <c r="I83" s="815"/>
      <c r="J83" s="860"/>
      <c r="K83" s="252"/>
      <c r="L83" s="253">
        <f t="shared" si="12"/>
        <v>0</v>
      </c>
      <c r="M83" s="178"/>
      <c r="N83" s="178"/>
      <c r="O83" s="178"/>
      <c r="P83" s="178"/>
      <c r="Q83" s="178"/>
      <c r="R83" s="178"/>
      <c r="S83" s="178"/>
      <c r="T83" s="178"/>
      <c r="U83" s="178"/>
      <c r="V83" s="178"/>
      <c r="W83" s="178"/>
      <c r="X83" s="178"/>
      <c r="Y83" s="178"/>
      <c r="Z83" s="178"/>
      <c r="AA83" s="178"/>
      <c r="AB83" s="178"/>
      <c r="AC83" s="178"/>
      <c r="AD83" s="178"/>
      <c r="AE83" s="178"/>
    </row>
    <row r="84" spans="1:31" s="179" customFormat="1" ht="13" thickBot="1" x14ac:dyDescent="0.3">
      <c r="A84" s="1289"/>
      <c r="B84" s="254">
        <f>+G68</f>
        <v>2021</v>
      </c>
      <c r="C84" s="258"/>
      <c r="D84" s="259"/>
      <c r="E84" s="259"/>
      <c r="F84" s="336">
        <f>+F$69-F83</f>
        <v>0</v>
      </c>
      <c r="G84" s="1027">
        <v>0</v>
      </c>
      <c r="H84" s="815"/>
      <c r="I84" s="815"/>
      <c r="J84" s="813"/>
      <c r="K84" s="252"/>
      <c r="L84" s="253">
        <f t="shared" si="12"/>
        <v>0</v>
      </c>
      <c r="M84" s="178"/>
      <c r="N84" s="178"/>
      <c r="O84" s="178"/>
      <c r="P84" s="178"/>
      <c r="Q84" s="178"/>
      <c r="R84" s="178"/>
      <c r="S84" s="178"/>
      <c r="T84" s="178"/>
      <c r="U84" s="178"/>
      <c r="V84" s="178"/>
      <c r="W84" s="178"/>
      <c r="X84" s="178"/>
      <c r="Y84" s="178"/>
      <c r="Z84" s="178"/>
      <c r="AA84" s="178"/>
      <c r="AB84" s="178"/>
      <c r="AC84" s="178"/>
      <c r="AD84" s="178"/>
      <c r="AE84" s="178"/>
    </row>
    <row r="85" spans="1:31" s="179" customFormat="1" ht="13" thickBot="1" x14ac:dyDescent="0.3">
      <c r="A85" s="1289"/>
      <c r="B85" s="868">
        <f>+H68</f>
        <v>2022</v>
      </c>
      <c r="C85" s="869"/>
      <c r="D85" s="815"/>
      <c r="E85" s="815"/>
      <c r="F85" s="815"/>
      <c r="G85" s="852">
        <f>+G$69-G84</f>
        <v>0</v>
      </c>
      <c r="H85" s="861">
        <v>0</v>
      </c>
      <c r="I85" s="815"/>
      <c r="J85" s="813"/>
      <c r="K85" s="826"/>
      <c r="L85" s="827">
        <f t="shared" si="12"/>
        <v>0</v>
      </c>
      <c r="M85" s="178"/>
      <c r="N85" s="178"/>
      <c r="O85" s="178"/>
      <c r="P85" s="178"/>
      <c r="Q85" s="178"/>
      <c r="R85" s="178"/>
      <c r="S85" s="178"/>
      <c r="T85" s="178"/>
      <c r="U85" s="178"/>
      <c r="V85" s="178"/>
      <c r="W85" s="178"/>
      <c r="X85" s="178"/>
      <c r="Y85" s="178"/>
      <c r="Z85" s="178"/>
      <c r="AA85" s="178"/>
      <c r="AB85" s="178"/>
      <c r="AC85" s="178"/>
      <c r="AD85" s="178"/>
      <c r="AE85" s="178"/>
    </row>
    <row r="86" spans="1:31" s="179" customFormat="1" ht="13" thickBot="1" x14ac:dyDescent="0.3">
      <c r="A86" s="1289"/>
      <c r="B86" s="868">
        <f>+I68</f>
        <v>2023</v>
      </c>
      <c r="C86" s="869"/>
      <c r="D86" s="815"/>
      <c r="E86" s="815"/>
      <c r="F86" s="815"/>
      <c r="G86" s="815"/>
      <c r="H86" s="852">
        <f>+H$69-H85</f>
        <v>0</v>
      </c>
      <c r="I86" s="861">
        <v>0</v>
      </c>
      <c r="J86" s="813"/>
      <c r="K86" s="826"/>
      <c r="L86" s="827">
        <f t="shared" si="12"/>
        <v>0</v>
      </c>
      <c r="M86" s="178"/>
      <c r="N86" s="178"/>
      <c r="O86" s="178"/>
      <c r="P86" s="178"/>
      <c r="Q86" s="178"/>
      <c r="R86" s="178"/>
      <c r="S86" s="178"/>
      <c r="T86" s="178"/>
      <c r="U86" s="178"/>
      <c r="V86" s="178"/>
      <c r="W86" s="178"/>
      <c r="X86" s="178"/>
      <c r="Y86" s="178"/>
      <c r="Z86" s="178"/>
      <c r="AA86" s="178"/>
      <c r="AB86" s="178"/>
      <c r="AC86" s="178"/>
      <c r="AD86" s="178"/>
      <c r="AE86" s="178"/>
    </row>
    <row r="87" spans="1:31" s="179" customFormat="1" ht="13" thickBot="1" x14ac:dyDescent="0.3">
      <c r="A87" s="1289"/>
      <c r="B87" s="868">
        <f>J68</f>
        <v>2024</v>
      </c>
      <c r="C87" s="869"/>
      <c r="D87" s="812"/>
      <c r="E87" s="815"/>
      <c r="F87" s="815"/>
      <c r="G87" s="815"/>
      <c r="H87" s="815"/>
      <c r="I87" s="852">
        <f>+I$69-I86</f>
        <v>0</v>
      </c>
      <c r="J87" s="862">
        <v>0</v>
      </c>
      <c r="K87" s="826"/>
      <c r="L87" s="827">
        <f t="shared" si="12"/>
        <v>0</v>
      </c>
      <c r="M87" s="178"/>
      <c r="N87" s="178"/>
      <c r="O87" s="178"/>
      <c r="P87" s="178"/>
      <c r="Q87" s="178"/>
      <c r="R87" s="178"/>
      <c r="S87" s="178"/>
      <c r="T87" s="178"/>
      <c r="U87" s="178"/>
      <c r="V87" s="178"/>
      <c r="W87" s="178"/>
      <c r="X87" s="178"/>
      <c r="Y87" s="178"/>
      <c r="Z87" s="178"/>
      <c r="AA87" s="178"/>
      <c r="AB87" s="178"/>
      <c r="AC87" s="178"/>
      <c r="AD87" s="178"/>
      <c r="AE87" s="178"/>
    </row>
    <row r="88" spans="1:31" s="265" customFormat="1" ht="15.5" x14ac:dyDescent="0.25">
      <c r="A88" s="1290"/>
      <c r="B88" s="331" t="s">
        <v>22</v>
      </c>
      <c r="C88" s="261">
        <f>SUM(C80:C87)</f>
        <v>0</v>
      </c>
      <c r="D88" s="261">
        <f t="shared" ref="D88:J88" si="13">SUM(D80:D87)</f>
        <v>0</v>
      </c>
      <c r="E88" s="261">
        <f t="shared" si="13"/>
        <v>0</v>
      </c>
      <c r="F88" s="261">
        <f t="shared" si="13"/>
        <v>0</v>
      </c>
      <c r="G88" s="261">
        <f t="shared" si="13"/>
        <v>0</v>
      </c>
      <c r="H88" s="816">
        <f t="shared" si="13"/>
        <v>0</v>
      </c>
      <c r="I88" s="816">
        <f t="shared" si="13"/>
        <v>0</v>
      </c>
      <c r="J88" s="816">
        <f t="shared" si="13"/>
        <v>0</v>
      </c>
      <c r="K88" s="262"/>
      <c r="L88" s="263">
        <f>SUM(L80:L87)</f>
        <v>0</v>
      </c>
      <c r="M88" s="264"/>
      <c r="N88" s="264"/>
      <c r="O88" s="264"/>
      <c r="P88" s="264"/>
      <c r="Q88" s="264"/>
      <c r="R88" s="264"/>
      <c r="S88" s="264"/>
      <c r="T88" s="264"/>
      <c r="U88" s="264"/>
      <c r="V88" s="264"/>
      <c r="W88" s="264"/>
      <c r="X88" s="264"/>
      <c r="Y88" s="264"/>
      <c r="Z88" s="264"/>
      <c r="AA88" s="264"/>
      <c r="AB88" s="264"/>
      <c r="AC88" s="264"/>
      <c r="AD88" s="264"/>
      <c r="AE88" s="264"/>
    </row>
    <row r="89" spans="1:31" s="243" customFormat="1" ht="13" x14ac:dyDescent="0.25">
      <c r="A89" s="266" t="s">
        <v>34</v>
      </c>
      <c r="C89" s="267">
        <f t="shared" ref="C89:J89" si="14">+C88+C103</f>
        <v>0</v>
      </c>
      <c r="D89" s="267">
        <f t="shared" si="14"/>
        <v>0</v>
      </c>
      <c r="E89" s="267">
        <f t="shared" si="14"/>
        <v>0</v>
      </c>
      <c r="F89" s="267">
        <f t="shared" si="14"/>
        <v>0</v>
      </c>
      <c r="G89" s="267">
        <f t="shared" si="14"/>
        <v>0</v>
      </c>
      <c r="H89" s="818">
        <f t="shared" si="14"/>
        <v>0</v>
      </c>
      <c r="I89" s="818">
        <f t="shared" si="14"/>
        <v>0</v>
      </c>
      <c r="J89" s="818">
        <f t="shared" si="14"/>
        <v>0</v>
      </c>
      <c r="K89" s="267"/>
      <c r="L89" s="267">
        <f>+L88+L103</f>
        <v>0</v>
      </c>
      <c r="M89" s="267"/>
    </row>
    <row r="90" spans="1:31" s="268" customFormat="1" ht="13" x14ac:dyDescent="0.25">
      <c r="A90" s="243"/>
      <c r="B90" s="243"/>
      <c r="C90" s="267"/>
      <c r="D90" s="267"/>
      <c r="E90" s="267"/>
      <c r="F90" s="267"/>
      <c r="G90" s="267"/>
      <c r="H90" s="267"/>
      <c r="I90" s="267"/>
      <c r="J90" s="267"/>
      <c r="K90" s="243"/>
      <c r="L90" s="243"/>
      <c r="M90" s="243"/>
      <c r="N90" s="243"/>
      <c r="O90" s="243"/>
      <c r="P90" s="243"/>
      <c r="Q90" s="243"/>
      <c r="R90" s="243"/>
      <c r="S90" s="243"/>
      <c r="T90" s="243"/>
      <c r="U90" s="243"/>
      <c r="V90" s="243"/>
      <c r="W90" s="243"/>
      <c r="X90" s="243"/>
      <c r="Y90" s="243"/>
      <c r="Z90" s="243"/>
      <c r="AA90" s="243"/>
      <c r="AB90" s="243"/>
      <c r="AC90" s="243"/>
      <c r="AD90" s="243"/>
      <c r="AE90" s="243"/>
    </row>
    <row r="91" spans="1:31" s="243" customFormat="1" ht="13" x14ac:dyDescent="0.25">
      <c r="C91" s="241" t="s">
        <v>162</v>
      </c>
      <c r="D91" s="267"/>
      <c r="E91" s="267"/>
      <c r="F91" s="267"/>
      <c r="G91" s="267"/>
      <c r="H91" s="267"/>
      <c r="I91" s="267"/>
      <c r="J91" s="267"/>
      <c r="K91" s="267"/>
      <c r="L91" s="267"/>
    </row>
    <row r="92" spans="1:31" ht="13" x14ac:dyDescent="0.25">
      <c r="C92" s="241" t="s">
        <v>163</v>
      </c>
    </row>
    <row r="93" spans="1:31" s="179" customFormat="1" ht="16.5" x14ac:dyDescent="0.25">
      <c r="A93" s="178"/>
      <c r="B93" s="178"/>
      <c r="C93" s="1201" t="s">
        <v>19</v>
      </c>
      <c r="D93" s="1202"/>
      <c r="E93" s="1202"/>
      <c r="F93" s="1202"/>
      <c r="G93" s="1202"/>
      <c r="H93" s="1202"/>
      <c r="I93" s="1202"/>
      <c r="J93" s="1203"/>
      <c r="K93" s="178"/>
      <c r="L93" s="245" t="s">
        <v>20</v>
      </c>
      <c r="M93" s="178"/>
      <c r="N93" s="245" t="s">
        <v>20</v>
      </c>
      <c r="O93" s="178"/>
      <c r="P93" s="178"/>
      <c r="Q93" s="178"/>
      <c r="R93" s="178"/>
      <c r="S93" s="178"/>
      <c r="T93" s="178"/>
      <c r="U93" s="178"/>
      <c r="V93" s="178"/>
      <c r="W93" s="178"/>
      <c r="X93" s="178"/>
      <c r="Y93" s="178"/>
      <c r="Z93" s="178"/>
      <c r="AA93" s="178"/>
      <c r="AB93" s="178"/>
      <c r="AC93" s="178"/>
      <c r="AD93" s="178"/>
      <c r="AE93" s="178"/>
    </row>
    <row r="94" spans="1:31" s="179" customFormat="1" x14ac:dyDescent="0.25">
      <c r="A94" s="178"/>
      <c r="B94" s="178"/>
      <c r="C94" s="247">
        <f>+C79</f>
        <v>2017</v>
      </c>
      <c r="D94" s="247">
        <f t="shared" ref="D94:J94" si="15">+D79</f>
        <v>2018</v>
      </c>
      <c r="E94" s="247">
        <f t="shared" si="15"/>
        <v>2019</v>
      </c>
      <c r="F94" s="247">
        <f t="shared" si="15"/>
        <v>2020</v>
      </c>
      <c r="G94" s="247">
        <f t="shared" si="15"/>
        <v>2021</v>
      </c>
      <c r="H94" s="809">
        <f t="shared" si="15"/>
        <v>2022</v>
      </c>
      <c r="I94" s="809">
        <f t="shared" si="15"/>
        <v>2023</v>
      </c>
      <c r="J94" s="809">
        <f t="shared" si="15"/>
        <v>2024</v>
      </c>
      <c r="K94" s="178"/>
      <c r="L94" s="248" t="s">
        <v>23</v>
      </c>
      <c r="M94" s="178"/>
      <c r="N94" s="248" t="s">
        <v>24</v>
      </c>
      <c r="O94" s="178"/>
      <c r="P94" s="178"/>
      <c r="Q94" s="178"/>
      <c r="R94" s="178"/>
      <c r="S94" s="178"/>
      <c r="T94" s="178"/>
      <c r="U94" s="178"/>
      <c r="V94" s="178"/>
      <c r="W94" s="178"/>
      <c r="X94" s="178"/>
      <c r="Y94" s="178"/>
      <c r="Z94" s="178"/>
      <c r="AA94" s="178"/>
      <c r="AB94" s="178"/>
      <c r="AC94" s="178"/>
      <c r="AD94" s="178"/>
      <c r="AE94" s="178"/>
    </row>
    <row r="95" spans="1:31" s="179" customFormat="1" ht="12.75" customHeight="1" x14ac:dyDescent="0.25">
      <c r="A95" s="1214" t="s">
        <v>113</v>
      </c>
      <c r="B95" s="269">
        <f>+B80</f>
        <v>2017</v>
      </c>
      <c r="C95" s="563"/>
      <c r="D95" s="270"/>
      <c r="E95" s="270"/>
      <c r="F95" s="270"/>
      <c r="G95" s="270"/>
      <c r="H95" s="819"/>
      <c r="I95" s="819"/>
      <c r="J95" s="820"/>
      <c r="K95" s="252"/>
      <c r="L95" s="253">
        <f>SUM(C95:J95)</f>
        <v>0</v>
      </c>
      <c r="M95" s="252"/>
      <c r="N95" s="272">
        <f>SUM(L80,L95)</f>
        <v>0</v>
      </c>
      <c r="O95" s="178"/>
      <c r="P95" s="178"/>
      <c r="Q95" s="178"/>
      <c r="R95" s="178"/>
      <c r="S95" s="178"/>
      <c r="T95" s="178"/>
      <c r="U95" s="178"/>
      <c r="V95" s="178"/>
      <c r="W95" s="178"/>
      <c r="X95" s="178"/>
      <c r="Y95" s="178"/>
      <c r="Z95" s="178"/>
      <c r="AA95" s="178"/>
      <c r="AB95" s="178"/>
      <c r="AC95" s="178"/>
      <c r="AD95" s="178"/>
      <c r="AE95" s="178"/>
    </row>
    <row r="96" spans="1:31" s="179" customFormat="1" ht="12.75" customHeight="1" x14ac:dyDescent="0.25">
      <c r="A96" s="1215"/>
      <c r="B96" s="269">
        <f t="shared" ref="B96:B102" si="16">+B81</f>
        <v>2018</v>
      </c>
      <c r="C96" s="255">
        <f>+IF($Q$3="ex-ante",IF(C$94&lt;=($P$3-1),IF($B96&lt;=($P$3),T6B!G98,0),0),IF($Q$3="ex-post",IF(C$94&lt;=($P$3),IF($B96&lt;=($P$3+1),T6B!G98,0),0),0))</f>
        <v>0</v>
      </c>
      <c r="D96" s="270"/>
      <c r="E96" s="270"/>
      <c r="F96" s="270"/>
      <c r="G96" s="270"/>
      <c r="H96" s="819"/>
      <c r="I96" s="819"/>
      <c r="J96" s="821"/>
      <c r="K96" s="252"/>
      <c r="L96" s="253">
        <f t="shared" ref="L96:L102" si="17">SUM(C96:J96)</f>
        <v>0</v>
      </c>
      <c r="M96" s="252"/>
      <c r="N96" s="272">
        <f t="shared" ref="N96:N102" si="18">SUM(L81,L96)</f>
        <v>0</v>
      </c>
      <c r="O96" s="178"/>
      <c r="P96" s="178"/>
      <c r="Q96" s="178"/>
      <c r="R96" s="178"/>
      <c r="S96" s="178"/>
      <c r="T96" s="178"/>
      <c r="U96" s="178"/>
      <c r="V96" s="178"/>
      <c r="W96" s="178"/>
      <c r="X96" s="178"/>
      <c r="Y96" s="178"/>
      <c r="Z96" s="178"/>
      <c r="AA96" s="178"/>
      <c r="AB96" s="178"/>
      <c r="AC96" s="178"/>
      <c r="AD96" s="178"/>
      <c r="AE96" s="178"/>
    </row>
    <row r="97" spans="1:31" s="179" customFormat="1" ht="12.75" customHeight="1" x14ac:dyDescent="0.25">
      <c r="A97" s="1215" t="s">
        <v>25</v>
      </c>
      <c r="B97" s="269">
        <f t="shared" si="16"/>
        <v>2019</v>
      </c>
      <c r="C97" s="255">
        <f>+IF($Q$3="ex-ante",IF(C$94&lt;=($P$3-1),IF($B97&lt;=($P$3),T6B!G99,0),0),IF($Q$3="ex-post",IF(C$94&lt;=($P$3),IF($B97&lt;=($P$3+1),T6B!G99,0),0),0))</f>
        <v>0</v>
      </c>
      <c r="D97" s="255">
        <f>+IF($Q$3="ex-ante",IF(D$94&lt;=($P$3-1),IF($B97&lt;=($P$3),T6B!H99,0),0),IF($Q$3="ex-post",IF(D$94&lt;=($P$3),IF($B97&lt;=($P$3+1),T6B!H99,0),0),0))</f>
        <v>0</v>
      </c>
      <c r="E97" s="270"/>
      <c r="F97" s="270"/>
      <c r="G97" s="270"/>
      <c r="H97" s="819"/>
      <c r="I97" s="819"/>
      <c r="J97" s="821"/>
      <c r="K97" s="252"/>
      <c r="L97" s="253">
        <f t="shared" si="17"/>
        <v>0</v>
      </c>
      <c r="M97" s="252"/>
      <c r="N97" s="272">
        <f t="shared" si="18"/>
        <v>0</v>
      </c>
      <c r="O97" s="178"/>
      <c r="P97" s="178"/>
      <c r="Q97" s="178"/>
      <c r="R97" s="178"/>
      <c r="S97" s="178"/>
      <c r="T97" s="178"/>
      <c r="U97" s="178"/>
      <c r="V97" s="178"/>
      <c r="W97" s="178"/>
      <c r="X97" s="178"/>
      <c r="Y97" s="178"/>
      <c r="Z97" s="178"/>
      <c r="AA97" s="178"/>
      <c r="AB97" s="178"/>
      <c r="AC97" s="178"/>
      <c r="AD97" s="178"/>
      <c r="AE97" s="178"/>
    </row>
    <row r="98" spans="1:31" s="179" customFormat="1" ht="12.75" customHeight="1" x14ac:dyDescent="0.25">
      <c r="A98" s="1215"/>
      <c r="B98" s="269">
        <f t="shared" si="16"/>
        <v>2020</v>
      </c>
      <c r="C98" s="255">
        <f>+IF($Q$3="ex-ante",IF(C$94&lt;=($P$3-1),IF($B98&lt;=($P$3),T6B!G100,0),0),IF($Q$3="ex-post",IF(C$94&lt;=($P$3),IF($B98&lt;=($P$3+1),T6B!G100,0),0),0))</f>
        <v>0</v>
      </c>
      <c r="D98" s="255">
        <f>+IF($Q$3="ex-ante",IF(D$94&lt;=($P$3-1),IF($B98&lt;=($P$3),T6B!H100,0),0),IF($Q$3="ex-post",IF(D$94&lt;=($P$3),IF($B98&lt;=($P$3+1),T6B!H100,0),0),0))</f>
        <v>0</v>
      </c>
      <c r="E98" s="255">
        <f>+IF($Q$3="ex-ante",IF(E$94&lt;=($P$3-1),IF($B98&lt;=($P$3),T6B!I100,0),0),IF($Q$3="ex-post",IF(E$94&lt;=($P$3),IF($B98&lt;=($P$3+1),T6B!I100,0),0),0))</f>
        <v>0</v>
      </c>
      <c r="F98" s="270"/>
      <c r="G98" s="270"/>
      <c r="H98" s="819"/>
      <c r="I98" s="819"/>
      <c r="J98" s="821"/>
      <c r="K98" s="252"/>
      <c r="L98" s="253">
        <f t="shared" si="17"/>
        <v>0</v>
      </c>
      <c r="M98" s="252"/>
      <c r="N98" s="272">
        <f t="shared" si="18"/>
        <v>0</v>
      </c>
      <c r="O98" s="178"/>
      <c r="P98" s="178"/>
      <c r="Q98" s="178"/>
      <c r="R98" s="178"/>
      <c r="S98" s="178"/>
      <c r="T98" s="178"/>
      <c r="U98" s="178"/>
      <c r="V98" s="178"/>
      <c r="W98" s="178"/>
      <c r="X98" s="178"/>
      <c r="Y98" s="178"/>
      <c r="Z98" s="178"/>
      <c r="AA98" s="178"/>
      <c r="AB98" s="178"/>
      <c r="AC98" s="178"/>
      <c r="AD98" s="178"/>
      <c r="AE98" s="178"/>
    </row>
    <row r="99" spans="1:31" s="179" customFormat="1" ht="12.75" customHeight="1" x14ac:dyDescent="0.25">
      <c r="A99" s="1215"/>
      <c r="B99" s="269">
        <f t="shared" si="16"/>
        <v>2021</v>
      </c>
      <c r="C99" s="255">
        <f>+IF($Q$3="ex-ante",IF(C$94&lt;=($P$3-1),IF($B99&lt;=($P$3),T6B!G101,0),0),IF($Q$3="ex-post",IF(C$94&lt;=($P$3),IF($B99&lt;=($P$3+1),T6B!G101,0),0),0))</f>
        <v>0</v>
      </c>
      <c r="D99" s="255">
        <f>+IF($Q$3="ex-ante",IF(D$94&lt;=($P$3-1),IF($B99&lt;=($P$3),T6B!H101,0),0),IF($Q$3="ex-post",IF(D$94&lt;=($P$3),IF($B99&lt;=($P$3+1),T6B!H101,0),0),0))</f>
        <v>0</v>
      </c>
      <c r="E99" s="255">
        <f>+IF($Q$3="ex-ante",IF(E$94&lt;=($P$3-1),IF($B99&lt;=($P$3),T6B!I101,0),0),IF($Q$3="ex-post",IF(E$94&lt;=($P$3),IF($B99&lt;=($P$3+1),T6B!I101,0),0),0))</f>
        <v>0</v>
      </c>
      <c r="F99" s="255">
        <f>+IF($Q$3="ex-ante",IF(F$94&lt;=($P$3-1),IF($B99&lt;=($P$3),T6B!J101,0),0),IF($Q$3="ex-post",IF(F$94&lt;=($P$3),IF($B99&lt;=($P$3+1),T6B!J101,0),0),0))</f>
        <v>0</v>
      </c>
      <c r="G99" s="270"/>
      <c r="H99" s="819"/>
      <c r="I99" s="819"/>
      <c r="J99" s="821"/>
      <c r="K99" s="252"/>
      <c r="L99" s="253">
        <f t="shared" si="17"/>
        <v>0</v>
      </c>
      <c r="M99" s="252"/>
      <c r="N99" s="272">
        <f t="shared" si="18"/>
        <v>0</v>
      </c>
      <c r="O99" s="244" t="s">
        <v>27</v>
      </c>
      <c r="P99" s="178"/>
      <c r="Q99" s="178"/>
      <c r="R99" s="178"/>
      <c r="S99" s="178"/>
      <c r="T99" s="178"/>
      <c r="U99" s="178"/>
      <c r="V99" s="178"/>
      <c r="W99" s="178"/>
      <c r="X99" s="178"/>
      <c r="Y99" s="178"/>
      <c r="Z99" s="178"/>
      <c r="AA99" s="178"/>
      <c r="AB99" s="178"/>
      <c r="AC99" s="178"/>
      <c r="AD99" s="178"/>
      <c r="AE99" s="178"/>
    </row>
    <row r="100" spans="1:31" s="179" customFormat="1" ht="12.75" customHeight="1" x14ac:dyDescent="0.25">
      <c r="A100" s="1215"/>
      <c r="B100" s="853">
        <f t="shared" si="16"/>
        <v>2022</v>
      </c>
      <c r="C100" s="565">
        <f>+IF($Q$3="ex-ante",IF(C$94&lt;=($P$3-1),IF($B100&lt;=($P$3),T6B!G102,0),0),IF($Q$3="ex-post",IF(C$94&lt;=($P$3),IF($B100&lt;=($P$3+1),T6B!G102,0),0),0))</f>
        <v>0</v>
      </c>
      <c r="D100" s="565">
        <f>+IF($Q$3="ex-ante",IF(D$94&lt;=($P$3-1),IF($B100&lt;=($P$3),T6B!H102,0),0),IF($Q$3="ex-post",IF(D$94&lt;=($P$3),IF($B100&lt;=($P$3+1),T6B!H102,0),0),0))</f>
        <v>0</v>
      </c>
      <c r="E100" s="565">
        <f>+IF($Q$3="ex-ante",IF(E$94&lt;=($P$3-1),IF($B100&lt;=($P$3),T6B!I102,0),0),IF($Q$3="ex-post",IF(E$94&lt;=($P$3),IF($B100&lt;=($P$3+1),T6B!I102,0),0),0))</f>
        <v>0</v>
      </c>
      <c r="F100" s="565">
        <f>+IF($Q$3="ex-ante",IF(F$94&lt;=($P$3-1),IF($B100&lt;=($P$3),T6B!J102,0),0),IF($Q$3="ex-post",IF(F$94&lt;=($P$3),IF($B100&lt;=($P$3+1),T6B!J102,0),0),0))</f>
        <v>0</v>
      </c>
      <c r="G100" s="565">
        <f>+IF($Q$3="ex-ante",IF(G$94&lt;=($P$3-1),IF($B100&lt;=($P$3),T6B!K102,0),0),IF($Q$3="ex-post",IF(G$94&lt;=($P$3),IF($B100&lt;=($P$3+1),T6B!K102,0),0),0))</f>
        <v>0</v>
      </c>
      <c r="H100" s="819"/>
      <c r="I100" s="819"/>
      <c r="J100" s="821"/>
      <c r="K100" s="826"/>
      <c r="L100" s="827">
        <f t="shared" si="17"/>
        <v>0</v>
      </c>
      <c r="M100" s="826"/>
      <c r="N100" s="854">
        <f t="shared" si="18"/>
        <v>0</v>
      </c>
      <c r="O100" s="178"/>
      <c r="P100" s="178"/>
      <c r="Q100" s="178"/>
      <c r="R100" s="178"/>
      <c r="S100" s="178"/>
      <c r="T100" s="178"/>
      <c r="U100" s="178"/>
      <c r="V100" s="178"/>
      <c r="W100" s="178"/>
      <c r="X100" s="178"/>
      <c r="Y100" s="178"/>
      <c r="Z100" s="178"/>
      <c r="AA100" s="178"/>
      <c r="AB100" s="178"/>
      <c r="AC100" s="178"/>
      <c r="AD100" s="178"/>
      <c r="AE100" s="178"/>
    </row>
    <row r="101" spans="1:31" s="179" customFormat="1" ht="12.75" customHeight="1" x14ac:dyDescent="0.25">
      <c r="A101" s="1215"/>
      <c r="B101" s="853">
        <f t="shared" si="16"/>
        <v>2023</v>
      </c>
      <c r="C101" s="819"/>
      <c r="D101" s="819"/>
      <c r="E101" s="819"/>
      <c r="F101" s="819"/>
      <c r="G101" s="565">
        <f>+IF($Q$3="ex-ante",IF(G$94&lt;=($P$3-1),IF($B101&lt;=($P$3),T6B!K103,0),0),IF($Q$3="ex-post",IF(G$94&lt;=($P$3),IF($B101&lt;=($P$3+1),T6B!K103,0),0),0))</f>
        <v>0</v>
      </c>
      <c r="H101" s="565">
        <f>+IF($Q$3="ex-ante",IF(H$94&lt;=($P$3-1),IF($B101&lt;=($P$3),T6B!L103,0),0),IF($Q$3="ex-post",IF(H$94&lt;=($P$3),IF($B101&lt;=($P$3+1),T6B!L103,0),0),0))</f>
        <v>0</v>
      </c>
      <c r="I101" s="819"/>
      <c r="J101" s="821"/>
      <c r="K101" s="826"/>
      <c r="L101" s="827">
        <f t="shared" si="17"/>
        <v>0</v>
      </c>
      <c r="M101" s="826"/>
      <c r="N101" s="854">
        <f t="shared" si="18"/>
        <v>0</v>
      </c>
      <c r="O101" s="178"/>
      <c r="P101" s="178"/>
      <c r="Q101" s="178"/>
      <c r="R101" s="178"/>
      <c r="S101" s="178"/>
      <c r="T101" s="178"/>
      <c r="U101" s="178"/>
      <c r="V101" s="178"/>
      <c r="W101" s="178"/>
      <c r="X101" s="178"/>
      <c r="Y101" s="178"/>
      <c r="Z101" s="178"/>
      <c r="AA101" s="178"/>
      <c r="AB101" s="178"/>
      <c r="AC101" s="178"/>
      <c r="AD101" s="178"/>
      <c r="AE101" s="178"/>
    </row>
    <row r="102" spans="1:31" s="179" customFormat="1" ht="12.75" customHeight="1" x14ac:dyDescent="0.25">
      <c r="A102" s="1215"/>
      <c r="B102" s="853">
        <f t="shared" si="16"/>
        <v>2024</v>
      </c>
      <c r="C102" s="819"/>
      <c r="D102" s="819"/>
      <c r="E102" s="819"/>
      <c r="F102" s="819"/>
      <c r="G102" s="819"/>
      <c r="H102" s="565">
        <f>+IF($Q$3="ex-ante",IF(H$94&lt;=($P$3-1),IF($B102&lt;=($P$3),T6B!L104,0),0),IF($Q$3="ex-post",IF(H$94&lt;=($P$3),IF($B102&lt;=($P$3+1),T6B!L104,0),0),0))</f>
        <v>0</v>
      </c>
      <c r="I102" s="565">
        <f>+IF($Q$3="ex-ante",IF(I$94&lt;=($P$3-1),IF($B102&lt;=($P$3),T6B!M104,0),0),IF($Q$3="ex-post",IF(I$94&lt;=($P$3),IF($B102&lt;=($P$3+1),T6B!M104,0),0),0))</f>
        <v>0</v>
      </c>
      <c r="J102" s="864"/>
      <c r="K102" s="826"/>
      <c r="L102" s="827">
        <f t="shared" si="17"/>
        <v>0</v>
      </c>
      <c r="M102" s="826"/>
      <c r="N102" s="854">
        <f t="shared" si="18"/>
        <v>0</v>
      </c>
      <c r="P102" s="178"/>
      <c r="Q102" s="178"/>
      <c r="R102" s="178"/>
      <c r="S102" s="178"/>
      <c r="T102" s="178"/>
      <c r="U102" s="178"/>
      <c r="V102" s="178"/>
      <c r="W102" s="178"/>
      <c r="X102" s="178"/>
      <c r="Y102" s="178"/>
      <c r="Z102" s="178"/>
      <c r="AA102" s="178"/>
      <c r="AB102" s="178"/>
      <c r="AC102" s="178"/>
      <c r="AD102" s="178"/>
      <c r="AE102" s="178"/>
    </row>
    <row r="103" spans="1:31" s="265" customFormat="1" ht="16.5" customHeight="1" x14ac:dyDescent="0.25">
      <c r="A103" s="1273"/>
      <c r="B103" s="331" t="s">
        <v>22</v>
      </c>
      <c r="C103" s="275">
        <f>SUM(C95:C102)</f>
        <v>0</v>
      </c>
      <c r="D103" s="275">
        <f t="shared" ref="D103:J103" si="19">SUM(D95:D102)</f>
        <v>0</v>
      </c>
      <c r="E103" s="275">
        <f t="shared" si="19"/>
        <v>0</v>
      </c>
      <c r="F103" s="275">
        <f t="shared" si="19"/>
        <v>0</v>
      </c>
      <c r="G103" s="275">
        <f t="shared" si="19"/>
        <v>0</v>
      </c>
      <c r="H103" s="865">
        <f t="shared" si="19"/>
        <v>0</v>
      </c>
      <c r="I103" s="865">
        <f t="shared" si="19"/>
        <v>0</v>
      </c>
      <c r="J103" s="865">
        <f t="shared" si="19"/>
        <v>0</v>
      </c>
      <c r="K103" s="252"/>
      <c r="L103" s="263">
        <f>SUM(L95:L102)</f>
        <v>0</v>
      </c>
      <c r="M103" s="262"/>
      <c r="N103" s="263">
        <f>SUM(N95:N102)</f>
        <v>0</v>
      </c>
      <c r="O103" s="264"/>
      <c r="P103" s="264"/>
      <c r="Q103" s="264"/>
      <c r="R103" s="264"/>
      <c r="S103" s="264"/>
      <c r="T103" s="264"/>
      <c r="U103" s="264"/>
      <c r="V103" s="264"/>
      <c r="W103" s="264"/>
      <c r="X103" s="264"/>
      <c r="Y103" s="264"/>
      <c r="Z103" s="264"/>
      <c r="AA103" s="264"/>
      <c r="AB103" s="264"/>
      <c r="AC103" s="264"/>
      <c r="AD103" s="264"/>
      <c r="AE103" s="264"/>
    </row>
    <row r="104" spans="1:31" x14ac:dyDescent="0.25">
      <c r="K104" s="252"/>
    </row>
    <row r="105" spans="1:31" x14ac:dyDescent="0.25">
      <c r="K105" s="252"/>
    </row>
    <row r="106" spans="1:31" ht="13" thickBot="1" x14ac:dyDescent="0.3">
      <c r="K106" s="252"/>
    </row>
    <row r="107" spans="1:31" s="179" customFormat="1" ht="21.75" customHeight="1" thickBot="1" x14ac:dyDescent="0.3">
      <c r="A107" s="1217" t="s">
        <v>175</v>
      </c>
      <c r="B107" s="1218"/>
      <c r="C107" s="1218"/>
      <c r="D107" s="1218"/>
      <c r="E107" s="1218"/>
      <c r="F107" s="1218"/>
      <c r="G107" s="1218"/>
      <c r="H107" s="1218"/>
      <c r="I107" s="1218"/>
      <c r="J107" s="1218"/>
      <c r="K107" s="1218"/>
      <c r="L107" s="1219"/>
      <c r="N107" s="178"/>
      <c r="O107" s="178"/>
      <c r="P107" s="178"/>
      <c r="Q107" s="178"/>
      <c r="R107" s="178"/>
      <c r="S107" s="178"/>
      <c r="T107" s="178"/>
      <c r="U107" s="178"/>
      <c r="V107" s="178"/>
      <c r="W107" s="178"/>
      <c r="X107" s="178"/>
      <c r="Y107" s="178"/>
      <c r="Z107" s="178"/>
      <c r="AA107" s="178"/>
      <c r="AB107" s="178"/>
      <c r="AC107" s="178"/>
      <c r="AD107" s="178"/>
      <c r="AE107" s="178"/>
    </row>
    <row r="109" spans="1:31" ht="13" x14ac:dyDescent="0.25">
      <c r="C109" s="241" t="s">
        <v>164</v>
      </c>
    </row>
    <row r="110" spans="1:31" ht="13" x14ac:dyDescent="0.25">
      <c r="C110" s="241" t="s">
        <v>29</v>
      </c>
    </row>
    <row r="111" spans="1:31" ht="16.5" x14ac:dyDescent="0.25">
      <c r="C111" s="1210" t="s">
        <v>19</v>
      </c>
      <c r="D111" s="1211"/>
      <c r="E111" s="1211"/>
      <c r="F111" s="1211"/>
      <c r="G111" s="1211"/>
      <c r="H111" s="1211"/>
      <c r="I111" s="1211"/>
      <c r="J111" s="1212"/>
    </row>
    <row r="112" spans="1:31" x14ac:dyDescent="0.25">
      <c r="C112" s="247">
        <f>+C94</f>
        <v>2017</v>
      </c>
      <c r="D112" s="247">
        <f t="shared" ref="D112:J112" si="20">+D94</f>
        <v>2018</v>
      </c>
      <c r="E112" s="247">
        <f t="shared" si="20"/>
        <v>2019</v>
      </c>
      <c r="F112" s="247">
        <f t="shared" si="20"/>
        <v>2020</v>
      </c>
      <c r="G112" s="247">
        <f t="shared" si="20"/>
        <v>2021</v>
      </c>
      <c r="H112" s="809">
        <f t="shared" si="20"/>
        <v>2022</v>
      </c>
      <c r="I112" s="809">
        <f t="shared" si="20"/>
        <v>2023</v>
      </c>
      <c r="J112" s="809">
        <f t="shared" si="20"/>
        <v>2024</v>
      </c>
      <c r="L112" s="93" t="s">
        <v>20</v>
      </c>
    </row>
    <row r="113" spans="1:12" ht="15.65" customHeight="1" x14ac:dyDescent="0.25">
      <c r="A113" s="1204" t="s">
        <v>130</v>
      </c>
      <c r="B113" s="276">
        <f>+B95</f>
        <v>2017</v>
      </c>
      <c r="C113" s="255">
        <f>+C80</f>
        <v>0</v>
      </c>
      <c r="D113" s="277"/>
      <c r="E113" s="270"/>
      <c r="F113" s="259"/>
      <c r="G113" s="270"/>
      <c r="H113" s="819"/>
      <c r="I113" s="819"/>
      <c r="J113" s="821"/>
      <c r="L113" s="278">
        <f>SUM(C113:J113)</f>
        <v>0</v>
      </c>
    </row>
    <row r="114" spans="1:12" ht="13.5" customHeight="1" x14ac:dyDescent="0.25">
      <c r="A114" s="1205"/>
      <c r="B114" s="276">
        <f t="shared" ref="B114:B120" si="21">+B96</f>
        <v>2018</v>
      </c>
      <c r="C114" s="255">
        <f>+C113+C96+C81</f>
        <v>0</v>
      </c>
      <c r="D114" s="255">
        <f>+D81</f>
        <v>0</v>
      </c>
      <c r="E114" s="279"/>
      <c r="F114" s="259"/>
      <c r="G114" s="259"/>
      <c r="H114" s="815"/>
      <c r="I114" s="815"/>
      <c r="J114" s="860"/>
      <c r="L114" s="278">
        <f t="shared" ref="L114:L120" si="22">SUM(C114:J114)</f>
        <v>0</v>
      </c>
    </row>
    <row r="115" spans="1:12" ht="16.5" customHeight="1" x14ac:dyDescent="0.25">
      <c r="A115" s="1205"/>
      <c r="B115" s="276">
        <f t="shared" si="21"/>
        <v>2019</v>
      </c>
      <c r="C115" s="255">
        <f t="shared" ref="C115:C118" si="23">+C114+C97+C82</f>
        <v>0</v>
      </c>
      <c r="D115" s="255">
        <f>+D114+D97+D82</f>
        <v>0</v>
      </c>
      <c r="E115" s="255">
        <f>+E82</f>
        <v>0</v>
      </c>
      <c r="F115" s="259"/>
      <c r="G115" s="259"/>
      <c r="H115" s="815"/>
      <c r="I115" s="815"/>
      <c r="J115" s="860"/>
      <c r="L115" s="278">
        <f t="shared" si="22"/>
        <v>0</v>
      </c>
    </row>
    <row r="116" spans="1:12" ht="16.5" customHeight="1" x14ac:dyDescent="0.25">
      <c r="A116" s="1205"/>
      <c r="B116" s="276">
        <f t="shared" si="21"/>
        <v>2020</v>
      </c>
      <c r="C116" s="255">
        <f t="shared" si="23"/>
        <v>0</v>
      </c>
      <c r="D116" s="255">
        <f t="shared" ref="D116:D118" si="24">+D115+D98+D83</f>
        <v>0</v>
      </c>
      <c r="E116" s="255">
        <f t="shared" ref="E116:I120" si="25">+E115+E98+E83</f>
        <v>0</v>
      </c>
      <c r="F116" s="255">
        <f>+F83</f>
        <v>0</v>
      </c>
      <c r="G116" s="259"/>
      <c r="H116" s="815"/>
      <c r="I116" s="815"/>
      <c r="J116" s="860"/>
      <c r="L116" s="278">
        <f t="shared" si="22"/>
        <v>0</v>
      </c>
    </row>
    <row r="117" spans="1:12" ht="16.5" customHeight="1" x14ac:dyDescent="0.25">
      <c r="A117" s="1205"/>
      <c r="B117" s="276">
        <f t="shared" si="21"/>
        <v>2021</v>
      </c>
      <c r="C117" s="255">
        <f t="shared" si="23"/>
        <v>0</v>
      </c>
      <c r="D117" s="255">
        <f t="shared" si="24"/>
        <v>0</v>
      </c>
      <c r="E117" s="255">
        <f t="shared" si="25"/>
        <v>0</v>
      </c>
      <c r="F117" s="255">
        <f t="shared" si="25"/>
        <v>0</v>
      </c>
      <c r="G117" s="255">
        <f>+G84</f>
        <v>0</v>
      </c>
      <c r="H117" s="815"/>
      <c r="I117" s="815"/>
      <c r="J117" s="860"/>
      <c r="L117" s="278">
        <f t="shared" si="22"/>
        <v>0</v>
      </c>
    </row>
    <row r="118" spans="1:12" ht="16.5" customHeight="1" x14ac:dyDescent="0.25">
      <c r="A118" s="1205"/>
      <c r="B118" s="829">
        <f t="shared" si="21"/>
        <v>2022</v>
      </c>
      <c r="C118" s="565">
        <f t="shared" si="23"/>
        <v>0</v>
      </c>
      <c r="D118" s="565">
        <f t="shared" si="24"/>
        <v>0</v>
      </c>
      <c r="E118" s="565">
        <f t="shared" si="25"/>
        <v>0</v>
      </c>
      <c r="F118" s="565">
        <f t="shared" si="25"/>
        <v>0</v>
      </c>
      <c r="G118" s="565">
        <f t="shared" si="25"/>
        <v>0</v>
      </c>
      <c r="H118" s="565">
        <f>+H85</f>
        <v>0</v>
      </c>
      <c r="I118" s="815"/>
      <c r="J118" s="860"/>
      <c r="K118" s="830"/>
      <c r="L118" s="831">
        <f t="shared" si="22"/>
        <v>0</v>
      </c>
    </row>
    <row r="119" spans="1:12" ht="16.5" customHeight="1" x14ac:dyDescent="0.25">
      <c r="A119" s="1205"/>
      <c r="B119" s="829">
        <f t="shared" si="21"/>
        <v>2023</v>
      </c>
      <c r="C119" s="866"/>
      <c r="D119" s="815"/>
      <c r="E119" s="815"/>
      <c r="F119" s="815"/>
      <c r="G119" s="565">
        <f t="shared" si="25"/>
        <v>0</v>
      </c>
      <c r="H119" s="565">
        <f t="shared" si="25"/>
        <v>0</v>
      </c>
      <c r="I119" s="565">
        <f>+I86</f>
        <v>0</v>
      </c>
      <c r="J119" s="860"/>
      <c r="K119" s="830"/>
      <c r="L119" s="831">
        <f t="shared" si="22"/>
        <v>0</v>
      </c>
    </row>
    <row r="120" spans="1:12" ht="15.75" customHeight="1" x14ac:dyDescent="0.25">
      <c r="A120" s="1206"/>
      <c r="B120" s="829">
        <f t="shared" si="21"/>
        <v>2024</v>
      </c>
      <c r="C120" s="852"/>
      <c r="D120" s="867"/>
      <c r="E120" s="867"/>
      <c r="F120" s="867"/>
      <c r="G120" s="867"/>
      <c r="H120" s="565">
        <f t="shared" si="25"/>
        <v>0</v>
      </c>
      <c r="I120" s="565">
        <f t="shared" si="25"/>
        <v>0</v>
      </c>
      <c r="J120" s="565">
        <f>+J87</f>
        <v>0</v>
      </c>
      <c r="K120" s="830"/>
      <c r="L120" s="831">
        <f t="shared" si="22"/>
        <v>0</v>
      </c>
    </row>
    <row r="121" spans="1:12" ht="14.5" x14ac:dyDescent="0.25">
      <c r="A121" s="337"/>
      <c r="C121" s="241"/>
    </row>
    <row r="122" spans="1:12" ht="13" x14ac:dyDescent="0.25">
      <c r="C122" s="241"/>
    </row>
    <row r="123" spans="1:12" ht="13" x14ac:dyDescent="0.25">
      <c r="C123" s="241"/>
    </row>
  </sheetData>
  <sheetProtection algorithmName="SHA-512" hashValue="M9KEzjSi4zECUehP99Qs/C0KKWVRTtsVnMwmha50EugVFIT8nNNpvf059OHmIUlqg7wSB8oOJESXddsfh/Y72A==" saltValue="tfbcePa/G6zG3oxOFOXiqQ==" spinCount="100000" sheet="1" objects="1" scenarios="1"/>
  <mergeCells count="62">
    <mergeCell ref="A30:B30"/>
    <mergeCell ref="A35:B35"/>
    <mergeCell ref="A36:B36"/>
    <mergeCell ref="A37:B37"/>
    <mergeCell ref="A38:B38"/>
    <mergeCell ref="A20:B20"/>
    <mergeCell ref="A21:B21"/>
    <mergeCell ref="A23:B23"/>
    <mergeCell ref="A24:B24"/>
    <mergeCell ref="C67:J67"/>
    <mergeCell ref="A53:B53"/>
    <mergeCell ref="A26:B26"/>
    <mergeCell ref="A28:B28"/>
    <mergeCell ref="A29:B29"/>
    <mergeCell ref="A42:B42"/>
    <mergeCell ref="A41:B41"/>
    <mergeCell ref="A33:B33"/>
    <mergeCell ref="A39:B39"/>
    <mergeCell ref="A40:B40"/>
    <mergeCell ref="A47:B47"/>
    <mergeCell ref="A48:B48"/>
    <mergeCell ref="A1:L1"/>
    <mergeCell ref="A7:B7"/>
    <mergeCell ref="A8:B8"/>
    <mergeCell ref="C4:J4"/>
    <mergeCell ref="A17:B17"/>
    <mergeCell ref="A18:B18"/>
    <mergeCell ref="A15:B15"/>
    <mergeCell ref="C5:J5"/>
    <mergeCell ref="A14:B14"/>
    <mergeCell ref="A9:B9"/>
    <mergeCell ref="A10:B10"/>
    <mergeCell ref="A11:B11"/>
    <mergeCell ref="M74:N74"/>
    <mergeCell ref="A46:B46"/>
    <mergeCell ref="A45:B45"/>
    <mergeCell ref="A44:B44"/>
    <mergeCell ref="A58:B58"/>
    <mergeCell ref="A56:B56"/>
    <mergeCell ref="A55:B55"/>
    <mergeCell ref="A54:B54"/>
    <mergeCell ref="A57:B57"/>
    <mergeCell ref="A59:B59"/>
    <mergeCell ref="A65:L65"/>
    <mergeCell ref="A74:L74"/>
    <mergeCell ref="A49:B49"/>
    <mergeCell ref="A113:A120"/>
    <mergeCell ref="C6:J6"/>
    <mergeCell ref="A13:B13"/>
    <mergeCell ref="A79:B79"/>
    <mergeCell ref="A80:A88"/>
    <mergeCell ref="A27:B27"/>
    <mergeCell ref="C111:J111"/>
    <mergeCell ref="A60:B60"/>
    <mergeCell ref="A50:B50"/>
    <mergeCell ref="A107:L107"/>
    <mergeCell ref="A95:A103"/>
    <mergeCell ref="C93:J93"/>
    <mergeCell ref="C78:J78"/>
    <mergeCell ref="A12:B12"/>
    <mergeCell ref="A31:B31"/>
    <mergeCell ref="A32:B32"/>
  </mergeCells>
  <conditionalFormatting sqref="A13:B14 A31:G32 A40:G41 A58:J59 C13:J14">
    <cfRule type="expression" dxfId="33" priority="4">
      <formula>$C$5="gas"</formula>
    </cfRule>
  </conditionalFormatting>
  <pageMargins left="0.78740157480314965" right="0.78740157480314965" top="0.98425196850393704" bottom="0.98425196850393704" header="0.51181102362204722" footer="0.51181102362204722"/>
  <pageSetup paperSize="8" scale="34" orientation="landscape" r:id="rId1"/>
  <headerFooter alignWithMargins="0">
    <oddFooter>&amp;CPage &amp;P</oddFooter>
  </headerFooter>
  <ignoredErrors>
    <ignoredError sqref="C53" evalError="1"/>
    <ignoredError sqref="L94 N94"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93EBA-8E1D-4A14-9E4D-9E4D5D9759A8}">
  <sheetPr published="0" codeName="Blad17"/>
  <dimension ref="A1:T626"/>
  <sheetViews>
    <sheetView zoomScale="85" zoomScaleNormal="85" workbookViewId="0">
      <selection activeCell="H19" sqref="H19"/>
    </sheetView>
  </sheetViews>
  <sheetFormatPr defaultColWidth="9.1796875" defaultRowHeight="12.5" x14ac:dyDescent="0.25"/>
  <cols>
    <col min="1" max="1" width="2.453125" style="167" customWidth="1"/>
    <col min="2" max="2" width="9.1796875" style="167"/>
    <col min="3" max="3" width="19" style="167" customWidth="1"/>
    <col min="4" max="4" width="12.81640625" style="167" customWidth="1"/>
    <col min="5" max="5" width="24.26953125" style="167" customWidth="1"/>
    <col min="6" max="6" width="9.453125" style="167" customWidth="1"/>
    <col min="7" max="14" width="25.7265625" style="167" customWidth="1"/>
    <col min="15" max="15" width="2.1796875" style="209" customWidth="1"/>
    <col min="16" max="16" width="25.7265625" style="167" customWidth="1"/>
    <col min="17" max="16384" width="9.1796875" style="167"/>
  </cols>
  <sheetData>
    <row r="1" spans="1:20" ht="25.5" customHeight="1" thickBot="1" x14ac:dyDescent="0.3">
      <c r="A1" s="1160" t="s">
        <v>146</v>
      </c>
      <c r="B1" s="1161"/>
      <c r="C1" s="1161"/>
      <c r="D1" s="1161"/>
      <c r="E1" s="1161"/>
      <c r="F1" s="1161"/>
      <c r="G1" s="1161"/>
      <c r="H1" s="1161"/>
      <c r="I1" s="1161"/>
      <c r="J1" s="1162"/>
      <c r="K1" s="292"/>
      <c r="L1" s="293"/>
      <c r="M1" s="293"/>
      <c r="N1" s="293"/>
      <c r="O1" s="293"/>
      <c r="Q1" s="294"/>
      <c r="R1" s="294"/>
      <c r="S1" s="294"/>
      <c r="T1" s="294"/>
    </row>
    <row r="2" spans="1:20" ht="13" x14ac:dyDescent="0.25">
      <c r="B2" s="209" t="str">
        <f>+TITELBLAD!B16</f>
        <v>Rapportering over boekjaar:</v>
      </c>
      <c r="C2" s="209"/>
      <c r="D2" s="209">
        <f>+TITELBLAD!E16</f>
        <v>2021</v>
      </c>
      <c r="E2" s="209" t="str">
        <f>+TITELBLAD!F16</f>
        <v>ex-ante</v>
      </c>
      <c r="F2" s="296"/>
      <c r="G2" s="296"/>
      <c r="H2" s="295"/>
      <c r="I2" s="234"/>
      <c r="J2" s="233"/>
      <c r="K2" s="234"/>
      <c r="L2" s="234"/>
      <c r="M2" s="234"/>
      <c r="N2" s="234"/>
      <c r="O2" s="296"/>
      <c r="P2" s="234"/>
    </row>
    <row r="3" spans="1:20" ht="13.5" thickBot="1" x14ac:dyDescent="0.3">
      <c r="B3" s="297" t="s">
        <v>15</v>
      </c>
      <c r="H3" s="241"/>
      <c r="I3" s="233"/>
      <c r="J3" s="233"/>
      <c r="K3" s="234"/>
      <c r="L3" s="234"/>
      <c r="M3" s="234"/>
      <c r="N3" s="234"/>
      <c r="O3" s="296"/>
      <c r="P3" s="234"/>
    </row>
    <row r="4" spans="1:20" ht="13.5" thickBot="1" x14ac:dyDescent="0.3">
      <c r="B4" s="1176" t="str">
        <f>+TITELBLAD!C7</f>
        <v>NAAM DNB</v>
      </c>
      <c r="C4" s="1177"/>
      <c r="D4" s="1177"/>
      <c r="E4" s="1178"/>
      <c r="H4" s="241"/>
      <c r="I4" s="233"/>
      <c r="J4" s="233"/>
      <c r="K4" s="234"/>
      <c r="L4" s="234"/>
      <c r="M4" s="234"/>
      <c r="N4" s="234"/>
      <c r="O4" s="296"/>
      <c r="P4" s="234"/>
    </row>
    <row r="5" spans="1:20" ht="13" x14ac:dyDescent="0.25">
      <c r="H5" s="241"/>
      <c r="I5" s="233"/>
      <c r="J5" s="233"/>
      <c r="K5" s="234"/>
      <c r="L5" s="234"/>
      <c r="M5" s="234"/>
      <c r="N5" s="234"/>
      <c r="O5" s="296"/>
      <c r="P5" s="234"/>
    </row>
    <row r="6" spans="1:20" ht="13.5" thickBot="1" x14ac:dyDescent="0.3">
      <c r="B6" s="297" t="s">
        <v>16</v>
      </c>
      <c r="H6" s="241"/>
      <c r="I6" s="233"/>
      <c r="J6" s="233"/>
      <c r="K6" s="234"/>
      <c r="L6" s="234"/>
      <c r="M6" s="234"/>
      <c r="N6" s="234"/>
      <c r="O6" s="296"/>
      <c r="P6" s="234"/>
    </row>
    <row r="7" spans="1:20" ht="13.5" thickBot="1" x14ac:dyDescent="0.3">
      <c r="B7" s="1179" t="str">
        <f>+TITELBLAD!C10</f>
        <v>elektriciteit</v>
      </c>
      <c r="C7" s="1180"/>
      <c r="D7" s="1180"/>
      <c r="E7" s="1181"/>
      <c r="H7" s="241"/>
      <c r="I7" s="233"/>
      <c r="J7" s="233"/>
      <c r="K7" s="234"/>
      <c r="L7" s="234"/>
      <c r="M7" s="234"/>
      <c r="N7" s="234"/>
      <c r="O7" s="296"/>
      <c r="P7" s="234"/>
    </row>
    <row r="8" spans="1:20" ht="13" x14ac:dyDescent="0.25">
      <c r="H8" s="241"/>
      <c r="I8" s="233"/>
      <c r="J8" s="233"/>
      <c r="K8" s="234"/>
      <c r="L8" s="234"/>
      <c r="M8" s="234"/>
      <c r="N8" s="234"/>
      <c r="O8" s="296"/>
      <c r="P8" s="234"/>
    </row>
    <row r="9" spans="1:20" x14ac:dyDescent="0.25">
      <c r="K9" s="296"/>
      <c r="L9" s="296"/>
      <c r="M9" s="296"/>
      <c r="N9" s="296"/>
      <c r="O9" s="296"/>
      <c r="P9" s="296"/>
    </row>
    <row r="10" spans="1:20" x14ac:dyDescent="0.25">
      <c r="K10" s="296"/>
      <c r="L10" s="296"/>
      <c r="M10" s="296"/>
      <c r="N10" s="296"/>
      <c r="O10" s="296"/>
      <c r="P10" s="296"/>
    </row>
    <row r="11" spans="1:20" x14ac:dyDescent="0.25">
      <c r="G11" s="298" t="s">
        <v>160</v>
      </c>
      <c r="H11" s="299"/>
      <c r="I11" s="300"/>
      <c r="K11" s="296"/>
      <c r="L11" s="296"/>
      <c r="M11" s="296"/>
      <c r="N11" s="296"/>
      <c r="O11" s="296"/>
      <c r="P11" s="296"/>
    </row>
    <row r="12" spans="1:20" x14ac:dyDescent="0.25">
      <c r="G12" s="244" t="s">
        <v>129</v>
      </c>
      <c r="H12" s="299"/>
      <c r="I12" s="300"/>
    </row>
    <row r="13" spans="1:20" ht="60" customHeight="1" x14ac:dyDescent="0.25">
      <c r="B13" s="1231" t="s">
        <v>131</v>
      </c>
      <c r="C13" s="1232"/>
      <c r="D13" s="1232"/>
      <c r="E13" s="1233"/>
      <c r="F13" s="168"/>
      <c r="G13" s="166">
        <v>2017</v>
      </c>
      <c r="H13" s="166">
        <f>+G13+1</f>
        <v>2018</v>
      </c>
      <c r="I13" s="166">
        <f>+H13+1</f>
        <v>2019</v>
      </c>
      <c r="J13" s="166">
        <f>+I13+1</f>
        <v>2020</v>
      </c>
      <c r="K13" s="166">
        <f t="shared" ref="K13:N13" si="0">+J13+1</f>
        <v>2021</v>
      </c>
      <c r="L13" s="837">
        <f t="shared" si="0"/>
        <v>2022</v>
      </c>
      <c r="M13" s="837">
        <f t="shared" si="0"/>
        <v>2023</v>
      </c>
      <c r="N13" s="837">
        <f t="shared" si="0"/>
        <v>2024</v>
      </c>
      <c r="P13" s="166" t="s">
        <v>20</v>
      </c>
    </row>
    <row r="14" spans="1:20" s="301" customFormat="1" ht="12" customHeight="1" x14ac:dyDescent="0.25">
      <c r="B14" s="302"/>
      <c r="C14" s="302"/>
      <c r="D14" s="302"/>
      <c r="E14" s="302"/>
      <c r="F14" s="303"/>
      <c r="G14" s="228"/>
      <c r="L14" s="838"/>
      <c r="M14" s="838"/>
      <c r="N14" s="838"/>
      <c r="O14" s="305"/>
    </row>
    <row r="15" spans="1:20" ht="28.5" customHeight="1" x14ac:dyDescent="0.25">
      <c r="B15" s="1261" t="s">
        <v>240</v>
      </c>
      <c r="C15" s="1261"/>
      <c r="D15" s="1261"/>
      <c r="E15" s="1261"/>
      <c r="F15" s="168"/>
      <c r="G15" s="255">
        <f>+T6A!C54</f>
        <v>0</v>
      </c>
      <c r="H15" s="255">
        <f>+T6A!D54</f>
        <v>0</v>
      </c>
      <c r="I15" s="255">
        <f>+T6A!E54</f>
        <v>0</v>
      </c>
      <c r="J15" s="255">
        <f>+T6A!F54</f>
        <v>0</v>
      </c>
      <c r="K15" s="255">
        <f>+T6A!G54</f>
        <v>0</v>
      </c>
      <c r="L15" s="565">
        <f>+T6A!H54</f>
        <v>0</v>
      </c>
      <c r="M15" s="565">
        <f>+T6A!I54</f>
        <v>0</v>
      </c>
      <c r="N15" s="565">
        <f>+T6A!J54</f>
        <v>0</v>
      </c>
      <c r="P15" s="991">
        <f>SUM(G15:N15)</f>
        <v>0</v>
      </c>
    </row>
    <row r="16" spans="1:20" ht="26.25" customHeight="1" x14ac:dyDescent="0.25">
      <c r="B16" s="1261" t="s">
        <v>66</v>
      </c>
      <c r="C16" s="1261"/>
      <c r="D16" s="1261"/>
      <c r="E16" s="1261"/>
      <c r="F16" s="168"/>
      <c r="G16" s="255">
        <f>+T6A!C55</f>
        <v>0</v>
      </c>
      <c r="H16" s="255">
        <f>+T6A!D55</f>
        <v>0</v>
      </c>
      <c r="I16" s="255">
        <f>+T6A!E55</f>
        <v>0</v>
      </c>
      <c r="J16" s="255">
        <f>+T6A!F55</f>
        <v>0</v>
      </c>
      <c r="K16" s="255">
        <f>+T6A!G55</f>
        <v>0</v>
      </c>
      <c r="L16" s="565">
        <f>+T6A!H55</f>
        <v>0</v>
      </c>
      <c r="M16" s="565">
        <f>+T6A!I55</f>
        <v>0</v>
      </c>
      <c r="N16" s="565">
        <f>+T6A!J55</f>
        <v>0</v>
      </c>
      <c r="P16" s="991">
        <f>SUM(G16:N16)</f>
        <v>0</v>
      </c>
    </row>
    <row r="17" spans="2:16" ht="27.75" customHeight="1" x14ac:dyDescent="0.25">
      <c r="B17" s="1261" t="s">
        <v>205</v>
      </c>
      <c r="C17" s="1261"/>
      <c r="D17" s="1261"/>
      <c r="E17" s="1261"/>
      <c r="F17" s="168"/>
      <c r="G17" s="255">
        <f>+T6A!C56</f>
        <v>0</v>
      </c>
      <c r="H17" s="255">
        <f>+T6A!D56</f>
        <v>0</v>
      </c>
      <c r="I17" s="255">
        <f>+T6A!E56</f>
        <v>0</v>
      </c>
      <c r="J17" s="255">
        <f>+T6A!F56</f>
        <v>0</v>
      </c>
      <c r="K17" s="565"/>
      <c r="L17" s="565"/>
      <c r="M17" s="565"/>
      <c r="N17" s="565"/>
      <c r="P17" s="991">
        <f>SUM(G17:J17)</f>
        <v>0</v>
      </c>
    </row>
    <row r="18" spans="2:16" ht="24.75" customHeight="1" x14ac:dyDescent="0.25">
      <c r="B18" s="1261" t="s">
        <v>67</v>
      </c>
      <c r="C18" s="1261"/>
      <c r="D18" s="1261"/>
      <c r="E18" s="1261"/>
      <c r="F18" s="168"/>
      <c r="G18" s="255">
        <f>+T6A!C57</f>
        <v>0</v>
      </c>
      <c r="H18" s="255">
        <f>+T6A!D57</f>
        <v>0</v>
      </c>
      <c r="I18" s="255">
        <f>+T6A!E57</f>
        <v>0</v>
      </c>
      <c r="J18" s="255">
        <f>+T6A!F57</f>
        <v>0</v>
      </c>
      <c r="K18" s="255">
        <f>+T6A!G57</f>
        <v>0</v>
      </c>
      <c r="L18" s="565">
        <f>+T6A!H57</f>
        <v>0</v>
      </c>
      <c r="M18" s="565">
        <f>+T6A!I57</f>
        <v>0</v>
      </c>
      <c r="N18" s="565">
        <f>+T6A!J57</f>
        <v>0</v>
      </c>
      <c r="P18" s="991">
        <f>SUM(G18:N18)</f>
        <v>0</v>
      </c>
    </row>
    <row r="19" spans="2:16" ht="27" customHeight="1" x14ac:dyDescent="0.25">
      <c r="B19" s="1261" t="s">
        <v>119</v>
      </c>
      <c r="C19" s="1261"/>
      <c r="D19" s="1261"/>
      <c r="E19" s="1261"/>
      <c r="F19" s="168"/>
      <c r="G19" s="255">
        <f>+T6A!C58</f>
        <v>0</v>
      </c>
      <c r="H19" s="255">
        <f>+T6A!D58</f>
        <v>0</v>
      </c>
      <c r="I19" s="255">
        <f>+T6A!E58</f>
        <v>0</v>
      </c>
      <c r="J19" s="255">
        <f>+T6A!F58</f>
        <v>0</v>
      </c>
      <c r="K19" s="565"/>
      <c r="L19" s="565"/>
      <c r="M19" s="565"/>
      <c r="N19" s="565"/>
      <c r="P19" s="991">
        <f>+SUM(G19:J19)</f>
        <v>0</v>
      </c>
    </row>
    <row r="20" spans="2:16" ht="18.75" customHeight="1" x14ac:dyDescent="0.25">
      <c r="B20" s="1261" t="s">
        <v>118</v>
      </c>
      <c r="C20" s="1261"/>
      <c r="D20" s="1261"/>
      <c r="E20" s="1261"/>
      <c r="F20" s="168"/>
      <c r="G20" s="255">
        <f>+T6A!C59</f>
        <v>0</v>
      </c>
      <c r="H20" s="255">
        <f>+T6A!D59</f>
        <v>0</v>
      </c>
      <c r="I20" s="255">
        <f>+T6A!E59</f>
        <v>0</v>
      </c>
      <c r="J20" s="255">
        <f>+T6A!F59</f>
        <v>0</v>
      </c>
      <c r="K20" s="255">
        <f>+T6A!G59</f>
        <v>0</v>
      </c>
      <c r="L20" s="565">
        <f>+T6A!H59</f>
        <v>0</v>
      </c>
      <c r="M20" s="565">
        <f>+T6A!I59</f>
        <v>0</v>
      </c>
      <c r="N20" s="565">
        <f>+T6A!J59</f>
        <v>0</v>
      </c>
      <c r="P20" s="991">
        <f>SUM(G20:N20)</f>
        <v>0</v>
      </c>
    </row>
    <row r="21" spans="2:16" ht="28.5" customHeight="1" x14ac:dyDescent="0.25">
      <c r="B21" s="1262" t="s">
        <v>68</v>
      </c>
      <c r="C21" s="1263"/>
      <c r="D21" s="1263"/>
      <c r="E21" s="1264"/>
      <c r="F21" s="168"/>
      <c r="G21" s="255">
        <f>+T6A!C60</f>
        <v>0</v>
      </c>
      <c r="H21" s="255">
        <f>+T6A!D60</f>
        <v>0</v>
      </c>
      <c r="I21" s="255">
        <f>+T6A!E60</f>
        <v>0</v>
      </c>
      <c r="J21" s="255">
        <f>+T6A!F60</f>
        <v>0</v>
      </c>
      <c r="K21" s="255">
        <f>+T6A!G60</f>
        <v>0</v>
      </c>
      <c r="L21" s="565">
        <f>+T6A!H60</f>
        <v>0</v>
      </c>
      <c r="M21" s="565">
        <f>+T6A!I60</f>
        <v>0</v>
      </c>
      <c r="N21" s="565">
        <f>+T6A!J60</f>
        <v>0</v>
      </c>
      <c r="P21" s="991">
        <f>SUM(G21:N21)</f>
        <v>0</v>
      </c>
    </row>
    <row r="22" spans="2:16" ht="13" x14ac:dyDescent="0.25">
      <c r="G22" s="306"/>
      <c r="H22" s="306"/>
      <c r="I22" s="306"/>
      <c r="J22" s="306"/>
      <c r="K22" s="306"/>
      <c r="L22" s="839"/>
      <c r="M22" s="839"/>
      <c r="N22" s="839"/>
      <c r="P22" s="307"/>
    </row>
    <row r="23" spans="2:16" ht="23.25" customHeight="1" x14ac:dyDescent="0.25">
      <c r="B23" s="1251" t="s">
        <v>22</v>
      </c>
      <c r="C23" s="1252"/>
      <c r="D23" s="1252"/>
      <c r="E23" s="1253"/>
      <c r="F23" s="173"/>
      <c r="G23" s="174">
        <f t="shared" ref="G23:N23" si="1">SUM(G15:G21)</f>
        <v>0</v>
      </c>
      <c r="H23" s="174">
        <f t="shared" si="1"/>
        <v>0</v>
      </c>
      <c r="I23" s="174">
        <f t="shared" si="1"/>
        <v>0</v>
      </c>
      <c r="J23" s="174">
        <f t="shared" si="1"/>
        <v>0</v>
      </c>
      <c r="K23" s="174">
        <f>SUM(K15:K21)</f>
        <v>0</v>
      </c>
      <c r="L23" s="840">
        <f t="shared" si="1"/>
        <v>0</v>
      </c>
      <c r="M23" s="840">
        <f t="shared" si="1"/>
        <v>0</v>
      </c>
      <c r="N23" s="840">
        <f t="shared" si="1"/>
        <v>0</v>
      </c>
      <c r="P23" s="174">
        <f>SUM(G23:N23)</f>
        <v>0</v>
      </c>
    </row>
    <row r="24" spans="2:16" ht="13" x14ac:dyDescent="0.25">
      <c r="B24" s="1246" t="s">
        <v>134</v>
      </c>
      <c r="C24" s="1246"/>
      <c r="D24" s="1246"/>
      <c r="E24" s="1246"/>
      <c r="F24" s="226"/>
      <c r="G24" s="308">
        <f>+G23-T6A!C88</f>
        <v>0</v>
      </c>
      <c r="H24" s="308">
        <f>+H23-T6A!D88</f>
        <v>0</v>
      </c>
      <c r="I24" s="308">
        <f>+I23-T6A!E88</f>
        <v>0</v>
      </c>
      <c r="J24" s="308">
        <f>+J23-T6A!F88</f>
        <v>0</v>
      </c>
      <c r="K24" s="308">
        <f>+K23-T6A!G88</f>
        <v>0</v>
      </c>
      <c r="L24" s="870">
        <f>+L23-T6A!H88</f>
        <v>0</v>
      </c>
      <c r="M24" s="870">
        <f>+M23-T6A!I88</f>
        <v>0</v>
      </c>
      <c r="N24" s="870">
        <f>+N23-T6A!J88</f>
        <v>0</v>
      </c>
      <c r="P24" s="308">
        <f>+P23-T6A!L88</f>
        <v>0</v>
      </c>
    </row>
    <row r="25" spans="2:16" ht="13" x14ac:dyDescent="0.25">
      <c r="B25" s="310"/>
      <c r="C25" s="310"/>
      <c r="D25" s="310"/>
      <c r="E25" s="310"/>
      <c r="F25" s="311"/>
      <c r="G25" s="312"/>
      <c r="H25" s="312"/>
      <c r="L25" s="842"/>
      <c r="M25" s="842"/>
      <c r="N25" s="842"/>
    </row>
    <row r="26" spans="2:16" x14ac:dyDescent="0.25">
      <c r="G26" s="313" t="s">
        <v>32</v>
      </c>
      <c r="L26" s="842"/>
      <c r="M26" s="842"/>
      <c r="N26" s="842"/>
    </row>
    <row r="27" spans="2:16" x14ac:dyDescent="0.25">
      <c r="G27" s="313" t="s">
        <v>33</v>
      </c>
      <c r="L27" s="842"/>
      <c r="M27" s="842"/>
      <c r="N27" s="842"/>
    </row>
    <row r="28" spans="2:16" ht="60" customHeight="1" x14ac:dyDescent="0.25">
      <c r="B28" s="1231" t="s">
        <v>132</v>
      </c>
      <c r="C28" s="1232"/>
      <c r="D28" s="1232"/>
      <c r="E28" s="1233"/>
      <c r="F28" s="168"/>
      <c r="G28" s="166">
        <v>2017</v>
      </c>
      <c r="H28" s="166">
        <f>+G28+1</f>
        <v>2018</v>
      </c>
      <c r="I28" s="166">
        <f>+H28+1</f>
        <v>2019</v>
      </c>
      <c r="J28" s="166">
        <f>+I28+1</f>
        <v>2020</v>
      </c>
      <c r="K28" s="166">
        <f t="shared" ref="K28:N28" si="2">+J28+1</f>
        <v>2021</v>
      </c>
      <c r="L28" s="837">
        <f t="shared" si="2"/>
        <v>2022</v>
      </c>
      <c r="M28" s="837">
        <f t="shared" si="2"/>
        <v>2023</v>
      </c>
      <c r="N28" s="837">
        <f t="shared" si="2"/>
        <v>2024</v>
      </c>
      <c r="P28" s="166" t="s">
        <v>20</v>
      </c>
    </row>
    <row r="29" spans="2:16" s="301" customFormat="1" ht="12" customHeight="1" x14ac:dyDescent="0.25">
      <c r="B29" s="302"/>
      <c r="C29" s="302"/>
      <c r="D29" s="302"/>
      <c r="E29" s="302"/>
      <c r="F29" s="303"/>
      <c r="G29" s="228"/>
      <c r="L29" s="838"/>
      <c r="M29" s="838"/>
      <c r="N29" s="838"/>
      <c r="O29" s="305"/>
    </row>
    <row r="30" spans="2:16" ht="36" customHeight="1" x14ac:dyDescent="0.25">
      <c r="B30" s="1254" t="s">
        <v>240</v>
      </c>
      <c r="C30" s="1255"/>
      <c r="D30" s="1255"/>
      <c r="E30" s="1256"/>
      <c r="F30" s="168"/>
      <c r="G30" s="992"/>
      <c r="H30" s="992"/>
      <c r="I30" s="992"/>
      <c r="J30" s="992"/>
      <c r="K30" s="992"/>
      <c r="L30" s="993"/>
      <c r="M30" s="993"/>
      <c r="N30" s="993"/>
      <c r="P30" s="992"/>
    </row>
    <row r="31" spans="2:16" ht="28.5" customHeight="1" x14ac:dyDescent="0.25">
      <c r="B31" s="1257" t="str">
        <f>"per 31/12/"&amp;$G$13</f>
        <v>per 31/12/2017</v>
      </c>
      <c r="C31" s="1258"/>
      <c r="D31" s="1258"/>
      <c r="E31" s="1259"/>
      <c r="F31" s="168"/>
      <c r="G31" s="1028"/>
      <c r="H31" s="1028"/>
      <c r="I31" s="1028"/>
      <c r="J31" s="1028"/>
      <c r="K31" s="255"/>
      <c r="L31" s="565"/>
      <c r="M31" s="565"/>
      <c r="N31" s="565"/>
      <c r="P31" s="991">
        <f>SUM(G31:N31)</f>
        <v>0</v>
      </c>
    </row>
    <row r="32" spans="2:16" ht="28.5" customHeight="1" x14ac:dyDescent="0.25">
      <c r="B32" s="1257" t="str">
        <f>"per 31/12/"&amp;$H$13</f>
        <v>per 31/12/2018</v>
      </c>
      <c r="C32" s="1258"/>
      <c r="D32" s="1258"/>
      <c r="E32" s="1259"/>
      <c r="F32" s="168"/>
      <c r="G32" s="1028">
        <f>J206</f>
        <v>0</v>
      </c>
      <c r="H32" s="1028"/>
      <c r="I32" s="1028"/>
      <c r="J32" s="1028"/>
      <c r="K32" s="255"/>
      <c r="L32" s="565"/>
      <c r="M32" s="565"/>
      <c r="N32" s="565"/>
      <c r="P32" s="991">
        <f t="shared" ref="P32:P38" si="3">SUM(G32:N32)</f>
        <v>0</v>
      </c>
    </row>
    <row r="33" spans="2:16" ht="28.5" customHeight="1" x14ac:dyDescent="0.25">
      <c r="B33" s="1257" t="str">
        <f>"per 31/12/"&amp;$I$13</f>
        <v>per 31/12/2019</v>
      </c>
      <c r="C33" s="1258"/>
      <c r="D33" s="1258"/>
      <c r="E33" s="1259"/>
      <c r="F33" s="168"/>
      <c r="G33" s="1028">
        <f>+L211</f>
        <v>0</v>
      </c>
      <c r="H33" s="1028">
        <f>+L212</f>
        <v>0</v>
      </c>
      <c r="I33" s="1028"/>
      <c r="J33" s="1028"/>
      <c r="K33" s="255"/>
      <c r="L33" s="565"/>
      <c r="M33" s="565"/>
      <c r="N33" s="565"/>
      <c r="P33" s="991">
        <f t="shared" si="3"/>
        <v>0</v>
      </c>
    </row>
    <row r="34" spans="2:16" ht="28.5" customHeight="1" x14ac:dyDescent="0.25">
      <c r="B34" s="1257" t="str">
        <f>"per 31/12/"&amp;$J$13</f>
        <v>per 31/12/2020</v>
      </c>
      <c r="C34" s="1258"/>
      <c r="D34" s="1258"/>
      <c r="E34" s="1259"/>
      <c r="F34" s="168"/>
      <c r="G34" s="1028">
        <f>L218</f>
        <v>0</v>
      </c>
      <c r="H34" s="1028">
        <f>L219</f>
        <v>0</v>
      </c>
      <c r="I34" s="1028">
        <f>L220</f>
        <v>0</v>
      </c>
      <c r="J34" s="1028"/>
      <c r="K34" s="255"/>
      <c r="L34" s="565"/>
      <c r="M34" s="565"/>
      <c r="N34" s="565"/>
      <c r="P34" s="991">
        <f t="shared" si="3"/>
        <v>0</v>
      </c>
    </row>
    <row r="35" spans="2:16" ht="28.5" customHeight="1" x14ac:dyDescent="0.25">
      <c r="B35" s="1257" t="str">
        <f>"per 31/12/"&amp;$K$13</f>
        <v>per 31/12/2021</v>
      </c>
      <c r="C35" s="1258"/>
      <c r="D35" s="1258"/>
      <c r="E35" s="1259"/>
      <c r="F35" s="168"/>
      <c r="G35" s="255">
        <f>+H226</f>
        <v>0</v>
      </c>
      <c r="H35" s="255">
        <f>+H227</f>
        <v>0</v>
      </c>
      <c r="I35" s="255">
        <f>+H228</f>
        <v>0</v>
      </c>
      <c r="J35" s="255">
        <f>+H229</f>
        <v>0</v>
      </c>
      <c r="K35" s="255"/>
      <c r="L35" s="565"/>
      <c r="M35" s="565"/>
      <c r="N35" s="565"/>
      <c r="P35" s="991">
        <f t="shared" si="3"/>
        <v>0</v>
      </c>
    </row>
    <row r="36" spans="2:16" ht="28.5" customHeight="1" x14ac:dyDescent="0.25">
      <c r="B36" s="1248" t="str">
        <f>"per 31/12/"&amp;$L$13</f>
        <v>per 31/12/2022</v>
      </c>
      <c r="C36" s="1249"/>
      <c r="D36" s="1249"/>
      <c r="E36" s="1250"/>
      <c r="F36" s="314"/>
      <c r="G36" s="565">
        <f>+H235</f>
        <v>0</v>
      </c>
      <c r="H36" s="565">
        <f>+H236</f>
        <v>0</v>
      </c>
      <c r="I36" s="565">
        <f>+H237</f>
        <v>0</v>
      </c>
      <c r="J36" s="565">
        <f>+H238</f>
        <v>0</v>
      </c>
      <c r="K36" s="565">
        <f>+H239</f>
        <v>0</v>
      </c>
      <c r="L36" s="565"/>
      <c r="M36" s="565"/>
      <c r="N36" s="565"/>
      <c r="O36" s="845"/>
      <c r="P36" s="994">
        <f t="shared" si="3"/>
        <v>0</v>
      </c>
    </row>
    <row r="37" spans="2:16" ht="28.5" customHeight="1" x14ac:dyDescent="0.25">
      <c r="B37" s="1248" t="str">
        <f>"per 31/12/"&amp;$M$13</f>
        <v>per 31/12/2023</v>
      </c>
      <c r="C37" s="1249"/>
      <c r="D37" s="1249"/>
      <c r="E37" s="1250"/>
      <c r="F37" s="314"/>
      <c r="G37" s="565"/>
      <c r="H37" s="565"/>
      <c r="I37" s="565"/>
      <c r="J37" s="565"/>
      <c r="K37" s="565">
        <f>+H245</f>
        <v>0</v>
      </c>
      <c r="L37" s="565">
        <f>+H246</f>
        <v>0</v>
      </c>
      <c r="M37" s="565"/>
      <c r="N37" s="565"/>
      <c r="O37" s="845"/>
      <c r="P37" s="994">
        <f t="shared" si="3"/>
        <v>0</v>
      </c>
    </row>
    <row r="38" spans="2:16" ht="28.5" customHeight="1" x14ac:dyDescent="0.25">
      <c r="B38" s="1248" t="str">
        <f>"per 31/12/"&amp;$N$13</f>
        <v>per 31/12/2024</v>
      </c>
      <c r="C38" s="1249"/>
      <c r="D38" s="1249"/>
      <c r="E38" s="1250"/>
      <c r="F38" s="314"/>
      <c r="G38" s="565"/>
      <c r="H38" s="565"/>
      <c r="I38" s="565"/>
      <c r="J38" s="565"/>
      <c r="K38" s="565"/>
      <c r="L38" s="565">
        <f>+H252</f>
        <v>0</v>
      </c>
      <c r="M38" s="565">
        <f>+H253</f>
        <v>0</v>
      </c>
      <c r="N38" s="565"/>
      <c r="O38" s="845"/>
      <c r="P38" s="994">
        <f t="shared" si="3"/>
        <v>0</v>
      </c>
    </row>
    <row r="39" spans="2:16" ht="27.75" customHeight="1" x14ac:dyDescent="0.25">
      <c r="B39" s="1254" t="s">
        <v>66</v>
      </c>
      <c r="C39" s="1255"/>
      <c r="D39" s="1255"/>
      <c r="E39" s="1256"/>
      <c r="F39" s="168"/>
      <c r="G39" s="992"/>
      <c r="H39" s="992"/>
      <c r="I39" s="992"/>
      <c r="J39" s="992"/>
      <c r="K39" s="993"/>
      <c r="L39" s="993"/>
      <c r="M39" s="993"/>
      <c r="N39" s="993"/>
      <c r="P39" s="992"/>
    </row>
    <row r="40" spans="2:16" ht="28.5" customHeight="1" x14ac:dyDescent="0.25">
      <c r="B40" s="1257" t="str">
        <f>"per 31/12/"&amp;$G$13</f>
        <v>per 31/12/2017</v>
      </c>
      <c r="C40" s="1258"/>
      <c r="D40" s="1258"/>
      <c r="E40" s="1259"/>
      <c r="F40" s="168"/>
      <c r="G40" s="255"/>
      <c r="H40" s="255"/>
      <c r="I40" s="255"/>
      <c r="J40" s="255"/>
      <c r="K40" s="565"/>
      <c r="L40" s="565"/>
      <c r="M40" s="565"/>
      <c r="N40" s="565"/>
      <c r="P40" s="991">
        <f>SUM(G40:N40)</f>
        <v>0</v>
      </c>
    </row>
    <row r="41" spans="2:16" ht="28.5" customHeight="1" x14ac:dyDescent="0.25">
      <c r="B41" s="1257" t="str">
        <f>"per 31/12/"&amp;$H$13</f>
        <v>per 31/12/2018</v>
      </c>
      <c r="C41" s="1258"/>
      <c r="D41" s="1258"/>
      <c r="E41" s="1259"/>
      <c r="F41" s="168"/>
      <c r="G41" s="1028">
        <f>J269</f>
        <v>0</v>
      </c>
      <c r="H41" s="1028"/>
      <c r="I41" s="1028"/>
      <c r="J41" s="1028"/>
      <c r="K41" s="565"/>
      <c r="L41" s="565"/>
      <c r="M41" s="565"/>
      <c r="N41" s="565"/>
      <c r="P41" s="991">
        <f t="shared" ref="P41:P47" si="4">SUM(G41:N41)</f>
        <v>0</v>
      </c>
    </row>
    <row r="42" spans="2:16" ht="28.5" customHeight="1" x14ac:dyDescent="0.25">
      <c r="B42" s="1257" t="str">
        <f>"per 31/12/"&amp;$I$13</f>
        <v>per 31/12/2019</v>
      </c>
      <c r="C42" s="1258"/>
      <c r="D42" s="1258"/>
      <c r="E42" s="1259"/>
      <c r="F42" s="168"/>
      <c r="G42" s="1028">
        <f>+L274</f>
        <v>0</v>
      </c>
      <c r="H42" s="1028">
        <f>+L275</f>
        <v>0</v>
      </c>
      <c r="I42" s="1028"/>
      <c r="J42" s="1028"/>
      <c r="K42" s="565"/>
      <c r="L42" s="565"/>
      <c r="M42" s="565"/>
      <c r="N42" s="565"/>
      <c r="P42" s="991">
        <f t="shared" si="4"/>
        <v>0</v>
      </c>
    </row>
    <row r="43" spans="2:16" ht="28.5" customHeight="1" x14ac:dyDescent="0.25">
      <c r="B43" s="1257" t="str">
        <f>"per 31/12/"&amp;$J$13</f>
        <v>per 31/12/2020</v>
      </c>
      <c r="C43" s="1258"/>
      <c r="D43" s="1258"/>
      <c r="E43" s="1259"/>
      <c r="F43" s="168"/>
      <c r="G43" s="1028">
        <f>L281</f>
        <v>0</v>
      </c>
      <c r="H43" s="1028">
        <f>L282</f>
        <v>0</v>
      </c>
      <c r="I43" s="1028">
        <f>L283</f>
        <v>0</v>
      </c>
      <c r="J43" s="1028"/>
      <c r="K43" s="565"/>
      <c r="L43" s="565"/>
      <c r="M43" s="565"/>
      <c r="N43" s="565"/>
      <c r="P43" s="991">
        <f t="shared" si="4"/>
        <v>0</v>
      </c>
    </row>
    <row r="44" spans="2:16" ht="28.5" customHeight="1" x14ac:dyDescent="0.25">
      <c r="B44" s="1257" t="str">
        <f>"per 31/12/"&amp;$K$13</f>
        <v>per 31/12/2021</v>
      </c>
      <c r="C44" s="1258"/>
      <c r="D44" s="1258"/>
      <c r="E44" s="1259"/>
      <c r="F44" s="168"/>
      <c r="G44" s="255">
        <f>+H289</f>
        <v>0</v>
      </c>
      <c r="H44" s="255">
        <f>+H290</f>
        <v>0</v>
      </c>
      <c r="I44" s="255">
        <f>+H291</f>
        <v>0</v>
      </c>
      <c r="J44" s="255">
        <f>+H292</f>
        <v>0</v>
      </c>
      <c r="K44" s="565"/>
      <c r="L44" s="565"/>
      <c r="M44" s="565"/>
      <c r="N44" s="565"/>
      <c r="P44" s="991">
        <f t="shared" si="4"/>
        <v>0</v>
      </c>
    </row>
    <row r="45" spans="2:16" ht="28.5" customHeight="1" x14ac:dyDescent="0.25">
      <c r="B45" s="1248" t="str">
        <f>"per 31/12/"&amp;$L$13</f>
        <v>per 31/12/2022</v>
      </c>
      <c r="C45" s="1249"/>
      <c r="D45" s="1249"/>
      <c r="E45" s="1250"/>
      <c r="F45" s="314"/>
      <c r="G45" s="565">
        <f>+H298</f>
        <v>0</v>
      </c>
      <c r="H45" s="565">
        <f>+H299</f>
        <v>0</v>
      </c>
      <c r="I45" s="565">
        <f>+H300</f>
        <v>0</v>
      </c>
      <c r="J45" s="565">
        <f>+H301</f>
        <v>0</v>
      </c>
      <c r="K45" s="565">
        <f>+H302</f>
        <v>0</v>
      </c>
      <c r="L45" s="565"/>
      <c r="M45" s="565"/>
      <c r="N45" s="565"/>
      <c r="O45" s="845"/>
      <c r="P45" s="994">
        <f t="shared" si="4"/>
        <v>0</v>
      </c>
    </row>
    <row r="46" spans="2:16" ht="28.5" customHeight="1" x14ac:dyDescent="0.25">
      <c r="B46" s="1248" t="str">
        <f>"per 31/12/"&amp;$M$13</f>
        <v>per 31/12/2023</v>
      </c>
      <c r="C46" s="1249"/>
      <c r="D46" s="1249"/>
      <c r="E46" s="1250"/>
      <c r="F46" s="314"/>
      <c r="G46" s="565"/>
      <c r="H46" s="565"/>
      <c r="I46" s="565"/>
      <c r="J46" s="565"/>
      <c r="K46" s="565">
        <f>+H308</f>
        <v>0</v>
      </c>
      <c r="L46" s="565">
        <f>+H309</f>
        <v>0</v>
      </c>
      <c r="M46" s="565"/>
      <c r="N46" s="565"/>
      <c r="O46" s="845"/>
      <c r="P46" s="994">
        <f t="shared" si="4"/>
        <v>0</v>
      </c>
    </row>
    <row r="47" spans="2:16" ht="28.5" customHeight="1" x14ac:dyDescent="0.25">
      <c r="B47" s="1248" t="str">
        <f>"per 31/12/"&amp;$N$13</f>
        <v>per 31/12/2024</v>
      </c>
      <c r="C47" s="1249"/>
      <c r="D47" s="1249"/>
      <c r="E47" s="1250"/>
      <c r="F47" s="314"/>
      <c r="G47" s="565"/>
      <c r="H47" s="565"/>
      <c r="I47" s="565"/>
      <c r="J47" s="565"/>
      <c r="K47" s="565"/>
      <c r="L47" s="565">
        <f>+H315</f>
        <v>0</v>
      </c>
      <c r="M47" s="565">
        <f>+H316</f>
        <v>0</v>
      </c>
      <c r="N47" s="565"/>
      <c r="O47" s="845"/>
      <c r="P47" s="994">
        <f t="shared" si="4"/>
        <v>0</v>
      </c>
    </row>
    <row r="48" spans="2:16" ht="30" customHeight="1" x14ac:dyDescent="0.25">
      <c r="B48" s="1254" t="s">
        <v>205</v>
      </c>
      <c r="C48" s="1255"/>
      <c r="D48" s="1255"/>
      <c r="E48" s="1256"/>
      <c r="F48" s="168"/>
      <c r="G48" s="992"/>
      <c r="H48" s="992"/>
      <c r="I48" s="992"/>
      <c r="J48" s="992"/>
      <c r="K48" s="992"/>
      <c r="L48" s="993"/>
      <c r="M48" s="993"/>
      <c r="N48" s="993"/>
      <c r="P48" s="992"/>
    </row>
    <row r="49" spans="2:16" ht="28.5" customHeight="1" x14ac:dyDescent="0.25">
      <c r="B49" s="1257" t="str">
        <f>"per 31/12/"&amp;$G$13</f>
        <v>per 31/12/2017</v>
      </c>
      <c r="C49" s="1258"/>
      <c r="D49" s="1258"/>
      <c r="E49" s="1259"/>
      <c r="F49" s="168"/>
      <c r="G49" s="255"/>
      <c r="H49" s="255"/>
      <c r="I49" s="255"/>
      <c r="J49" s="255"/>
      <c r="K49" s="255"/>
      <c r="L49" s="565"/>
      <c r="M49" s="565"/>
      <c r="N49" s="565"/>
      <c r="P49" s="991">
        <f>SUM(G49:N49)</f>
        <v>0</v>
      </c>
    </row>
    <row r="50" spans="2:16" ht="28.5" customHeight="1" x14ac:dyDescent="0.25">
      <c r="B50" s="1257" t="str">
        <f>"per 31/12/"&amp;$H$13</f>
        <v>per 31/12/2018</v>
      </c>
      <c r="C50" s="1258"/>
      <c r="D50" s="1258"/>
      <c r="E50" s="1259"/>
      <c r="F50" s="168"/>
      <c r="G50" s="1028">
        <f>J332</f>
        <v>0</v>
      </c>
      <c r="H50" s="1028"/>
      <c r="I50" s="1028"/>
      <c r="J50" s="1028"/>
      <c r="K50" s="255"/>
      <c r="L50" s="565"/>
      <c r="M50" s="565"/>
      <c r="N50" s="565"/>
      <c r="P50" s="991">
        <f t="shared" ref="P50:P54" si="5">SUM(G50:N50)</f>
        <v>0</v>
      </c>
    </row>
    <row r="51" spans="2:16" ht="28.5" customHeight="1" x14ac:dyDescent="0.25">
      <c r="B51" s="1257" t="str">
        <f>"per 31/12/"&amp;$I$13</f>
        <v>per 31/12/2019</v>
      </c>
      <c r="C51" s="1258"/>
      <c r="D51" s="1258"/>
      <c r="E51" s="1259"/>
      <c r="F51" s="168"/>
      <c r="G51" s="1028">
        <f>+L337</f>
        <v>0</v>
      </c>
      <c r="H51" s="1028">
        <f>+L338</f>
        <v>0</v>
      </c>
      <c r="I51" s="1028"/>
      <c r="J51" s="1028"/>
      <c r="K51" s="255"/>
      <c r="L51" s="565"/>
      <c r="M51" s="565"/>
      <c r="N51" s="565"/>
      <c r="P51" s="991">
        <f t="shared" si="5"/>
        <v>0</v>
      </c>
    </row>
    <row r="52" spans="2:16" ht="28.5" customHeight="1" x14ac:dyDescent="0.25">
      <c r="B52" s="1257" t="str">
        <f>"per 31/12/"&amp;$J$13</f>
        <v>per 31/12/2020</v>
      </c>
      <c r="C52" s="1258"/>
      <c r="D52" s="1258"/>
      <c r="E52" s="1259"/>
      <c r="F52" s="168"/>
      <c r="G52" s="1028">
        <f>L344</f>
        <v>0</v>
      </c>
      <c r="H52" s="1028">
        <f>L345</f>
        <v>0</v>
      </c>
      <c r="I52" s="1028">
        <f>L346</f>
        <v>0</v>
      </c>
      <c r="J52" s="1028"/>
      <c r="K52" s="255"/>
      <c r="L52" s="565"/>
      <c r="M52" s="565"/>
      <c r="N52" s="565"/>
      <c r="P52" s="991">
        <f t="shared" si="5"/>
        <v>0</v>
      </c>
    </row>
    <row r="53" spans="2:16" ht="28.5" customHeight="1" x14ac:dyDescent="0.25">
      <c r="B53" s="1257" t="str">
        <f>"per 31/12/"&amp;$K$13</f>
        <v>per 31/12/2021</v>
      </c>
      <c r="C53" s="1258"/>
      <c r="D53" s="1258"/>
      <c r="E53" s="1259"/>
      <c r="F53" s="168"/>
      <c r="G53" s="255">
        <f>+H352</f>
        <v>0</v>
      </c>
      <c r="H53" s="255">
        <f>+H353</f>
        <v>0</v>
      </c>
      <c r="I53" s="255">
        <f>+H354</f>
        <v>0</v>
      </c>
      <c r="J53" s="255">
        <f>+H355</f>
        <v>0</v>
      </c>
      <c r="K53" s="255"/>
      <c r="L53" s="565"/>
      <c r="M53" s="565"/>
      <c r="N53" s="565"/>
      <c r="P53" s="991">
        <f t="shared" si="5"/>
        <v>0</v>
      </c>
    </row>
    <row r="54" spans="2:16" ht="28.5" customHeight="1" x14ac:dyDescent="0.25">
      <c r="B54" s="1248" t="str">
        <f>"per 31/12/"&amp;$L$13</f>
        <v>per 31/12/2022</v>
      </c>
      <c r="C54" s="1249"/>
      <c r="D54" s="1249"/>
      <c r="E54" s="1250"/>
      <c r="F54" s="314"/>
      <c r="G54" s="565">
        <f>+H361</f>
        <v>0</v>
      </c>
      <c r="H54" s="565">
        <f>+H362</f>
        <v>0</v>
      </c>
      <c r="I54" s="565">
        <f>+H363</f>
        <v>0</v>
      </c>
      <c r="J54" s="565">
        <f>+H364</f>
        <v>0</v>
      </c>
      <c r="K54" s="565"/>
      <c r="L54" s="565"/>
      <c r="M54" s="565"/>
      <c r="N54" s="565"/>
      <c r="O54" s="845"/>
      <c r="P54" s="994">
        <f t="shared" si="5"/>
        <v>0</v>
      </c>
    </row>
    <row r="55" spans="2:16" ht="28.5" customHeight="1" x14ac:dyDescent="0.25">
      <c r="B55" s="1248" t="str">
        <f>"per 31/12/"&amp;$M$13</f>
        <v>per 31/12/2023</v>
      </c>
      <c r="C55" s="1249"/>
      <c r="D55" s="1249"/>
      <c r="E55" s="1250"/>
      <c r="F55" s="314"/>
      <c r="G55" s="565"/>
      <c r="H55" s="565"/>
      <c r="I55" s="565"/>
      <c r="J55" s="565"/>
      <c r="K55" s="565"/>
      <c r="L55" s="565"/>
      <c r="M55" s="565"/>
      <c r="N55" s="565"/>
      <c r="O55" s="845"/>
      <c r="P55" s="994"/>
    </row>
    <row r="56" spans="2:16" ht="28.5" customHeight="1" x14ac:dyDescent="0.25">
      <c r="B56" s="1248" t="str">
        <f>"per 31/12/"&amp;$N$13</f>
        <v>per 31/12/2024</v>
      </c>
      <c r="C56" s="1249"/>
      <c r="D56" s="1249"/>
      <c r="E56" s="1250"/>
      <c r="F56" s="314"/>
      <c r="G56" s="565"/>
      <c r="H56" s="565"/>
      <c r="I56" s="565"/>
      <c r="J56" s="565"/>
      <c r="K56" s="565"/>
      <c r="L56" s="565"/>
      <c r="M56" s="565"/>
      <c r="N56" s="565"/>
      <c r="O56" s="845"/>
      <c r="P56" s="994"/>
    </row>
    <row r="57" spans="2:16" ht="30" customHeight="1" x14ac:dyDescent="0.25">
      <c r="B57" s="1254" t="s">
        <v>67</v>
      </c>
      <c r="C57" s="1255"/>
      <c r="D57" s="1255"/>
      <c r="E57" s="1256"/>
      <c r="F57" s="168"/>
      <c r="G57" s="992"/>
      <c r="H57" s="992"/>
      <c r="I57" s="992"/>
      <c r="J57" s="992"/>
      <c r="K57" s="992"/>
      <c r="L57" s="993"/>
      <c r="M57" s="993"/>
      <c r="N57" s="993"/>
      <c r="P57" s="992"/>
    </row>
    <row r="58" spans="2:16" ht="28.5" customHeight="1" x14ac:dyDescent="0.25">
      <c r="B58" s="1257" t="str">
        <f>"per 31/12/"&amp;$G$13</f>
        <v>per 31/12/2017</v>
      </c>
      <c r="C58" s="1258"/>
      <c r="D58" s="1258"/>
      <c r="E58" s="1259"/>
      <c r="F58" s="168"/>
      <c r="G58" s="255"/>
      <c r="H58" s="255"/>
      <c r="I58" s="255"/>
      <c r="J58" s="255"/>
      <c r="K58" s="255"/>
      <c r="L58" s="565"/>
      <c r="M58" s="565"/>
      <c r="N58" s="565"/>
      <c r="P58" s="991">
        <f>SUM(G58:N58)</f>
        <v>0</v>
      </c>
    </row>
    <row r="59" spans="2:16" ht="28.5" customHeight="1" x14ac:dyDescent="0.25">
      <c r="B59" s="1257" t="str">
        <f>"per 31/12/"&amp;$H$13</f>
        <v>per 31/12/2018</v>
      </c>
      <c r="C59" s="1258"/>
      <c r="D59" s="1258"/>
      <c r="E59" s="1259"/>
      <c r="F59" s="168"/>
      <c r="G59" s="1028">
        <f>J395</f>
        <v>0</v>
      </c>
      <c r="H59" s="1028"/>
      <c r="I59" s="1028"/>
      <c r="J59" s="1028"/>
      <c r="K59" s="255"/>
      <c r="L59" s="565"/>
      <c r="M59" s="565"/>
      <c r="N59" s="565"/>
      <c r="P59" s="991">
        <f t="shared" ref="P59:P65" si="6">SUM(G59:N59)</f>
        <v>0</v>
      </c>
    </row>
    <row r="60" spans="2:16" ht="28.5" customHeight="1" x14ac:dyDescent="0.25">
      <c r="B60" s="1257" t="str">
        <f>"per 31/12/"&amp;$I$13</f>
        <v>per 31/12/2019</v>
      </c>
      <c r="C60" s="1258"/>
      <c r="D60" s="1258"/>
      <c r="E60" s="1259"/>
      <c r="F60" s="168"/>
      <c r="G60" s="1028">
        <f>+L400</f>
        <v>0</v>
      </c>
      <c r="H60" s="1028">
        <f>+L401</f>
        <v>0</v>
      </c>
      <c r="I60" s="1028"/>
      <c r="J60" s="1028"/>
      <c r="K60" s="255"/>
      <c r="L60" s="565"/>
      <c r="M60" s="565"/>
      <c r="N60" s="565"/>
      <c r="P60" s="991">
        <f t="shared" si="6"/>
        <v>0</v>
      </c>
    </row>
    <row r="61" spans="2:16" ht="28.5" customHeight="1" x14ac:dyDescent="0.25">
      <c r="B61" s="1257" t="str">
        <f>"per 31/12/"&amp;$J$13</f>
        <v>per 31/12/2020</v>
      </c>
      <c r="C61" s="1258"/>
      <c r="D61" s="1258"/>
      <c r="E61" s="1259"/>
      <c r="F61" s="168"/>
      <c r="G61" s="1028">
        <f>L407</f>
        <v>0</v>
      </c>
      <c r="H61" s="1028">
        <f>L408</f>
        <v>0</v>
      </c>
      <c r="I61" s="1028">
        <f>L409</f>
        <v>0</v>
      </c>
      <c r="J61" s="1028"/>
      <c r="K61" s="255"/>
      <c r="L61" s="565"/>
      <c r="M61" s="565"/>
      <c r="N61" s="565"/>
      <c r="P61" s="991">
        <f t="shared" si="6"/>
        <v>0</v>
      </c>
    </row>
    <row r="62" spans="2:16" ht="28.5" customHeight="1" x14ac:dyDescent="0.25">
      <c r="B62" s="1257" t="str">
        <f>"per 31/12/"&amp;$K$13</f>
        <v>per 31/12/2021</v>
      </c>
      <c r="C62" s="1258"/>
      <c r="D62" s="1258"/>
      <c r="E62" s="1259"/>
      <c r="F62" s="168"/>
      <c r="G62" s="255">
        <f>+H415</f>
        <v>0</v>
      </c>
      <c r="H62" s="255">
        <f>+H416</f>
        <v>0</v>
      </c>
      <c r="I62" s="255">
        <f>+H417</f>
        <v>0</v>
      </c>
      <c r="J62" s="255">
        <f>+H418</f>
        <v>0</v>
      </c>
      <c r="K62" s="255"/>
      <c r="L62" s="565"/>
      <c r="M62" s="565"/>
      <c r="N62" s="565"/>
      <c r="P62" s="991">
        <f t="shared" si="6"/>
        <v>0</v>
      </c>
    </row>
    <row r="63" spans="2:16" ht="28.5" customHeight="1" x14ac:dyDescent="0.25">
      <c r="B63" s="1248" t="str">
        <f>"per 31/12/"&amp;$L$13</f>
        <v>per 31/12/2022</v>
      </c>
      <c r="C63" s="1249"/>
      <c r="D63" s="1249"/>
      <c r="E63" s="1250"/>
      <c r="F63" s="314"/>
      <c r="G63" s="565">
        <f>+H424</f>
        <v>0</v>
      </c>
      <c r="H63" s="565">
        <f>+H425</f>
        <v>0</v>
      </c>
      <c r="I63" s="565">
        <f>+H426</f>
        <v>0</v>
      </c>
      <c r="J63" s="565">
        <f>+H427</f>
        <v>0</v>
      </c>
      <c r="K63" s="565">
        <f>+H428</f>
        <v>0</v>
      </c>
      <c r="L63" s="565"/>
      <c r="M63" s="565"/>
      <c r="N63" s="565"/>
      <c r="O63" s="845"/>
      <c r="P63" s="994">
        <f t="shared" si="6"/>
        <v>0</v>
      </c>
    </row>
    <row r="64" spans="2:16" ht="28.5" customHeight="1" x14ac:dyDescent="0.25">
      <c r="B64" s="1248" t="str">
        <f>"per 31/12/"&amp;$M$13</f>
        <v>per 31/12/2023</v>
      </c>
      <c r="C64" s="1249"/>
      <c r="D64" s="1249"/>
      <c r="E64" s="1250"/>
      <c r="F64" s="314"/>
      <c r="G64" s="565"/>
      <c r="H64" s="565"/>
      <c r="I64" s="565"/>
      <c r="J64" s="565"/>
      <c r="K64" s="565">
        <f>+H434</f>
        <v>0</v>
      </c>
      <c r="L64" s="565">
        <f>+H435</f>
        <v>0</v>
      </c>
      <c r="M64" s="565"/>
      <c r="N64" s="565"/>
      <c r="O64" s="845"/>
      <c r="P64" s="994">
        <f t="shared" si="6"/>
        <v>0</v>
      </c>
    </row>
    <row r="65" spans="2:16" ht="28.5" customHeight="1" x14ac:dyDescent="0.25">
      <c r="B65" s="1248" t="str">
        <f>"per 31/12/"&amp;$N$13</f>
        <v>per 31/12/2024</v>
      </c>
      <c r="C65" s="1249"/>
      <c r="D65" s="1249"/>
      <c r="E65" s="1250"/>
      <c r="F65" s="314"/>
      <c r="G65" s="565"/>
      <c r="H65" s="565"/>
      <c r="I65" s="565"/>
      <c r="J65" s="565"/>
      <c r="K65" s="565"/>
      <c r="L65" s="565">
        <f>+H441</f>
        <v>0</v>
      </c>
      <c r="M65" s="565">
        <f>+H442</f>
        <v>0</v>
      </c>
      <c r="N65" s="565"/>
      <c r="O65" s="845"/>
      <c r="P65" s="994">
        <f t="shared" si="6"/>
        <v>0</v>
      </c>
    </row>
    <row r="66" spans="2:16" ht="33.75" customHeight="1" x14ac:dyDescent="0.25">
      <c r="B66" s="1260" t="s">
        <v>119</v>
      </c>
      <c r="C66" s="1260"/>
      <c r="D66" s="1260"/>
      <c r="E66" s="1260"/>
      <c r="F66" s="168"/>
      <c r="G66" s="992"/>
      <c r="H66" s="992"/>
      <c r="I66" s="992"/>
      <c r="J66" s="992"/>
      <c r="K66" s="992"/>
      <c r="L66" s="993"/>
      <c r="M66" s="993"/>
      <c r="N66" s="993"/>
      <c r="P66" s="992"/>
    </row>
    <row r="67" spans="2:16" ht="28.5" customHeight="1" x14ac:dyDescent="0.25">
      <c r="B67" s="1257" t="str">
        <f>"per 31/12/"&amp;$G$13</f>
        <v>per 31/12/2017</v>
      </c>
      <c r="C67" s="1258"/>
      <c r="D67" s="1258"/>
      <c r="E67" s="1259"/>
      <c r="F67" s="168"/>
      <c r="G67" s="255"/>
      <c r="H67" s="255"/>
      <c r="I67" s="255"/>
      <c r="J67" s="255"/>
      <c r="K67" s="255"/>
      <c r="L67" s="565"/>
      <c r="M67" s="565"/>
      <c r="N67" s="565"/>
      <c r="P67" s="991">
        <f t="shared" ref="P67:P72" si="7">SUM(G67:N67)</f>
        <v>0</v>
      </c>
    </row>
    <row r="68" spans="2:16" ht="28.5" customHeight="1" x14ac:dyDescent="0.25">
      <c r="B68" s="1257" t="str">
        <f>"per 31/12/"&amp;$H$13</f>
        <v>per 31/12/2018</v>
      </c>
      <c r="C68" s="1258"/>
      <c r="D68" s="1258"/>
      <c r="E68" s="1259"/>
      <c r="F68" s="168"/>
      <c r="G68" s="1028">
        <f>+J458</f>
        <v>0</v>
      </c>
      <c r="H68" s="1028"/>
      <c r="I68" s="1028"/>
      <c r="J68" s="1028"/>
      <c r="K68" s="255"/>
      <c r="L68" s="565"/>
      <c r="M68" s="565"/>
      <c r="N68" s="565"/>
      <c r="P68" s="991">
        <f t="shared" si="7"/>
        <v>0</v>
      </c>
    </row>
    <row r="69" spans="2:16" ht="28.5" customHeight="1" x14ac:dyDescent="0.25">
      <c r="B69" s="1257" t="str">
        <f>"per 31/12/"&amp;$I$13</f>
        <v>per 31/12/2019</v>
      </c>
      <c r="C69" s="1258"/>
      <c r="D69" s="1258"/>
      <c r="E69" s="1259"/>
      <c r="F69" s="168"/>
      <c r="G69" s="1028">
        <f>+L463</f>
        <v>0</v>
      </c>
      <c r="H69" s="1028">
        <f>+L464</f>
        <v>0</v>
      </c>
      <c r="I69" s="1028"/>
      <c r="J69" s="1028"/>
      <c r="K69" s="255"/>
      <c r="L69" s="565"/>
      <c r="M69" s="565"/>
      <c r="N69" s="565"/>
      <c r="P69" s="991">
        <f t="shared" si="7"/>
        <v>0</v>
      </c>
    </row>
    <row r="70" spans="2:16" ht="28.5" customHeight="1" x14ac:dyDescent="0.25">
      <c r="B70" s="1257" t="str">
        <f>"per 31/12/"&amp;$J$13</f>
        <v>per 31/12/2020</v>
      </c>
      <c r="C70" s="1258"/>
      <c r="D70" s="1258"/>
      <c r="E70" s="1259"/>
      <c r="F70" s="168"/>
      <c r="G70" s="1028">
        <f>L470</f>
        <v>0</v>
      </c>
      <c r="H70" s="1028">
        <f>L471</f>
        <v>0</v>
      </c>
      <c r="I70" s="1028">
        <f>L472</f>
        <v>0</v>
      </c>
      <c r="J70" s="1028"/>
      <c r="K70" s="255"/>
      <c r="L70" s="565"/>
      <c r="M70" s="565"/>
      <c r="N70" s="565"/>
      <c r="P70" s="991">
        <f t="shared" si="7"/>
        <v>0</v>
      </c>
    </row>
    <row r="71" spans="2:16" ht="28.5" customHeight="1" x14ac:dyDescent="0.25">
      <c r="B71" s="1257" t="str">
        <f>"per 31/12/"&amp;$K$13</f>
        <v>per 31/12/2021</v>
      </c>
      <c r="C71" s="1258"/>
      <c r="D71" s="1258"/>
      <c r="E71" s="1259"/>
      <c r="F71" s="168"/>
      <c r="G71" s="255">
        <f>+H478</f>
        <v>0</v>
      </c>
      <c r="H71" s="255">
        <f>+H479</f>
        <v>0</v>
      </c>
      <c r="I71" s="255">
        <f>+H480</f>
        <v>0</v>
      </c>
      <c r="J71" s="255">
        <f>+H481</f>
        <v>0</v>
      </c>
      <c r="K71" s="255"/>
      <c r="L71" s="565"/>
      <c r="M71" s="565"/>
      <c r="N71" s="565"/>
      <c r="P71" s="991">
        <f t="shared" si="7"/>
        <v>0</v>
      </c>
    </row>
    <row r="72" spans="2:16" ht="28.5" customHeight="1" x14ac:dyDescent="0.25">
      <c r="B72" s="1248" t="str">
        <f>"per 31/12/"&amp;$L$13</f>
        <v>per 31/12/2022</v>
      </c>
      <c r="C72" s="1249"/>
      <c r="D72" s="1249"/>
      <c r="E72" s="1250"/>
      <c r="F72" s="314"/>
      <c r="G72" s="565">
        <f>+H487</f>
        <v>0</v>
      </c>
      <c r="H72" s="565">
        <f>+H488</f>
        <v>0</v>
      </c>
      <c r="I72" s="565">
        <f>+H489</f>
        <v>0</v>
      </c>
      <c r="J72" s="565">
        <f>+H490</f>
        <v>0</v>
      </c>
      <c r="K72" s="565"/>
      <c r="L72" s="565"/>
      <c r="M72" s="565"/>
      <c r="N72" s="565"/>
      <c r="O72" s="845"/>
      <c r="P72" s="994">
        <f t="shared" si="7"/>
        <v>0</v>
      </c>
    </row>
    <row r="73" spans="2:16" ht="28.5" customHeight="1" x14ac:dyDescent="0.25">
      <c r="B73" s="1248" t="str">
        <f>"per 31/12/"&amp;$M$13</f>
        <v>per 31/12/2023</v>
      </c>
      <c r="C73" s="1249"/>
      <c r="D73" s="1249"/>
      <c r="E73" s="1250"/>
      <c r="F73" s="314"/>
      <c r="G73" s="565"/>
      <c r="H73" s="565"/>
      <c r="I73" s="565"/>
      <c r="J73" s="565"/>
      <c r="K73" s="565"/>
      <c r="L73" s="565"/>
      <c r="M73" s="565"/>
      <c r="N73" s="565"/>
      <c r="O73" s="845"/>
      <c r="P73" s="994"/>
    </row>
    <row r="74" spans="2:16" ht="28.5" customHeight="1" x14ac:dyDescent="0.25">
      <c r="B74" s="1248" t="str">
        <f>"per 31/12/"&amp;$N$13</f>
        <v>per 31/12/2024</v>
      </c>
      <c r="C74" s="1249"/>
      <c r="D74" s="1249"/>
      <c r="E74" s="1250"/>
      <c r="F74" s="314"/>
      <c r="G74" s="565"/>
      <c r="H74" s="565"/>
      <c r="I74" s="565"/>
      <c r="J74" s="565"/>
      <c r="K74" s="565"/>
      <c r="L74" s="565"/>
      <c r="M74" s="565"/>
      <c r="N74" s="565"/>
      <c r="O74" s="845"/>
      <c r="P74" s="994"/>
    </row>
    <row r="75" spans="2:16" ht="26.25" customHeight="1" x14ac:dyDescent="0.25">
      <c r="B75" s="1254" t="s">
        <v>118</v>
      </c>
      <c r="C75" s="1255"/>
      <c r="D75" s="1255"/>
      <c r="E75" s="1256"/>
      <c r="F75" s="168"/>
      <c r="G75" s="992"/>
      <c r="H75" s="992"/>
      <c r="I75" s="992"/>
      <c r="J75" s="992"/>
      <c r="K75" s="992"/>
      <c r="L75" s="993"/>
      <c r="M75" s="993"/>
      <c r="N75" s="993"/>
      <c r="P75" s="992"/>
    </row>
    <row r="76" spans="2:16" ht="28.5" customHeight="1" x14ac:dyDescent="0.25">
      <c r="B76" s="1257" t="str">
        <f>"per 31/12/"&amp;$G$13</f>
        <v>per 31/12/2017</v>
      </c>
      <c r="C76" s="1258"/>
      <c r="D76" s="1258"/>
      <c r="E76" s="1259"/>
      <c r="F76" s="168"/>
      <c r="G76" s="255"/>
      <c r="H76" s="255"/>
      <c r="I76" s="255"/>
      <c r="J76" s="255"/>
      <c r="K76" s="255"/>
      <c r="L76" s="565"/>
      <c r="M76" s="565"/>
      <c r="N76" s="565"/>
      <c r="P76" s="991">
        <f>SUM(G76:N76)</f>
        <v>0</v>
      </c>
    </row>
    <row r="77" spans="2:16" ht="28.5" customHeight="1" x14ac:dyDescent="0.25">
      <c r="B77" s="1257" t="str">
        <f>"per 31/12/"&amp;$H$13</f>
        <v>per 31/12/2018</v>
      </c>
      <c r="C77" s="1258"/>
      <c r="D77" s="1258"/>
      <c r="E77" s="1259"/>
      <c r="F77" s="168"/>
      <c r="G77" s="1028">
        <f>J506</f>
        <v>0</v>
      </c>
      <c r="H77" s="1028"/>
      <c r="I77" s="1028"/>
      <c r="J77" s="1028"/>
      <c r="K77" s="255"/>
      <c r="L77" s="565"/>
      <c r="M77" s="565"/>
      <c r="N77" s="565"/>
      <c r="P77" s="991">
        <f t="shared" ref="P77:P83" si="8">SUM(G77:N77)</f>
        <v>0</v>
      </c>
    </row>
    <row r="78" spans="2:16" ht="28.5" customHeight="1" x14ac:dyDescent="0.25">
      <c r="B78" s="1257" t="str">
        <f>"per 31/12/"&amp;$I$13</f>
        <v>per 31/12/2019</v>
      </c>
      <c r="C78" s="1258"/>
      <c r="D78" s="1258"/>
      <c r="E78" s="1259"/>
      <c r="F78" s="168"/>
      <c r="G78" s="1028">
        <f>+L511</f>
        <v>0</v>
      </c>
      <c r="H78" s="1028">
        <f>+L512</f>
        <v>0</v>
      </c>
      <c r="I78" s="1028"/>
      <c r="J78" s="1028"/>
      <c r="K78" s="255"/>
      <c r="L78" s="565"/>
      <c r="M78" s="565"/>
      <c r="N78" s="565"/>
      <c r="P78" s="991">
        <f t="shared" si="8"/>
        <v>0</v>
      </c>
    </row>
    <row r="79" spans="2:16" ht="28.5" customHeight="1" x14ac:dyDescent="0.25">
      <c r="B79" s="1257" t="str">
        <f>"per 31/12/"&amp;$J$13</f>
        <v>per 31/12/2020</v>
      </c>
      <c r="C79" s="1258"/>
      <c r="D79" s="1258"/>
      <c r="E79" s="1259"/>
      <c r="F79" s="168"/>
      <c r="G79" s="1028">
        <f>L518</f>
        <v>0</v>
      </c>
      <c r="H79" s="1028">
        <f>L519</f>
        <v>0</v>
      </c>
      <c r="I79" s="1028">
        <f>L520</f>
        <v>0</v>
      </c>
      <c r="J79" s="1028"/>
      <c r="K79" s="255"/>
      <c r="L79" s="565"/>
      <c r="M79" s="565"/>
      <c r="N79" s="565"/>
      <c r="P79" s="991">
        <f t="shared" si="8"/>
        <v>0</v>
      </c>
    </row>
    <row r="80" spans="2:16" ht="28.5" customHeight="1" x14ac:dyDescent="0.25">
      <c r="B80" s="1257" t="str">
        <f>"per 31/12/"&amp;$K$13</f>
        <v>per 31/12/2021</v>
      </c>
      <c r="C80" s="1258"/>
      <c r="D80" s="1258"/>
      <c r="E80" s="1259"/>
      <c r="F80" s="168"/>
      <c r="G80" s="255">
        <f>+H526</f>
        <v>0</v>
      </c>
      <c r="H80" s="255">
        <f>+H527</f>
        <v>0</v>
      </c>
      <c r="I80" s="255">
        <f>+H528</f>
        <v>0</v>
      </c>
      <c r="J80" s="255">
        <f>+H529</f>
        <v>0</v>
      </c>
      <c r="K80" s="255"/>
      <c r="L80" s="565"/>
      <c r="M80" s="565"/>
      <c r="N80" s="565"/>
      <c r="P80" s="991">
        <f t="shared" si="8"/>
        <v>0</v>
      </c>
    </row>
    <row r="81" spans="2:16" ht="28.5" customHeight="1" x14ac:dyDescent="0.25">
      <c r="B81" s="1248" t="str">
        <f>"per 31/12/"&amp;$L$13</f>
        <v>per 31/12/2022</v>
      </c>
      <c r="C81" s="1249"/>
      <c r="D81" s="1249"/>
      <c r="E81" s="1250"/>
      <c r="F81" s="314"/>
      <c r="G81" s="565">
        <f>+H535</f>
        <v>0</v>
      </c>
      <c r="H81" s="565">
        <f>+H536</f>
        <v>0</v>
      </c>
      <c r="I81" s="565">
        <f>+H537</f>
        <v>0</v>
      </c>
      <c r="J81" s="565">
        <f>+H538</f>
        <v>0</v>
      </c>
      <c r="K81" s="565">
        <f>+H539</f>
        <v>0</v>
      </c>
      <c r="L81" s="565"/>
      <c r="M81" s="565"/>
      <c r="N81" s="565"/>
      <c r="O81" s="845"/>
      <c r="P81" s="994">
        <f t="shared" si="8"/>
        <v>0</v>
      </c>
    </row>
    <row r="82" spans="2:16" ht="28.5" customHeight="1" x14ac:dyDescent="0.25">
      <c r="B82" s="1248" t="str">
        <f>"per 31/12/"&amp;$M$13</f>
        <v>per 31/12/2023</v>
      </c>
      <c r="C82" s="1249"/>
      <c r="D82" s="1249"/>
      <c r="E82" s="1250"/>
      <c r="F82" s="314"/>
      <c r="G82" s="565"/>
      <c r="H82" s="565"/>
      <c r="I82" s="565"/>
      <c r="J82" s="565"/>
      <c r="K82" s="565">
        <f>+H545</f>
        <v>0</v>
      </c>
      <c r="L82" s="565">
        <f>+H546</f>
        <v>0</v>
      </c>
      <c r="M82" s="565"/>
      <c r="N82" s="565"/>
      <c r="O82" s="845"/>
      <c r="P82" s="994">
        <f t="shared" si="8"/>
        <v>0</v>
      </c>
    </row>
    <row r="83" spans="2:16" ht="28.5" customHeight="1" x14ac:dyDescent="0.25">
      <c r="B83" s="1248" t="str">
        <f>"per 31/12/"&amp;$N$13</f>
        <v>per 31/12/2024</v>
      </c>
      <c r="C83" s="1249"/>
      <c r="D83" s="1249"/>
      <c r="E83" s="1250"/>
      <c r="F83" s="314"/>
      <c r="G83" s="565"/>
      <c r="H83" s="565"/>
      <c r="I83" s="565"/>
      <c r="J83" s="565"/>
      <c r="K83" s="565"/>
      <c r="L83" s="565">
        <f>+H552</f>
        <v>0</v>
      </c>
      <c r="M83" s="565">
        <f>+H553</f>
        <v>0</v>
      </c>
      <c r="N83" s="565"/>
      <c r="O83" s="845"/>
      <c r="P83" s="994">
        <f t="shared" si="8"/>
        <v>0</v>
      </c>
    </row>
    <row r="84" spans="2:16" ht="33" customHeight="1" x14ac:dyDescent="0.25">
      <c r="B84" s="1254" t="s">
        <v>68</v>
      </c>
      <c r="C84" s="1255"/>
      <c r="D84" s="1255"/>
      <c r="E84" s="1256"/>
      <c r="F84" s="168"/>
      <c r="G84" s="992"/>
      <c r="H84" s="992"/>
      <c r="I84" s="992"/>
      <c r="J84" s="992"/>
      <c r="K84" s="992"/>
      <c r="L84" s="993"/>
      <c r="M84" s="993"/>
      <c r="N84" s="993"/>
      <c r="P84" s="992"/>
    </row>
    <row r="85" spans="2:16" ht="28.5" customHeight="1" x14ac:dyDescent="0.25">
      <c r="B85" s="1257" t="str">
        <f>"per 31/12/"&amp;$G$13</f>
        <v>per 31/12/2017</v>
      </c>
      <c r="C85" s="1258"/>
      <c r="D85" s="1258"/>
      <c r="E85" s="1259"/>
      <c r="F85" s="168"/>
      <c r="G85" s="255"/>
      <c r="H85" s="255"/>
      <c r="I85" s="255"/>
      <c r="J85" s="255"/>
      <c r="K85" s="255"/>
      <c r="L85" s="565"/>
      <c r="M85" s="565"/>
      <c r="N85" s="565"/>
      <c r="P85" s="991">
        <f>SUM(G85:N85)</f>
        <v>0</v>
      </c>
    </row>
    <row r="86" spans="2:16" ht="28.5" customHeight="1" x14ac:dyDescent="0.25">
      <c r="B86" s="1257" t="str">
        <f>"per 31/12/"&amp;$H$13</f>
        <v>per 31/12/2018</v>
      </c>
      <c r="C86" s="1258"/>
      <c r="D86" s="1258"/>
      <c r="E86" s="1259"/>
      <c r="F86" s="168"/>
      <c r="G86" s="1028">
        <f>J569</f>
        <v>0</v>
      </c>
      <c r="H86" s="1028"/>
      <c r="I86" s="1028"/>
      <c r="J86" s="1028"/>
      <c r="K86" s="255"/>
      <c r="L86" s="565"/>
      <c r="M86" s="565"/>
      <c r="N86" s="565"/>
      <c r="P86" s="991">
        <f t="shared" ref="P86:P92" si="9">SUM(G86:N86)</f>
        <v>0</v>
      </c>
    </row>
    <row r="87" spans="2:16" ht="28.5" customHeight="1" x14ac:dyDescent="0.25">
      <c r="B87" s="1257" t="str">
        <f>"per 31/12/"&amp;$I$13</f>
        <v>per 31/12/2019</v>
      </c>
      <c r="C87" s="1258"/>
      <c r="D87" s="1258"/>
      <c r="E87" s="1259"/>
      <c r="F87" s="168"/>
      <c r="G87" s="1028">
        <f>+L574</f>
        <v>0</v>
      </c>
      <c r="H87" s="1028">
        <f>+L575</f>
        <v>0</v>
      </c>
      <c r="I87" s="1028"/>
      <c r="J87" s="1028"/>
      <c r="K87" s="255"/>
      <c r="L87" s="565"/>
      <c r="M87" s="565"/>
      <c r="N87" s="565"/>
      <c r="P87" s="991">
        <f t="shared" si="9"/>
        <v>0</v>
      </c>
    </row>
    <row r="88" spans="2:16" ht="28.5" customHeight="1" x14ac:dyDescent="0.25">
      <c r="B88" s="1257" t="str">
        <f>"per 31/12/"&amp;$J$13</f>
        <v>per 31/12/2020</v>
      </c>
      <c r="C88" s="1258"/>
      <c r="D88" s="1258"/>
      <c r="E88" s="1259"/>
      <c r="F88" s="168"/>
      <c r="G88" s="1028">
        <f>L581</f>
        <v>0</v>
      </c>
      <c r="H88" s="1028">
        <f>L582</f>
        <v>0</v>
      </c>
      <c r="I88" s="1028">
        <f>L583</f>
        <v>0</v>
      </c>
      <c r="J88" s="1028"/>
      <c r="K88" s="255"/>
      <c r="L88" s="565"/>
      <c r="M88" s="565"/>
      <c r="N88" s="565"/>
      <c r="P88" s="991">
        <f t="shared" si="9"/>
        <v>0</v>
      </c>
    </row>
    <row r="89" spans="2:16" ht="28.5" customHeight="1" x14ac:dyDescent="0.25">
      <c r="B89" s="1257" t="str">
        <f>"per 31/12/"&amp;$K$13</f>
        <v>per 31/12/2021</v>
      </c>
      <c r="C89" s="1258"/>
      <c r="D89" s="1258"/>
      <c r="E89" s="1259"/>
      <c r="F89" s="168"/>
      <c r="G89" s="255">
        <f>+H589</f>
        <v>0</v>
      </c>
      <c r="H89" s="255">
        <f>+H590</f>
        <v>0</v>
      </c>
      <c r="I89" s="255">
        <f>+H591</f>
        <v>0</v>
      </c>
      <c r="J89" s="255">
        <f>+H592</f>
        <v>0</v>
      </c>
      <c r="K89" s="255"/>
      <c r="L89" s="565"/>
      <c r="M89" s="565"/>
      <c r="N89" s="565"/>
      <c r="P89" s="991">
        <f t="shared" si="9"/>
        <v>0</v>
      </c>
    </row>
    <row r="90" spans="2:16" ht="28.5" customHeight="1" x14ac:dyDescent="0.25">
      <c r="B90" s="1248" t="str">
        <f>"per 31/12/"&amp;$L$13</f>
        <v>per 31/12/2022</v>
      </c>
      <c r="C90" s="1249"/>
      <c r="D90" s="1249"/>
      <c r="E90" s="1250"/>
      <c r="F90" s="314"/>
      <c r="G90" s="565">
        <f>+H598</f>
        <v>0</v>
      </c>
      <c r="H90" s="565">
        <f>+H599</f>
        <v>0</v>
      </c>
      <c r="I90" s="565">
        <f>+H600</f>
        <v>0</v>
      </c>
      <c r="J90" s="565">
        <f>+H601</f>
        <v>0</v>
      </c>
      <c r="K90" s="565">
        <f>+H602</f>
        <v>0</v>
      </c>
      <c r="L90" s="565"/>
      <c r="M90" s="565"/>
      <c r="N90" s="565"/>
      <c r="O90" s="845"/>
      <c r="P90" s="994">
        <f t="shared" si="9"/>
        <v>0</v>
      </c>
    </row>
    <row r="91" spans="2:16" ht="28.5" customHeight="1" x14ac:dyDescent="0.25">
      <c r="B91" s="1248" t="str">
        <f>"per 31/12/"&amp;$M$13</f>
        <v>per 31/12/2023</v>
      </c>
      <c r="C91" s="1249"/>
      <c r="D91" s="1249"/>
      <c r="E91" s="1250"/>
      <c r="F91" s="314"/>
      <c r="G91" s="565"/>
      <c r="H91" s="565"/>
      <c r="I91" s="565"/>
      <c r="J91" s="565"/>
      <c r="K91" s="565">
        <f>+H608</f>
        <v>0</v>
      </c>
      <c r="L91" s="565">
        <f>+H609</f>
        <v>0</v>
      </c>
      <c r="M91" s="565"/>
      <c r="N91" s="565"/>
      <c r="O91" s="845"/>
      <c r="P91" s="994">
        <f t="shared" si="9"/>
        <v>0</v>
      </c>
    </row>
    <row r="92" spans="2:16" ht="28.5" customHeight="1" x14ac:dyDescent="0.25">
      <c r="B92" s="1248" t="str">
        <f>"per 31/12/"&amp;$N$13</f>
        <v>per 31/12/2024</v>
      </c>
      <c r="C92" s="1249"/>
      <c r="D92" s="1249"/>
      <c r="E92" s="1250"/>
      <c r="F92" s="314"/>
      <c r="G92" s="565"/>
      <c r="H92" s="565"/>
      <c r="I92" s="565"/>
      <c r="J92" s="565"/>
      <c r="K92" s="565"/>
      <c r="L92" s="565">
        <f>+H615</f>
        <v>0</v>
      </c>
      <c r="M92" s="565">
        <f>+H616</f>
        <v>0</v>
      </c>
      <c r="N92" s="565"/>
      <c r="O92" s="845"/>
      <c r="P92" s="994">
        <f t="shared" si="9"/>
        <v>0</v>
      </c>
    </row>
    <row r="93" spans="2:16" x14ac:dyDescent="0.25">
      <c r="G93" s="306"/>
      <c r="H93" s="306"/>
      <c r="I93" s="306"/>
      <c r="J93" s="306"/>
      <c r="K93" s="306"/>
      <c r="L93" s="839"/>
      <c r="M93" s="839"/>
      <c r="N93" s="839"/>
      <c r="P93" s="306"/>
    </row>
    <row r="94" spans="2:16" s="224" customFormat="1" ht="13" x14ac:dyDescent="0.25">
      <c r="B94" s="1247"/>
      <c r="C94" s="1247"/>
      <c r="D94" s="1247"/>
      <c r="E94" s="1247"/>
      <c r="G94" s="309"/>
      <c r="H94" s="309"/>
      <c r="I94" s="309"/>
      <c r="J94" s="309"/>
      <c r="K94" s="309"/>
      <c r="L94" s="841"/>
      <c r="M94" s="841"/>
      <c r="N94" s="841"/>
      <c r="O94" s="211"/>
      <c r="P94" s="309"/>
    </row>
    <row r="95" spans="2:16" s="224" customFormat="1" ht="13" x14ac:dyDescent="0.25">
      <c r="B95" s="315"/>
      <c r="C95" s="316"/>
      <c r="D95" s="316"/>
      <c r="E95" s="317"/>
      <c r="F95" s="283"/>
      <c r="G95" s="166">
        <v>2017</v>
      </c>
      <c r="H95" s="166">
        <f>+G95+1</f>
        <v>2018</v>
      </c>
      <c r="I95" s="166">
        <f>+H95+1</f>
        <v>2019</v>
      </c>
      <c r="J95" s="166">
        <f>+I95+1</f>
        <v>2020</v>
      </c>
      <c r="K95" s="166">
        <f t="shared" ref="K95:N95" si="10">+J95+1</f>
        <v>2021</v>
      </c>
      <c r="L95" s="837">
        <f t="shared" si="10"/>
        <v>2022</v>
      </c>
      <c r="M95" s="837">
        <f t="shared" si="10"/>
        <v>2023</v>
      </c>
      <c r="N95" s="837">
        <f t="shared" si="10"/>
        <v>2024</v>
      </c>
      <c r="O95" s="209"/>
      <c r="P95" s="166" t="s">
        <v>20</v>
      </c>
    </row>
    <row r="96" spans="2:16" s="220" customFormat="1" ht="26.25" customHeight="1" x14ac:dyDescent="0.25">
      <c r="B96" s="1251" t="s">
        <v>159</v>
      </c>
      <c r="C96" s="1252"/>
      <c r="D96" s="1252"/>
      <c r="E96" s="1253"/>
      <c r="F96" s="172"/>
      <c r="G96" s="171"/>
      <c r="H96" s="171"/>
      <c r="I96" s="171"/>
      <c r="J96" s="171"/>
      <c r="K96" s="171"/>
      <c r="L96" s="843"/>
      <c r="M96" s="843"/>
      <c r="N96" s="843"/>
      <c r="O96" s="210"/>
      <c r="P96" s="171"/>
    </row>
    <row r="97" spans="1:16" ht="28.5" customHeight="1" x14ac:dyDescent="0.25">
      <c r="A97" s="296"/>
      <c r="B97" s="1240" t="str">
        <f>"per 31/12/"&amp;$G$13</f>
        <v>per 31/12/2017</v>
      </c>
      <c r="C97" s="1241"/>
      <c r="D97" s="1241"/>
      <c r="E97" s="1242"/>
      <c r="F97" s="318"/>
      <c r="G97" s="995"/>
      <c r="H97" s="995"/>
      <c r="I97" s="995"/>
      <c r="J97" s="995"/>
      <c r="K97" s="995"/>
      <c r="L97" s="996"/>
      <c r="M97" s="996"/>
      <c r="N97" s="996"/>
      <c r="P97" s="997">
        <f t="shared" ref="P97:P104" si="11">SUMIFS(P$31:P$92,$B$31:$B$92,$B97)</f>
        <v>0</v>
      </c>
    </row>
    <row r="98" spans="1:16" ht="28.5" customHeight="1" x14ac:dyDescent="0.25">
      <c r="A98" s="296"/>
      <c r="B98" s="1240" t="str">
        <f>"per 31/12/"&amp;$H$13</f>
        <v>per 31/12/2018</v>
      </c>
      <c r="C98" s="1241"/>
      <c r="D98" s="1241"/>
      <c r="E98" s="1242"/>
      <c r="F98" s="318"/>
      <c r="G98" s="995">
        <f>SUMIFS(G$31:G$92,$B$31:$B$92,$B98)</f>
        <v>0</v>
      </c>
      <c r="H98" s="995"/>
      <c r="I98" s="995"/>
      <c r="J98" s="995"/>
      <c r="K98" s="995"/>
      <c r="L98" s="996"/>
      <c r="M98" s="996"/>
      <c r="N98" s="996"/>
      <c r="P98" s="997">
        <f t="shared" si="11"/>
        <v>0</v>
      </c>
    </row>
    <row r="99" spans="1:16" ht="28.5" customHeight="1" x14ac:dyDescent="0.25">
      <c r="A99" s="296"/>
      <c r="B99" s="1240" t="str">
        <f>"per 31/12/"&amp;$I$13</f>
        <v>per 31/12/2019</v>
      </c>
      <c r="C99" s="1241"/>
      <c r="D99" s="1241"/>
      <c r="E99" s="1242"/>
      <c r="F99" s="318"/>
      <c r="G99" s="995">
        <f>SUMIFS(G$31:G$92,$B$31:$B$92,$B99)</f>
        <v>0</v>
      </c>
      <c r="H99" s="995">
        <f>SUMIFS(H$31:H$92,$B$31:$B$92,$B99)</f>
        <v>0</v>
      </c>
      <c r="I99" s="995"/>
      <c r="J99" s="995"/>
      <c r="K99" s="995"/>
      <c r="L99" s="996"/>
      <c r="M99" s="996"/>
      <c r="N99" s="996"/>
      <c r="P99" s="997">
        <f t="shared" si="11"/>
        <v>0</v>
      </c>
    </row>
    <row r="100" spans="1:16" ht="28.5" customHeight="1" x14ac:dyDescent="0.25">
      <c r="A100" s="296"/>
      <c r="B100" s="1240" t="str">
        <f>"per 31/12/"&amp;$J$13</f>
        <v>per 31/12/2020</v>
      </c>
      <c r="C100" s="1241"/>
      <c r="D100" s="1241"/>
      <c r="E100" s="1242"/>
      <c r="F100" s="318"/>
      <c r="G100" s="995">
        <f>SUMIFS(G$31:G$92,$B$31:$B$92,$B100)</f>
        <v>0</v>
      </c>
      <c r="H100" s="995">
        <f>SUMIFS(H$31:H$92,$B$31:$B$92,$B100)</f>
        <v>0</v>
      </c>
      <c r="I100" s="995">
        <f>SUMIFS(I$31:I$92,$B$31:$B$92,$B100)</f>
        <v>0</v>
      </c>
      <c r="J100" s="995"/>
      <c r="K100" s="995"/>
      <c r="L100" s="996"/>
      <c r="M100" s="996"/>
      <c r="N100" s="996"/>
      <c r="P100" s="997">
        <f t="shared" si="11"/>
        <v>0</v>
      </c>
    </row>
    <row r="101" spans="1:16" ht="28.5" customHeight="1" x14ac:dyDescent="0.25">
      <c r="A101" s="296"/>
      <c r="B101" s="1240" t="str">
        <f>"per 31/12/"&amp;$K$13</f>
        <v>per 31/12/2021</v>
      </c>
      <c r="C101" s="1241"/>
      <c r="D101" s="1241"/>
      <c r="E101" s="1242"/>
      <c r="F101" s="318"/>
      <c r="G101" s="995">
        <f>SUMIFS(G$31:G$92,$B$31:$B$92,$B101)</f>
        <v>0</v>
      </c>
      <c r="H101" s="995">
        <f>SUMIFS(H$31:H$92,$B$31:$B$92,$B101)</f>
        <v>0</v>
      </c>
      <c r="I101" s="995">
        <f>SUMIFS(I$31:I$92,$B$31:$B$92,$B101)</f>
        <v>0</v>
      </c>
      <c r="J101" s="995">
        <f>SUMIFS(J$31:J$92,$B$31:$B$92,$B101)</f>
        <v>0</v>
      </c>
      <c r="K101" s="995"/>
      <c r="L101" s="996"/>
      <c r="M101" s="996"/>
      <c r="N101" s="996"/>
      <c r="P101" s="997">
        <f t="shared" si="11"/>
        <v>0</v>
      </c>
    </row>
    <row r="102" spans="1:16" ht="28.5" customHeight="1" x14ac:dyDescent="0.25">
      <c r="A102" s="296"/>
      <c r="B102" s="1243" t="str">
        <f>"per 31/12/"&amp;$L$13</f>
        <v>per 31/12/2022</v>
      </c>
      <c r="C102" s="1244"/>
      <c r="D102" s="1244"/>
      <c r="E102" s="1245"/>
      <c r="F102" s="846"/>
      <c r="G102" s="996">
        <f>SUMIFS(G$31:G$92,$B$31:$B$92,$B102)</f>
        <v>0</v>
      </c>
      <c r="H102" s="996">
        <f>SUMIFS(H$31:H$92,$B$31:$B$92,$B102)</f>
        <v>0</v>
      </c>
      <c r="I102" s="996">
        <f>SUMIFS(I$31:I$92,$B$31:$B$92,$B102)</f>
        <v>0</v>
      </c>
      <c r="J102" s="996">
        <f>SUMIFS(J$31:J$92,$B$31:$B$92,$B102)</f>
        <v>0</v>
      </c>
      <c r="K102" s="996">
        <f>SUMIFS(K$31:K$92,$B$31:$B$92,$B102)</f>
        <v>0</v>
      </c>
      <c r="L102" s="996"/>
      <c r="M102" s="996"/>
      <c r="N102" s="996"/>
      <c r="O102" s="845"/>
      <c r="P102" s="998">
        <f t="shared" si="11"/>
        <v>0</v>
      </c>
    </row>
    <row r="103" spans="1:16" ht="28.5" customHeight="1" x14ac:dyDescent="0.25">
      <c r="A103" s="296"/>
      <c r="B103" s="1243" t="str">
        <f>"per 31/12/"&amp;$M$13</f>
        <v>per 31/12/2023</v>
      </c>
      <c r="C103" s="1244"/>
      <c r="D103" s="1244"/>
      <c r="E103" s="1245"/>
      <c r="F103" s="846"/>
      <c r="G103" s="996"/>
      <c r="H103" s="996"/>
      <c r="I103" s="996"/>
      <c r="J103" s="996"/>
      <c r="K103" s="996">
        <f>SUMIFS(K$31:K$92,$B$31:$B$92,$B103)</f>
        <v>0</v>
      </c>
      <c r="L103" s="996">
        <f>SUMIFS(L$31:L$92,$B$31:$B$92,$B103)</f>
        <v>0</v>
      </c>
      <c r="M103" s="996"/>
      <c r="N103" s="996"/>
      <c r="O103" s="845"/>
      <c r="P103" s="998">
        <f t="shared" si="11"/>
        <v>0</v>
      </c>
    </row>
    <row r="104" spans="1:16" ht="28.5" customHeight="1" x14ac:dyDescent="0.25">
      <c r="A104" s="296"/>
      <c r="B104" s="1243" t="str">
        <f>"per 31/12/"&amp;$N$13</f>
        <v>per 31/12/2024</v>
      </c>
      <c r="C104" s="1244"/>
      <c r="D104" s="1244"/>
      <c r="E104" s="1245"/>
      <c r="F104" s="846"/>
      <c r="G104" s="996"/>
      <c r="H104" s="996"/>
      <c r="I104" s="996"/>
      <c r="J104" s="996"/>
      <c r="K104" s="1029"/>
      <c r="L104" s="996">
        <f>SUMIFS(L$31:L$92,$B$31:$B$92,$B104)</f>
        <v>0</v>
      </c>
      <c r="M104" s="996">
        <f>SUMIFS(M$31:M$92,$B$31:$B$92,$B104)</f>
        <v>0</v>
      </c>
      <c r="N104" s="996"/>
      <c r="O104" s="845"/>
      <c r="P104" s="998">
        <f t="shared" si="11"/>
        <v>0</v>
      </c>
    </row>
    <row r="105" spans="1:16" s="224" customFormat="1" ht="13" x14ac:dyDescent="0.25">
      <c r="B105" s="1246"/>
      <c r="C105" s="1246"/>
      <c r="D105" s="1246"/>
      <c r="E105" s="1246"/>
      <c r="G105" s="319"/>
      <c r="H105" s="319"/>
      <c r="I105" s="309"/>
      <c r="J105" s="309"/>
      <c r="K105" s="309"/>
      <c r="L105" s="841"/>
      <c r="M105" s="841"/>
      <c r="N105" s="841"/>
      <c r="O105" s="211"/>
      <c r="P105" s="309"/>
    </row>
    <row r="106" spans="1:16" x14ac:dyDescent="0.25">
      <c r="L106" s="842"/>
      <c r="M106" s="842"/>
      <c r="N106" s="842"/>
    </row>
    <row r="107" spans="1:16" x14ac:dyDescent="0.25">
      <c r="L107" s="842"/>
      <c r="M107" s="842"/>
      <c r="N107" s="842"/>
    </row>
    <row r="108" spans="1:16" x14ac:dyDescent="0.25">
      <c r="L108" s="842"/>
      <c r="M108" s="842"/>
      <c r="N108" s="842"/>
    </row>
    <row r="109" spans="1:16" ht="69.75" customHeight="1" x14ac:dyDescent="0.25">
      <c r="B109" s="1231" t="s">
        <v>133</v>
      </c>
      <c r="C109" s="1232"/>
      <c r="D109" s="1232"/>
      <c r="E109" s="1233"/>
      <c r="F109" s="282"/>
      <c r="G109" s="166">
        <v>2017</v>
      </c>
      <c r="H109" s="166">
        <f>+G109+1</f>
        <v>2018</v>
      </c>
      <c r="I109" s="166">
        <f>+H109+1</f>
        <v>2019</v>
      </c>
      <c r="J109" s="166">
        <f>+I109+1</f>
        <v>2020</v>
      </c>
      <c r="K109" s="166">
        <f t="shared" ref="K109:N109" si="12">+J109+1</f>
        <v>2021</v>
      </c>
      <c r="L109" s="837">
        <f t="shared" si="12"/>
        <v>2022</v>
      </c>
      <c r="M109" s="837">
        <f t="shared" si="12"/>
        <v>2023</v>
      </c>
      <c r="N109" s="837">
        <f t="shared" si="12"/>
        <v>2024</v>
      </c>
      <c r="P109" s="166" t="s">
        <v>20</v>
      </c>
    </row>
    <row r="110" spans="1:16" s="301" customFormat="1" ht="12" customHeight="1" x14ac:dyDescent="0.25">
      <c r="B110" s="320"/>
      <c r="C110" s="320"/>
      <c r="D110" s="320"/>
      <c r="E110" s="320"/>
      <c r="F110" s="321"/>
      <c r="G110" s="323"/>
      <c r="H110" s="324"/>
      <c r="I110" s="324"/>
      <c r="J110" s="324"/>
      <c r="K110" s="324"/>
      <c r="L110" s="844"/>
      <c r="M110" s="844"/>
      <c r="N110" s="844"/>
      <c r="O110" s="305"/>
      <c r="P110" s="324"/>
    </row>
    <row r="111" spans="1:16" ht="36" customHeight="1" x14ac:dyDescent="0.25">
      <c r="B111" s="1254" t="s">
        <v>240</v>
      </c>
      <c r="C111" s="1255"/>
      <c r="D111" s="1255"/>
      <c r="E111" s="1256"/>
      <c r="F111" s="168"/>
      <c r="G111" s="992"/>
      <c r="H111" s="992"/>
      <c r="I111" s="992"/>
      <c r="J111" s="992"/>
      <c r="K111" s="992"/>
      <c r="L111" s="993"/>
      <c r="M111" s="993"/>
      <c r="N111" s="993"/>
      <c r="P111" s="992"/>
    </row>
    <row r="112" spans="1:16" ht="28.5" customHeight="1" x14ac:dyDescent="0.25">
      <c r="B112" s="1257" t="str">
        <f>"per 31/12/"&amp;$G$13</f>
        <v>per 31/12/2017</v>
      </c>
      <c r="C112" s="1258"/>
      <c r="D112" s="1258"/>
      <c r="E112" s="1259"/>
      <c r="F112" s="168"/>
      <c r="G112" s="1030">
        <f>+G$15+G31</f>
        <v>0</v>
      </c>
      <c r="H112" s="255"/>
      <c r="I112" s="255"/>
      <c r="J112" s="255"/>
      <c r="K112" s="255"/>
      <c r="L112" s="565"/>
      <c r="M112" s="565"/>
      <c r="N112" s="565"/>
      <c r="P112" s="991">
        <f>SUM(G112:N112)</f>
        <v>0</v>
      </c>
    </row>
    <row r="113" spans="2:16" ht="28.5" customHeight="1" x14ac:dyDescent="0.25">
      <c r="B113" s="1257" t="str">
        <f>"per 31/12/"&amp;$H$13</f>
        <v>per 31/12/2018</v>
      </c>
      <c r="C113" s="1258"/>
      <c r="D113" s="1258"/>
      <c r="E113" s="1259"/>
      <c r="F113" s="168"/>
      <c r="G113" s="1030">
        <f>+G112+G32</f>
        <v>0</v>
      </c>
      <c r="H113" s="1030">
        <f>+H$15+H32</f>
        <v>0</v>
      </c>
      <c r="I113" s="255"/>
      <c r="J113" s="255"/>
      <c r="K113" s="255"/>
      <c r="L113" s="565"/>
      <c r="M113" s="565"/>
      <c r="N113" s="565"/>
      <c r="P113" s="991">
        <f t="shared" ref="P113:P119" si="13">SUM(G113:N113)</f>
        <v>0</v>
      </c>
    </row>
    <row r="114" spans="2:16" ht="28.5" customHeight="1" x14ac:dyDescent="0.25">
      <c r="B114" s="1257" t="str">
        <f>"per 31/12/"&amp;$I$13</f>
        <v>per 31/12/2019</v>
      </c>
      <c r="C114" s="1258"/>
      <c r="D114" s="1258"/>
      <c r="E114" s="1259"/>
      <c r="F114" s="168"/>
      <c r="G114" s="1030">
        <f>+G113+G33</f>
        <v>0</v>
      </c>
      <c r="H114" s="1030">
        <f>+H113+H33</f>
        <v>0</v>
      </c>
      <c r="I114" s="1030">
        <f>+I$15+I33</f>
        <v>0</v>
      </c>
      <c r="J114" s="255"/>
      <c r="K114" s="255"/>
      <c r="L114" s="565"/>
      <c r="M114" s="565"/>
      <c r="N114" s="565"/>
      <c r="P114" s="991">
        <f t="shared" si="13"/>
        <v>0</v>
      </c>
    </row>
    <row r="115" spans="2:16" ht="28.5" customHeight="1" x14ac:dyDescent="0.25">
      <c r="B115" s="1257" t="str">
        <f>"per 31/12/"&amp;$J$13</f>
        <v>per 31/12/2020</v>
      </c>
      <c r="C115" s="1258"/>
      <c r="D115" s="1258"/>
      <c r="E115" s="1259"/>
      <c r="F115" s="168"/>
      <c r="G115" s="1030">
        <f>+G114+G34</f>
        <v>0</v>
      </c>
      <c r="H115" s="1030">
        <f>+H114+H34</f>
        <v>0</v>
      </c>
      <c r="I115" s="1030">
        <f>+I114+I34</f>
        <v>0</v>
      </c>
      <c r="J115" s="1030">
        <f>+J$15+J34</f>
        <v>0</v>
      </c>
      <c r="K115" s="255"/>
      <c r="L115" s="565"/>
      <c r="M115" s="565"/>
      <c r="N115" s="565"/>
      <c r="P115" s="991">
        <f t="shared" si="13"/>
        <v>0</v>
      </c>
    </row>
    <row r="116" spans="2:16" ht="28.5" customHeight="1" x14ac:dyDescent="0.25">
      <c r="B116" s="1257" t="str">
        <f>"per 31/12/"&amp;$K$13</f>
        <v>per 31/12/2021</v>
      </c>
      <c r="C116" s="1258"/>
      <c r="D116" s="1258"/>
      <c r="E116" s="1259"/>
      <c r="F116" s="168"/>
      <c r="G116" s="1030">
        <f>+G115+G35</f>
        <v>0</v>
      </c>
      <c r="H116" s="1030">
        <f>+H115+H35</f>
        <v>0</v>
      </c>
      <c r="I116" s="1030">
        <f>+I115+I35</f>
        <v>0</v>
      </c>
      <c r="J116" s="1030">
        <f>+J115+J35</f>
        <v>0</v>
      </c>
      <c r="K116" s="1030">
        <f>+K$15+K35</f>
        <v>0</v>
      </c>
      <c r="L116" s="565"/>
      <c r="M116" s="565"/>
      <c r="N116" s="565"/>
      <c r="P116" s="991">
        <f t="shared" si="13"/>
        <v>0</v>
      </c>
    </row>
    <row r="117" spans="2:16" ht="28.5" customHeight="1" x14ac:dyDescent="0.25">
      <c r="B117" s="1248" t="str">
        <f>"per 31/12/"&amp;$L$13</f>
        <v>per 31/12/2022</v>
      </c>
      <c r="C117" s="1249"/>
      <c r="D117" s="1249"/>
      <c r="E117" s="1250"/>
      <c r="F117" s="314"/>
      <c r="G117" s="1031">
        <f>+G116+G36</f>
        <v>0</v>
      </c>
      <c r="H117" s="1031">
        <f>+H116+H36</f>
        <v>0</v>
      </c>
      <c r="I117" s="1031">
        <f>+I116+I36</f>
        <v>0</v>
      </c>
      <c r="J117" s="1031">
        <f>+J116+J36</f>
        <v>0</v>
      </c>
      <c r="K117" s="1031">
        <f>+K116+K36</f>
        <v>0</v>
      </c>
      <c r="L117" s="1031">
        <f>+L$15+L36</f>
        <v>0</v>
      </c>
      <c r="M117" s="565"/>
      <c r="N117" s="565"/>
      <c r="O117" s="845"/>
      <c r="P117" s="994">
        <f t="shared" si="13"/>
        <v>0</v>
      </c>
    </row>
    <row r="118" spans="2:16" ht="28.5" customHeight="1" x14ac:dyDescent="0.25">
      <c r="B118" s="1248" t="str">
        <f>"per 31/12/"&amp;$M$13</f>
        <v>per 31/12/2023</v>
      </c>
      <c r="C118" s="1249"/>
      <c r="D118" s="1249"/>
      <c r="E118" s="1250"/>
      <c r="F118" s="314"/>
      <c r="G118" s="565"/>
      <c r="H118" s="565"/>
      <c r="I118" s="565"/>
      <c r="J118" s="565"/>
      <c r="K118" s="1031">
        <f>+K117+K37</f>
        <v>0</v>
      </c>
      <c r="L118" s="1031">
        <f>+L117+L37</f>
        <v>0</v>
      </c>
      <c r="M118" s="1031">
        <f>+M$15+M37</f>
        <v>0</v>
      </c>
      <c r="N118" s="565"/>
      <c r="O118" s="845"/>
      <c r="P118" s="994">
        <f t="shared" si="13"/>
        <v>0</v>
      </c>
    </row>
    <row r="119" spans="2:16" ht="28.5" customHeight="1" x14ac:dyDescent="0.25">
      <c r="B119" s="1248" t="str">
        <f>"per 31/12/"&amp;$N$13</f>
        <v>per 31/12/2024</v>
      </c>
      <c r="C119" s="1249"/>
      <c r="D119" s="1249"/>
      <c r="E119" s="1250"/>
      <c r="F119" s="314"/>
      <c r="G119" s="565"/>
      <c r="H119" s="565"/>
      <c r="I119" s="565"/>
      <c r="J119" s="565"/>
      <c r="K119" s="565"/>
      <c r="L119" s="1031">
        <f>+L118+L38</f>
        <v>0</v>
      </c>
      <c r="M119" s="1031">
        <f>+M118+M38</f>
        <v>0</v>
      </c>
      <c r="N119" s="1031">
        <f>+N$15+N38</f>
        <v>0</v>
      </c>
      <c r="O119" s="845"/>
      <c r="P119" s="994">
        <f t="shared" si="13"/>
        <v>0</v>
      </c>
    </row>
    <row r="120" spans="2:16" ht="27.75" customHeight="1" x14ac:dyDescent="0.25">
      <c r="B120" s="1254" t="s">
        <v>66</v>
      </c>
      <c r="C120" s="1255"/>
      <c r="D120" s="1255"/>
      <c r="E120" s="1256"/>
      <c r="F120" s="168"/>
      <c r="G120" s="992"/>
      <c r="H120" s="992"/>
      <c r="I120" s="992"/>
      <c r="J120" s="992"/>
      <c r="K120" s="992"/>
      <c r="L120" s="993"/>
      <c r="M120" s="993"/>
      <c r="N120" s="993"/>
      <c r="P120" s="992"/>
    </row>
    <row r="121" spans="2:16" ht="28.5" customHeight="1" x14ac:dyDescent="0.25">
      <c r="B121" s="1257" t="str">
        <f>"per 31/12/"&amp;$G$13</f>
        <v>per 31/12/2017</v>
      </c>
      <c r="C121" s="1258"/>
      <c r="D121" s="1258"/>
      <c r="E121" s="1259"/>
      <c r="F121" s="168"/>
      <c r="G121" s="1030">
        <f>+G$16+G40</f>
        <v>0</v>
      </c>
      <c r="H121" s="255"/>
      <c r="I121" s="255"/>
      <c r="J121" s="255"/>
      <c r="K121" s="255"/>
      <c r="L121" s="565"/>
      <c r="M121" s="565"/>
      <c r="N121" s="565"/>
      <c r="P121" s="991">
        <f>SUM(G121:N121)</f>
        <v>0</v>
      </c>
    </row>
    <row r="122" spans="2:16" ht="28.5" customHeight="1" x14ac:dyDescent="0.25">
      <c r="B122" s="1257" t="str">
        <f>"per 31/12/"&amp;$H$13</f>
        <v>per 31/12/2018</v>
      </c>
      <c r="C122" s="1258"/>
      <c r="D122" s="1258"/>
      <c r="E122" s="1259"/>
      <c r="F122" s="168"/>
      <c r="G122" s="1030">
        <f>+G121+G41</f>
        <v>0</v>
      </c>
      <c r="H122" s="255">
        <f>+H$16+H41</f>
        <v>0</v>
      </c>
      <c r="I122" s="255"/>
      <c r="J122" s="255"/>
      <c r="K122" s="255"/>
      <c r="L122" s="565"/>
      <c r="M122" s="565"/>
      <c r="N122" s="565"/>
      <c r="P122" s="991">
        <f t="shared" ref="P122:P128" si="14">SUM(G122:N122)</f>
        <v>0</v>
      </c>
    </row>
    <row r="123" spans="2:16" ht="28.5" customHeight="1" x14ac:dyDescent="0.25">
      <c r="B123" s="1257" t="str">
        <f>"per 31/12/"&amp;$I$13</f>
        <v>per 31/12/2019</v>
      </c>
      <c r="C123" s="1258"/>
      <c r="D123" s="1258"/>
      <c r="E123" s="1259"/>
      <c r="F123" s="168"/>
      <c r="G123" s="1030">
        <f>+G122+G42</f>
        <v>0</v>
      </c>
      <c r="H123" s="1030">
        <f>+H122+H42</f>
        <v>0</v>
      </c>
      <c r="I123" s="255">
        <f>+I$16+I42</f>
        <v>0</v>
      </c>
      <c r="J123" s="255"/>
      <c r="K123" s="255"/>
      <c r="L123" s="565"/>
      <c r="M123" s="565"/>
      <c r="N123" s="565"/>
      <c r="P123" s="991">
        <f t="shared" si="14"/>
        <v>0</v>
      </c>
    </row>
    <row r="124" spans="2:16" ht="28.5" customHeight="1" x14ac:dyDescent="0.25">
      <c r="B124" s="1257" t="str">
        <f>"per 31/12/"&amp;$J$13</f>
        <v>per 31/12/2020</v>
      </c>
      <c r="C124" s="1258"/>
      <c r="D124" s="1258"/>
      <c r="E124" s="1259"/>
      <c r="F124" s="168"/>
      <c r="G124" s="1030">
        <f>+G123+G43</f>
        <v>0</v>
      </c>
      <c r="H124" s="1030">
        <f>+H123+H43</f>
        <v>0</v>
      </c>
      <c r="I124" s="1030">
        <f>+I123+I43</f>
        <v>0</v>
      </c>
      <c r="J124" s="255">
        <f>+J$16+J43</f>
        <v>0</v>
      </c>
      <c r="K124" s="255"/>
      <c r="L124" s="565"/>
      <c r="M124" s="565"/>
      <c r="N124" s="565"/>
      <c r="P124" s="991">
        <f t="shared" si="14"/>
        <v>0</v>
      </c>
    </row>
    <row r="125" spans="2:16" ht="28.5" customHeight="1" x14ac:dyDescent="0.25">
      <c r="B125" s="1257" t="str">
        <f>"per 31/12/"&amp;$K$13</f>
        <v>per 31/12/2021</v>
      </c>
      <c r="C125" s="1258"/>
      <c r="D125" s="1258"/>
      <c r="E125" s="1259"/>
      <c r="F125" s="168"/>
      <c r="G125" s="1030">
        <f>+G124+G44</f>
        <v>0</v>
      </c>
      <c r="H125" s="1030">
        <f>+H124+H44</f>
        <v>0</v>
      </c>
      <c r="I125" s="1030">
        <f>+I124+I44</f>
        <v>0</v>
      </c>
      <c r="J125" s="1030">
        <f>+J124+J44</f>
        <v>0</v>
      </c>
      <c r="K125" s="255">
        <f>+K$16+K44</f>
        <v>0</v>
      </c>
      <c r="L125" s="565"/>
      <c r="M125" s="565"/>
      <c r="N125" s="565"/>
      <c r="P125" s="991">
        <f t="shared" si="14"/>
        <v>0</v>
      </c>
    </row>
    <row r="126" spans="2:16" ht="28.5" customHeight="1" x14ac:dyDescent="0.25">
      <c r="B126" s="1248" t="str">
        <f>"per 31/12/"&amp;$L$13</f>
        <v>per 31/12/2022</v>
      </c>
      <c r="C126" s="1249"/>
      <c r="D126" s="1249"/>
      <c r="E126" s="1250"/>
      <c r="F126" s="314"/>
      <c r="G126" s="1031">
        <f>+G125+G45</f>
        <v>0</v>
      </c>
      <c r="H126" s="1031">
        <f>+H125+H45</f>
        <v>0</v>
      </c>
      <c r="I126" s="1031">
        <f>+I125+I45</f>
        <v>0</v>
      </c>
      <c r="J126" s="1031">
        <f>+J125+J45</f>
        <v>0</v>
      </c>
      <c r="K126" s="1031">
        <f>+K125+K45</f>
        <v>0</v>
      </c>
      <c r="L126" s="565">
        <f>+L$16+L45</f>
        <v>0</v>
      </c>
      <c r="M126" s="565"/>
      <c r="N126" s="565"/>
      <c r="O126" s="845"/>
      <c r="P126" s="994">
        <f t="shared" si="14"/>
        <v>0</v>
      </c>
    </row>
    <row r="127" spans="2:16" ht="28.5" customHeight="1" x14ac:dyDescent="0.25">
      <c r="B127" s="1248" t="str">
        <f>"per 31/12/"&amp;$M$13</f>
        <v>per 31/12/2023</v>
      </c>
      <c r="C127" s="1249"/>
      <c r="D127" s="1249"/>
      <c r="E127" s="1250"/>
      <c r="F127" s="314"/>
      <c r="G127" s="565"/>
      <c r="H127" s="565"/>
      <c r="I127" s="565"/>
      <c r="J127" s="565"/>
      <c r="K127" s="1031">
        <f>+K126+K46</f>
        <v>0</v>
      </c>
      <c r="L127" s="1031">
        <f>+L126+L46</f>
        <v>0</v>
      </c>
      <c r="M127" s="565">
        <f>+M$16+M46</f>
        <v>0</v>
      </c>
      <c r="N127" s="565"/>
      <c r="O127" s="845"/>
      <c r="P127" s="994">
        <f t="shared" si="14"/>
        <v>0</v>
      </c>
    </row>
    <row r="128" spans="2:16" ht="28.5" customHeight="1" x14ac:dyDescent="0.25">
      <c r="B128" s="1248" t="str">
        <f>"per 31/12/"&amp;$N$13</f>
        <v>per 31/12/2024</v>
      </c>
      <c r="C128" s="1249"/>
      <c r="D128" s="1249"/>
      <c r="E128" s="1250"/>
      <c r="F128" s="314"/>
      <c r="G128" s="565"/>
      <c r="H128" s="565"/>
      <c r="I128" s="565"/>
      <c r="J128" s="565"/>
      <c r="K128" s="565"/>
      <c r="L128" s="1031">
        <f>+L127+L47</f>
        <v>0</v>
      </c>
      <c r="M128" s="1031">
        <f>+M127+M47</f>
        <v>0</v>
      </c>
      <c r="N128" s="565">
        <f>+N$16+N47</f>
        <v>0</v>
      </c>
      <c r="O128" s="845"/>
      <c r="P128" s="994">
        <f t="shared" si="14"/>
        <v>0</v>
      </c>
    </row>
    <row r="129" spans="2:16" ht="30" customHeight="1" x14ac:dyDescent="0.25">
      <c r="B129" s="1254" t="s">
        <v>205</v>
      </c>
      <c r="C129" s="1255"/>
      <c r="D129" s="1255"/>
      <c r="E129" s="1256"/>
      <c r="F129" s="168"/>
      <c r="G129" s="992"/>
      <c r="H129" s="992"/>
      <c r="I129" s="992"/>
      <c r="J129" s="992"/>
      <c r="K129" s="992"/>
      <c r="L129" s="993"/>
      <c r="M129" s="993"/>
      <c r="N129" s="993"/>
      <c r="P129" s="992"/>
    </row>
    <row r="130" spans="2:16" ht="28.5" customHeight="1" x14ac:dyDescent="0.25">
      <c r="B130" s="1257" t="str">
        <f>"per 31/12/"&amp;$G$13</f>
        <v>per 31/12/2017</v>
      </c>
      <c r="C130" s="1258"/>
      <c r="D130" s="1258"/>
      <c r="E130" s="1259"/>
      <c r="F130" s="168"/>
      <c r="G130" s="1030">
        <f>+G$17+G49</f>
        <v>0</v>
      </c>
      <c r="H130" s="255"/>
      <c r="I130" s="255"/>
      <c r="J130" s="255"/>
      <c r="K130" s="255"/>
      <c r="L130" s="565"/>
      <c r="M130" s="565"/>
      <c r="N130" s="565"/>
      <c r="P130" s="991">
        <f>SUM(G130:N130)</f>
        <v>0</v>
      </c>
    </row>
    <row r="131" spans="2:16" ht="28.5" customHeight="1" x14ac:dyDescent="0.25">
      <c r="B131" s="1257" t="str">
        <f>"per 31/12/"&amp;$H$13</f>
        <v>per 31/12/2018</v>
      </c>
      <c r="C131" s="1258"/>
      <c r="D131" s="1258"/>
      <c r="E131" s="1259"/>
      <c r="F131" s="168"/>
      <c r="G131" s="255">
        <f>+G130+G50</f>
        <v>0</v>
      </c>
      <c r="H131" s="255">
        <f>+H$17+H50</f>
        <v>0</v>
      </c>
      <c r="I131" s="255"/>
      <c r="J131" s="255"/>
      <c r="K131" s="255"/>
      <c r="L131" s="565"/>
      <c r="M131" s="565"/>
      <c r="N131" s="565"/>
      <c r="P131" s="991">
        <f t="shared" ref="P131:P135" si="15">SUM(G131:N131)</f>
        <v>0</v>
      </c>
    </row>
    <row r="132" spans="2:16" ht="28.5" customHeight="1" x14ac:dyDescent="0.25">
      <c r="B132" s="1257" t="str">
        <f>"per 31/12/"&amp;$I$13</f>
        <v>per 31/12/2019</v>
      </c>
      <c r="C132" s="1258"/>
      <c r="D132" s="1258"/>
      <c r="E132" s="1259"/>
      <c r="F132" s="168"/>
      <c r="G132" s="255">
        <f>+G131+G51</f>
        <v>0</v>
      </c>
      <c r="H132" s="255">
        <f>+H131+H51</f>
        <v>0</v>
      </c>
      <c r="I132" s="255">
        <f>+I$17+I51</f>
        <v>0</v>
      </c>
      <c r="J132" s="255"/>
      <c r="K132" s="255"/>
      <c r="L132" s="565"/>
      <c r="M132" s="565"/>
      <c r="N132" s="565"/>
      <c r="P132" s="991">
        <f t="shared" si="15"/>
        <v>0</v>
      </c>
    </row>
    <row r="133" spans="2:16" ht="28.5" customHeight="1" x14ac:dyDescent="0.25">
      <c r="B133" s="1257" t="str">
        <f>"per 31/12/"&amp;$J$13</f>
        <v>per 31/12/2020</v>
      </c>
      <c r="C133" s="1258"/>
      <c r="D133" s="1258"/>
      <c r="E133" s="1259"/>
      <c r="F133" s="168"/>
      <c r="G133" s="255">
        <f>+G132+G52</f>
        <v>0</v>
      </c>
      <c r="H133" s="255">
        <f>+H132+H52</f>
        <v>0</v>
      </c>
      <c r="I133" s="255">
        <f>+I132+I52</f>
        <v>0</v>
      </c>
      <c r="J133" s="255">
        <f>+J$17+J52</f>
        <v>0</v>
      </c>
      <c r="K133" s="255"/>
      <c r="L133" s="565"/>
      <c r="M133" s="565"/>
      <c r="N133" s="565"/>
      <c r="P133" s="991">
        <f t="shared" si="15"/>
        <v>0</v>
      </c>
    </row>
    <row r="134" spans="2:16" ht="28.5" customHeight="1" x14ac:dyDescent="0.25">
      <c r="B134" s="1257" t="str">
        <f>"per 31/12/"&amp;$K$13</f>
        <v>per 31/12/2021</v>
      </c>
      <c r="C134" s="1258"/>
      <c r="D134" s="1258"/>
      <c r="E134" s="1259"/>
      <c r="F134" s="168"/>
      <c r="G134" s="255">
        <f>+G133+G53</f>
        <v>0</v>
      </c>
      <c r="H134" s="255">
        <f>+H133+H53</f>
        <v>0</v>
      </c>
      <c r="I134" s="255">
        <f>+I133+I53</f>
        <v>0</v>
      </c>
      <c r="J134" s="255">
        <f>+J133+J53</f>
        <v>0</v>
      </c>
      <c r="K134" s="255"/>
      <c r="L134" s="565"/>
      <c r="M134" s="565"/>
      <c r="N134" s="565"/>
      <c r="P134" s="991">
        <f t="shared" si="15"/>
        <v>0</v>
      </c>
    </row>
    <row r="135" spans="2:16" ht="28.5" customHeight="1" x14ac:dyDescent="0.25">
      <c r="B135" s="1248" t="str">
        <f>"per 31/12/"&amp;$L$13</f>
        <v>per 31/12/2022</v>
      </c>
      <c r="C135" s="1249"/>
      <c r="D135" s="1249"/>
      <c r="E135" s="1250"/>
      <c r="F135" s="314"/>
      <c r="G135" s="565">
        <f>+G134+G54</f>
        <v>0</v>
      </c>
      <c r="H135" s="565">
        <f>+H134+H54</f>
        <v>0</v>
      </c>
      <c r="I135" s="565">
        <f>+I134+I54</f>
        <v>0</v>
      </c>
      <c r="J135" s="565">
        <f>+J134+J54</f>
        <v>0</v>
      </c>
      <c r="K135" s="565"/>
      <c r="L135" s="565"/>
      <c r="M135" s="565"/>
      <c r="N135" s="565"/>
      <c r="O135" s="845"/>
      <c r="P135" s="994">
        <f t="shared" si="15"/>
        <v>0</v>
      </c>
    </row>
    <row r="136" spans="2:16" ht="28.5" customHeight="1" x14ac:dyDescent="0.25">
      <c r="B136" s="1248" t="str">
        <f>"per 31/12/"&amp;$M$13</f>
        <v>per 31/12/2023</v>
      </c>
      <c r="C136" s="1249"/>
      <c r="D136" s="1249"/>
      <c r="E136" s="1250"/>
      <c r="F136" s="314"/>
      <c r="G136" s="565"/>
      <c r="H136" s="565"/>
      <c r="I136" s="565"/>
      <c r="J136" s="565"/>
      <c r="K136" s="565"/>
      <c r="L136" s="565"/>
      <c r="M136" s="565"/>
      <c r="N136" s="565"/>
      <c r="O136" s="845"/>
      <c r="P136" s="994"/>
    </row>
    <row r="137" spans="2:16" ht="28.5" customHeight="1" x14ac:dyDescent="0.25">
      <c r="B137" s="1248" t="str">
        <f>"per 31/12/"&amp;$N$13</f>
        <v>per 31/12/2024</v>
      </c>
      <c r="C137" s="1249"/>
      <c r="D137" s="1249"/>
      <c r="E137" s="1250"/>
      <c r="F137" s="314"/>
      <c r="G137" s="565"/>
      <c r="H137" s="565"/>
      <c r="I137" s="565"/>
      <c r="J137" s="565"/>
      <c r="K137" s="565"/>
      <c r="L137" s="565"/>
      <c r="M137" s="565"/>
      <c r="N137" s="565"/>
      <c r="O137" s="845"/>
      <c r="P137" s="994"/>
    </row>
    <row r="138" spans="2:16" ht="30" customHeight="1" x14ac:dyDescent="0.25">
      <c r="B138" s="1254" t="s">
        <v>67</v>
      </c>
      <c r="C138" s="1255"/>
      <c r="D138" s="1255"/>
      <c r="E138" s="1256"/>
      <c r="F138" s="168"/>
      <c r="G138" s="992"/>
      <c r="H138" s="992"/>
      <c r="I138" s="992"/>
      <c r="J138" s="992"/>
      <c r="K138" s="992"/>
      <c r="L138" s="993"/>
      <c r="M138" s="993"/>
      <c r="N138" s="993"/>
      <c r="P138" s="992"/>
    </row>
    <row r="139" spans="2:16" ht="28.5" customHeight="1" x14ac:dyDescent="0.25">
      <c r="B139" s="1257" t="str">
        <f>"per 31/12/"&amp;$G$13</f>
        <v>per 31/12/2017</v>
      </c>
      <c r="C139" s="1258"/>
      <c r="D139" s="1258"/>
      <c r="E139" s="1259"/>
      <c r="F139" s="168"/>
      <c r="G139" s="1030">
        <f>+G$18+G58</f>
        <v>0</v>
      </c>
      <c r="H139" s="255"/>
      <c r="I139" s="255"/>
      <c r="J139" s="255"/>
      <c r="K139" s="255"/>
      <c r="L139" s="565"/>
      <c r="M139" s="565"/>
      <c r="N139" s="565"/>
      <c r="P139" s="991">
        <f>SUM(G139:N139)</f>
        <v>0</v>
      </c>
    </row>
    <row r="140" spans="2:16" ht="28.5" customHeight="1" x14ac:dyDescent="0.25">
      <c r="B140" s="1257" t="str">
        <f>"per 31/12/"&amp;$H$13</f>
        <v>per 31/12/2018</v>
      </c>
      <c r="C140" s="1258"/>
      <c r="D140" s="1258"/>
      <c r="E140" s="1259"/>
      <c r="F140" s="168"/>
      <c r="G140" s="255">
        <f>+G139+G59</f>
        <v>0</v>
      </c>
      <c r="H140" s="255">
        <f>+H$18+H59</f>
        <v>0</v>
      </c>
      <c r="I140" s="255"/>
      <c r="J140" s="255"/>
      <c r="K140" s="255"/>
      <c r="L140" s="565"/>
      <c r="M140" s="565"/>
      <c r="N140" s="565"/>
      <c r="P140" s="991">
        <f t="shared" ref="P140:P146" si="16">SUM(G140:N140)</f>
        <v>0</v>
      </c>
    </row>
    <row r="141" spans="2:16" ht="28.5" customHeight="1" x14ac:dyDescent="0.25">
      <c r="B141" s="1257" t="str">
        <f>"per 31/12/"&amp;$I$13</f>
        <v>per 31/12/2019</v>
      </c>
      <c r="C141" s="1258"/>
      <c r="D141" s="1258"/>
      <c r="E141" s="1259"/>
      <c r="F141" s="168"/>
      <c r="G141" s="255">
        <f>+G140+G60</f>
        <v>0</v>
      </c>
      <c r="H141" s="255">
        <f>+H140+H60</f>
        <v>0</v>
      </c>
      <c r="I141" s="255">
        <f>+I$18+I60</f>
        <v>0</v>
      </c>
      <c r="J141" s="255"/>
      <c r="K141" s="255"/>
      <c r="L141" s="565"/>
      <c r="M141" s="565"/>
      <c r="N141" s="565"/>
      <c r="P141" s="991">
        <f t="shared" si="16"/>
        <v>0</v>
      </c>
    </row>
    <row r="142" spans="2:16" ht="28.5" customHeight="1" x14ac:dyDescent="0.25">
      <c r="B142" s="1257" t="str">
        <f>"per 31/12/"&amp;$J$13</f>
        <v>per 31/12/2020</v>
      </c>
      <c r="C142" s="1258"/>
      <c r="D142" s="1258"/>
      <c r="E142" s="1259"/>
      <c r="F142" s="168"/>
      <c r="G142" s="255">
        <f>+G141+G61</f>
        <v>0</v>
      </c>
      <c r="H142" s="255">
        <f>+H141+H61</f>
        <v>0</v>
      </c>
      <c r="I142" s="255">
        <f>+I141+I61</f>
        <v>0</v>
      </c>
      <c r="J142" s="255">
        <f>+J$18+J61</f>
        <v>0</v>
      </c>
      <c r="K142" s="255"/>
      <c r="L142" s="565"/>
      <c r="M142" s="565"/>
      <c r="N142" s="565"/>
      <c r="P142" s="991">
        <f t="shared" si="16"/>
        <v>0</v>
      </c>
    </row>
    <row r="143" spans="2:16" ht="28.5" customHeight="1" x14ac:dyDescent="0.25">
      <c r="B143" s="1257" t="str">
        <f>"per 31/12/"&amp;$K$13</f>
        <v>per 31/12/2021</v>
      </c>
      <c r="C143" s="1258"/>
      <c r="D143" s="1258"/>
      <c r="E143" s="1259"/>
      <c r="F143" s="168"/>
      <c r="G143" s="255">
        <f>+G142+G62</f>
        <v>0</v>
      </c>
      <c r="H143" s="255">
        <f>+H142+H62</f>
        <v>0</v>
      </c>
      <c r="I143" s="255">
        <f>+I142+I62</f>
        <v>0</v>
      </c>
      <c r="J143" s="255">
        <f>+J142+J62</f>
        <v>0</v>
      </c>
      <c r="K143" s="255">
        <f>+K$18+K62</f>
        <v>0</v>
      </c>
      <c r="L143" s="565"/>
      <c r="M143" s="565"/>
      <c r="N143" s="565"/>
      <c r="P143" s="991">
        <f t="shared" si="16"/>
        <v>0</v>
      </c>
    </row>
    <row r="144" spans="2:16" ht="28.5" customHeight="1" x14ac:dyDescent="0.25">
      <c r="B144" s="1248" t="str">
        <f>"per 31/12/"&amp;$L$13</f>
        <v>per 31/12/2022</v>
      </c>
      <c r="C144" s="1249"/>
      <c r="D144" s="1249"/>
      <c r="E144" s="1250"/>
      <c r="F144" s="314"/>
      <c r="G144" s="565">
        <f>+G143+G63</f>
        <v>0</v>
      </c>
      <c r="H144" s="565">
        <f>+H143+H63</f>
        <v>0</v>
      </c>
      <c r="I144" s="565">
        <f>+I143+I63</f>
        <v>0</v>
      </c>
      <c r="J144" s="565">
        <f>+J143+J63</f>
        <v>0</v>
      </c>
      <c r="K144" s="565">
        <f>+K143+K63</f>
        <v>0</v>
      </c>
      <c r="L144" s="565">
        <f>+L$18+L63</f>
        <v>0</v>
      </c>
      <c r="M144" s="565"/>
      <c r="N144" s="565"/>
      <c r="O144" s="845"/>
      <c r="P144" s="994">
        <f t="shared" si="16"/>
        <v>0</v>
      </c>
    </row>
    <row r="145" spans="2:16" ht="28.5" customHeight="1" x14ac:dyDescent="0.25">
      <c r="B145" s="1248" t="str">
        <f>"per 31/12/"&amp;$M$13</f>
        <v>per 31/12/2023</v>
      </c>
      <c r="C145" s="1249"/>
      <c r="D145" s="1249"/>
      <c r="E145" s="1250"/>
      <c r="F145" s="314"/>
      <c r="G145" s="565"/>
      <c r="H145" s="565"/>
      <c r="I145" s="565"/>
      <c r="J145" s="565"/>
      <c r="K145" s="565">
        <f>+K144+K64</f>
        <v>0</v>
      </c>
      <c r="L145" s="565">
        <f>+L144+L64</f>
        <v>0</v>
      </c>
      <c r="M145" s="565">
        <f>+M$18+M64</f>
        <v>0</v>
      </c>
      <c r="N145" s="565"/>
      <c r="O145" s="845"/>
      <c r="P145" s="994">
        <f t="shared" si="16"/>
        <v>0</v>
      </c>
    </row>
    <row r="146" spans="2:16" ht="28.5" customHeight="1" x14ac:dyDescent="0.25">
      <c r="B146" s="1248" t="str">
        <f>"per 31/12/"&amp;$N$13</f>
        <v>per 31/12/2024</v>
      </c>
      <c r="C146" s="1249"/>
      <c r="D146" s="1249"/>
      <c r="E146" s="1250"/>
      <c r="F146" s="314"/>
      <c r="G146" s="565"/>
      <c r="H146" s="565"/>
      <c r="I146" s="565"/>
      <c r="J146" s="565"/>
      <c r="K146" s="565"/>
      <c r="L146" s="565">
        <f>+L145+L65</f>
        <v>0</v>
      </c>
      <c r="M146" s="565">
        <f>+M145+M65</f>
        <v>0</v>
      </c>
      <c r="N146" s="565">
        <f>+N$18+N65</f>
        <v>0</v>
      </c>
      <c r="O146" s="845"/>
      <c r="P146" s="994">
        <f t="shared" si="16"/>
        <v>0</v>
      </c>
    </row>
    <row r="147" spans="2:16" ht="27" customHeight="1" x14ac:dyDescent="0.25">
      <c r="B147" s="1260" t="s">
        <v>119</v>
      </c>
      <c r="C147" s="1260"/>
      <c r="D147" s="1260"/>
      <c r="E147" s="1260"/>
      <c r="F147" s="168"/>
      <c r="G147" s="992"/>
      <c r="H147" s="992"/>
      <c r="I147" s="992"/>
      <c r="J147" s="992"/>
      <c r="K147" s="992"/>
      <c r="L147" s="993"/>
      <c r="M147" s="993"/>
      <c r="N147" s="993"/>
      <c r="P147" s="992"/>
    </row>
    <row r="148" spans="2:16" ht="28.5" customHeight="1" x14ac:dyDescent="0.25">
      <c r="B148" s="1257" t="str">
        <f>"per 31/12/"&amp;$G$13</f>
        <v>per 31/12/2017</v>
      </c>
      <c r="C148" s="1258"/>
      <c r="D148" s="1258"/>
      <c r="E148" s="1259"/>
      <c r="F148" s="168"/>
      <c r="G148" s="1030">
        <f>+G$19+G67</f>
        <v>0</v>
      </c>
      <c r="H148" s="255"/>
      <c r="I148" s="255"/>
      <c r="J148" s="255"/>
      <c r="K148" s="255"/>
      <c r="L148" s="565"/>
      <c r="M148" s="565"/>
      <c r="N148" s="565"/>
      <c r="P148" s="991">
        <f>SUM(G148:N148)</f>
        <v>0</v>
      </c>
    </row>
    <row r="149" spans="2:16" ht="28.5" customHeight="1" x14ac:dyDescent="0.25">
      <c r="B149" s="1257" t="str">
        <f>"per 31/12/"&amp;$H$13</f>
        <v>per 31/12/2018</v>
      </c>
      <c r="C149" s="1258"/>
      <c r="D149" s="1258"/>
      <c r="E149" s="1259"/>
      <c r="F149" s="168"/>
      <c r="G149" s="255">
        <f>+G148+G68</f>
        <v>0</v>
      </c>
      <c r="H149" s="255">
        <f>+H$19+H68</f>
        <v>0</v>
      </c>
      <c r="I149" s="255"/>
      <c r="J149" s="255"/>
      <c r="K149" s="255"/>
      <c r="L149" s="565"/>
      <c r="M149" s="565"/>
      <c r="N149" s="565"/>
      <c r="P149" s="991">
        <f t="shared" ref="P149:P153" si="17">SUM(G149:N149)</f>
        <v>0</v>
      </c>
    </row>
    <row r="150" spans="2:16" ht="28.5" customHeight="1" x14ac:dyDescent="0.25">
      <c r="B150" s="1257" t="str">
        <f>"per 31/12/"&amp;$I$13</f>
        <v>per 31/12/2019</v>
      </c>
      <c r="C150" s="1258"/>
      <c r="D150" s="1258"/>
      <c r="E150" s="1259"/>
      <c r="F150" s="168"/>
      <c r="G150" s="255">
        <f>+G149+G69</f>
        <v>0</v>
      </c>
      <c r="H150" s="255">
        <f>+H149+H69</f>
        <v>0</v>
      </c>
      <c r="I150" s="255">
        <f>+I$19+I69</f>
        <v>0</v>
      </c>
      <c r="J150" s="255"/>
      <c r="K150" s="255"/>
      <c r="L150" s="565"/>
      <c r="M150" s="565"/>
      <c r="N150" s="565"/>
      <c r="P150" s="991">
        <f t="shared" si="17"/>
        <v>0</v>
      </c>
    </row>
    <row r="151" spans="2:16" ht="28.5" customHeight="1" x14ac:dyDescent="0.25">
      <c r="B151" s="1257" t="str">
        <f>"per 31/12/"&amp;$J$13</f>
        <v>per 31/12/2020</v>
      </c>
      <c r="C151" s="1258"/>
      <c r="D151" s="1258"/>
      <c r="E151" s="1259"/>
      <c r="F151" s="168"/>
      <c r="G151" s="255">
        <f>+G150+G70</f>
        <v>0</v>
      </c>
      <c r="H151" s="255">
        <f>+H150+H70</f>
        <v>0</v>
      </c>
      <c r="I151" s="255">
        <f>+I150+I70</f>
        <v>0</v>
      </c>
      <c r="J151" s="255">
        <f>+J$19+J70</f>
        <v>0</v>
      </c>
      <c r="K151" s="255"/>
      <c r="L151" s="565"/>
      <c r="M151" s="565"/>
      <c r="N151" s="565"/>
      <c r="P151" s="991">
        <f t="shared" si="17"/>
        <v>0</v>
      </c>
    </row>
    <row r="152" spans="2:16" ht="28.5" customHeight="1" x14ac:dyDescent="0.25">
      <c r="B152" s="1257" t="str">
        <f>"per 31/12/"&amp;$K$13</f>
        <v>per 31/12/2021</v>
      </c>
      <c r="C152" s="1258"/>
      <c r="D152" s="1258"/>
      <c r="E152" s="1259"/>
      <c r="F152" s="168"/>
      <c r="G152" s="255">
        <f>+G151+G71</f>
        <v>0</v>
      </c>
      <c r="H152" s="255">
        <f>+H151+H71</f>
        <v>0</v>
      </c>
      <c r="I152" s="255">
        <f>+I151+I71</f>
        <v>0</v>
      </c>
      <c r="J152" s="255">
        <f>+J151+J71</f>
        <v>0</v>
      </c>
      <c r="K152" s="255"/>
      <c r="L152" s="565"/>
      <c r="M152" s="565"/>
      <c r="N152" s="565"/>
      <c r="P152" s="991">
        <f t="shared" si="17"/>
        <v>0</v>
      </c>
    </row>
    <row r="153" spans="2:16" ht="28.5" customHeight="1" x14ac:dyDescent="0.25">
      <c r="B153" s="1248" t="str">
        <f>"per 31/12/"&amp;$L$13</f>
        <v>per 31/12/2022</v>
      </c>
      <c r="C153" s="1249"/>
      <c r="D153" s="1249"/>
      <c r="E153" s="1250"/>
      <c r="F153" s="314"/>
      <c r="G153" s="565">
        <f>+G152+G72</f>
        <v>0</v>
      </c>
      <c r="H153" s="565">
        <f>+H152+H72</f>
        <v>0</v>
      </c>
      <c r="I153" s="565">
        <f>+I152+I72</f>
        <v>0</v>
      </c>
      <c r="J153" s="565">
        <f>+J152+J72</f>
        <v>0</v>
      </c>
      <c r="K153" s="565"/>
      <c r="L153" s="565"/>
      <c r="M153" s="565"/>
      <c r="N153" s="565"/>
      <c r="O153" s="845"/>
      <c r="P153" s="994">
        <f t="shared" si="17"/>
        <v>0</v>
      </c>
    </row>
    <row r="154" spans="2:16" ht="28.5" customHeight="1" x14ac:dyDescent="0.25">
      <c r="B154" s="1248" t="str">
        <f>"per 31/12/"&amp;$M$13</f>
        <v>per 31/12/2023</v>
      </c>
      <c r="C154" s="1249"/>
      <c r="D154" s="1249"/>
      <c r="E154" s="1250"/>
      <c r="F154" s="314"/>
      <c r="G154" s="565"/>
      <c r="H154" s="565"/>
      <c r="I154" s="565"/>
      <c r="J154" s="565"/>
      <c r="K154" s="565"/>
      <c r="L154" s="565"/>
      <c r="M154" s="565"/>
      <c r="N154" s="565"/>
      <c r="O154" s="845"/>
      <c r="P154" s="994"/>
    </row>
    <row r="155" spans="2:16" ht="28.5" customHeight="1" x14ac:dyDescent="0.25">
      <c r="B155" s="1248" t="str">
        <f>"per 31/12/"&amp;$N$13</f>
        <v>per 31/12/2024</v>
      </c>
      <c r="C155" s="1249"/>
      <c r="D155" s="1249"/>
      <c r="E155" s="1250"/>
      <c r="F155" s="314"/>
      <c r="G155" s="565"/>
      <c r="H155" s="565"/>
      <c r="I155" s="565"/>
      <c r="J155" s="565"/>
      <c r="K155" s="565"/>
      <c r="L155" s="565"/>
      <c r="M155" s="565"/>
      <c r="N155" s="565"/>
      <c r="O155" s="845"/>
      <c r="P155" s="994"/>
    </row>
    <row r="156" spans="2:16" ht="26.25" customHeight="1" x14ac:dyDescent="0.25">
      <c r="B156" s="1254" t="s">
        <v>118</v>
      </c>
      <c r="C156" s="1255"/>
      <c r="D156" s="1255"/>
      <c r="E156" s="1256"/>
      <c r="F156" s="168"/>
      <c r="G156" s="992"/>
      <c r="H156" s="992"/>
      <c r="I156" s="992"/>
      <c r="J156" s="992"/>
      <c r="K156" s="992"/>
      <c r="L156" s="993"/>
      <c r="M156" s="993"/>
      <c r="N156" s="993"/>
      <c r="P156" s="992"/>
    </row>
    <row r="157" spans="2:16" ht="28.5" customHeight="1" x14ac:dyDescent="0.25">
      <c r="B157" s="1257" t="str">
        <f>"per 31/12/"&amp;$G$13</f>
        <v>per 31/12/2017</v>
      </c>
      <c r="C157" s="1258"/>
      <c r="D157" s="1258"/>
      <c r="E157" s="1259"/>
      <c r="F157" s="168"/>
      <c r="G157" s="1030">
        <f>+G$20+G76</f>
        <v>0</v>
      </c>
      <c r="H157" s="255"/>
      <c r="I157" s="255"/>
      <c r="J157" s="255"/>
      <c r="K157" s="255"/>
      <c r="L157" s="565"/>
      <c r="M157" s="565"/>
      <c r="N157" s="565"/>
      <c r="P157" s="991">
        <f t="shared" ref="P157:P164" si="18">SUM(G157:N157)</f>
        <v>0</v>
      </c>
    </row>
    <row r="158" spans="2:16" ht="28.5" customHeight="1" x14ac:dyDescent="0.25">
      <c r="B158" s="1257" t="str">
        <f>"per 31/12/"&amp;$H$13</f>
        <v>per 31/12/2018</v>
      </c>
      <c r="C158" s="1258"/>
      <c r="D158" s="1258"/>
      <c r="E158" s="1259"/>
      <c r="F158" s="168"/>
      <c r="G158" s="255">
        <f>+G157+G77</f>
        <v>0</v>
      </c>
      <c r="H158" s="255">
        <f>+H$20+H77</f>
        <v>0</v>
      </c>
      <c r="I158" s="255"/>
      <c r="J158" s="255"/>
      <c r="K158" s="255"/>
      <c r="L158" s="565"/>
      <c r="M158" s="565"/>
      <c r="N158" s="565"/>
      <c r="P158" s="991">
        <f t="shared" si="18"/>
        <v>0</v>
      </c>
    </row>
    <row r="159" spans="2:16" ht="28.5" customHeight="1" x14ac:dyDescent="0.25">
      <c r="B159" s="1257" t="str">
        <f>"per 31/12/"&amp;$I$13</f>
        <v>per 31/12/2019</v>
      </c>
      <c r="C159" s="1258"/>
      <c r="D159" s="1258"/>
      <c r="E159" s="1259"/>
      <c r="F159" s="168"/>
      <c r="G159" s="255">
        <f>+G158+G78</f>
        <v>0</v>
      </c>
      <c r="H159" s="255">
        <f>+H158+H78</f>
        <v>0</v>
      </c>
      <c r="I159" s="255">
        <f>+I$20+I78</f>
        <v>0</v>
      </c>
      <c r="J159" s="255"/>
      <c r="K159" s="255"/>
      <c r="L159" s="565"/>
      <c r="M159" s="565"/>
      <c r="N159" s="565"/>
      <c r="P159" s="991">
        <f t="shared" si="18"/>
        <v>0</v>
      </c>
    </row>
    <row r="160" spans="2:16" ht="28.5" customHeight="1" x14ac:dyDescent="0.25">
      <c r="B160" s="1257" t="str">
        <f>"per 31/12/"&amp;$J$13</f>
        <v>per 31/12/2020</v>
      </c>
      <c r="C160" s="1258"/>
      <c r="D160" s="1258"/>
      <c r="E160" s="1259"/>
      <c r="F160" s="168"/>
      <c r="G160" s="255">
        <f>+G159+G79</f>
        <v>0</v>
      </c>
      <c r="H160" s="255">
        <f>+H159+H79</f>
        <v>0</v>
      </c>
      <c r="I160" s="255">
        <f>+I159+I79</f>
        <v>0</v>
      </c>
      <c r="J160" s="255">
        <f>+J$20+J79</f>
        <v>0</v>
      </c>
      <c r="K160" s="255"/>
      <c r="L160" s="565"/>
      <c r="M160" s="565"/>
      <c r="N160" s="565"/>
      <c r="P160" s="991">
        <f t="shared" si="18"/>
        <v>0</v>
      </c>
    </row>
    <row r="161" spans="2:16" ht="28.5" customHeight="1" x14ac:dyDescent="0.25">
      <c r="B161" s="1257" t="str">
        <f>"per 31/12/"&amp;$K$13</f>
        <v>per 31/12/2021</v>
      </c>
      <c r="C161" s="1258"/>
      <c r="D161" s="1258"/>
      <c r="E161" s="1259"/>
      <c r="F161" s="168"/>
      <c r="G161" s="255">
        <f>+G160+G80</f>
        <v>0</v>
      </c>
      <c r="H161" s="255">
        <f>+H160+H80</f>
        <v>0</v>
      </c>
      <c r="I161" s="255">
        <f>+I160+I80</f>
        <v>0</v>
      </c>
      <c r="J161" s="255">
        <f>+J160+J80</f>
        <v>0</v>
      </c>
      <c r="K161" s="255">
        <f>+K$20+K80</f>
        <v>0</v>
      </c>
      <c r="L161" s="565"/>
      <c r="M161" s="565"/>
      <c r="N161" s="565"/>
      <c r="P161" s="991">
        <f t="shared" si="18"/>
        <v>0</v>
      </c>
    </row>
    <row r="162" spans="2:16" ht="28.5" customHeight="1" x14ac:dyDescent="0.25">
      <c r="B162" s="1248" t="str">
        <f>"per 31/12/"&amp;$L$13</f>
        <v>per 31/12/2022</v>
      </c>
      <c r="C162" s="1249"/>
      <c r="D162" s="1249"/>
      <c r="E162" s="1250"/>
      <c r="F162" s="314"/>
      <c r="G162" s="565">
        <f>+G161+G81</f>
        <v>0</v>
      </c>
      <c r="H162" s="565">
        <f>+H161+H81</f>
        <v>0</v>
      </c>
      <c r="I162" s="565">
        <f>+I161+I81</f>
        <v>0</v>
      </c>
      <c r="J162" s="565">
        <f>+J161+J81</f>
        <v>0</v>
      </c>
      <c r="K162" s="565">
        <f>+K161+K81</f>
        <v>0</v>
      </c>
      <c r="L162" s="565">
        <f>+L$20+L81</f>
        <v>0</v>
      </c>
      <c r="M162" s="565"/>
      <c r="N162" s="565"/>
      <c r="O162" s="845"/>
      <c r="P162" s="994">
        <f t="shared" si="18"/>
        <v>0</v>
      </c>
    </row>
    <row r="163" spans="2:16" ht="28.5" customHeight="1" x14ac:dyDescent="0.25">
      <c r="B163" s="1248" t="str">
        <f>"per 31/12/"&amp;$M$13</f>
        <v>per 31/12/2023</v>
      </c>
      <c r="C163" s="1249"/>
      <c r="D163" s="1249"/>
      <c r="E163" s="1250"/>
      <c r="F163" s="314"/>
      <c r="G163" s="565"/>
      <c r="H163" s="565"/>
      <c r="I163" s="565"/>
      <c r="J163" s="565"/>
      <c r="K163" s="565">
        <f>+K162+K82</f>
        <v>0</v>
      </c>
      <c r="L163" s="565">
        <f>+L162+L82</f>
        <v>0</v>
      </c>
      <c r="M163" s="565">
        <f>+M$20+M82</f>
        <v>0</v>
      </c>
      <c r="N163" s="565"/>
      <c r="O163" s="845"/>
      <c r="P163" s="994">
        <f t="shared" si="18"/>
        <v>0</v>
      </c>
    </row>
    <row r="164" spans="2:16" ht="28.5" customHeight="1" x14ac:dyDescent="0.25">
      <c r="B164" s="1248" t="str">
        <f>"per 31/12/"&amp;$N$13</f>
        <v>per 31/12/2024</v>
      </c>
      <c r="C164" s="1249"/>
      <c r="D164" s="1249"/>
      <c r="E164" s="1250"/>
      <c r="F164" s="314"/>
      <c r="G164" s="565"/>
      <c r="H164" s="565"/>
      <c r="I164" s="565"/>
      <c r="J164" s="565"/>
      <c r="K164" s="565"/>
      <c r="L164" s="565">
        <f>+L163+L83</f>
        <v>0</v>
      </c>
      <c r="M164" s="565">
        <f>+M163+M83</f>
        <v>0</v>
      </c>
      <c r="N164" s="565">
        <f>+N$20+N83</f>
        <v>0</v>
      </c>
      <c r="O164" s="845"/>
      <c r="P164" s="994">
        <f t="shared" si="18"/>
        <v>0</v>
      </c>
    </row>
    <row r="165" spans="2:16" ht="33" customHeight="1" x14ac:dyDescent="0.25">
      <c r="B165" s="1254" t="s">
        <v>68</v>
      </c>
      <c r="C165" s="1255"/>
      <c r="D165" s="1255"/>
      <c r="E165" s="1256"/>
      <c r="F165" s="168"/>
      <c r="G165" s="992"/>
      <c r="H165" s="992"/>
      <c r="I165" s="992"/>
      <c r="J165" s="992"/>
      <c r="K165" s="992"/>
      <c r="L165" s="993"/>
      <c r="M165" s="993"/>
      <c r="N165" s="993"/>
      <c r="P165" s="992"/>
    </row>
    <row r="166" spans="2:16" ht="28.5" customHeight="1" x14ac:dyDescent="0.25">
      <c r="B166" s="1257" t="str">
        <f>"per 31/12/"&amp;$G$13</f>
        <v>per 31/12/2017</v>
      </c>
      <c r="C166" s="1258"/>
      <c r="D166" s="1258"/>
      <c r="E166" s="1259"/>
      <c r="F166" s="168"/>
      <c r="G166" s="1030">
        <f>+G$21+G85</f>
        <v>0</v>
      </c>
      <c r="H166" s="255"/>
      <c r="I166" s="255"/>
      <c r="J166" s="255"/>
      <c r="K166" s="255"/>
      <c r="L166" s="565"/>
      <c r="M166" s="565"/>
      <c r="N166" s="565"/>
      <c r="P166" s="991">
        <f t="shared" ref="P166:P173" si="19">SUM(G166:N166)</f>
        <v>0</v>
      </c>
    </row>
    <row r="167" spans="2:16" ht="28.5" customHeight="1" x14ac:dyDescent="0.25">
      <c r="B167" s="1257" t="str">
        <f>"per 31/12/"&amp;$H$13</f>
        <v>per 31/12/2018</v>
      </c>
      <c r="C167" s="1258"/>
      <c r="D167" s="1258"/>
      <c r="E167" s="1259"/>
      <c r="F167" s="168"/>
      <c r="G167" s="255">
        <f>+G166+G86</f>
        <v>0</v>
      </c>
      <c r="H167" s="255">
        <f>+H$21+H86</f>
        <v>0</v>
      </c>
      <c r="I167" s="255"/>
      <c r="J167" s="255"/>
      <c r="K167" s="255"/>
      <c r="L167" s="565"/>
      <c r="M167" s="565"/>
      <c r="N167" s="565"/>
      <c r="P167" s="991">
        <f t="shared" si="19"/>
        <v>0</v>
      </c>
    </row>
    <row r="168" spans="2:16" ht="28.5" customHeight="1" x14ac:dyDescent="0.25">
      <c r="B168" s="1257" t="str">
        <f>"per 31/12/"&amp;$I$13</f>
        <v>per 31/12/2019</v>
      </c>
      <c r="C168" s="1258"/>
      <c r="D168" s="1258"/>
      <c r="E168" s="1259"/>
      <c r="F168" s="168"/>
      <c r="G168" s="255">
        <f>+G167+G87</f>
        <v>0</v>
      </c>
      <c r="H168" s="255">
        <f>+H167+H87</f>
        <v>0</v>
      </c>
      <c r="I168" s="255">
        <f>+I$21+I87</f>
        <v>0</v>
      </c>
      <c r="J168" s="255"/>
      <c r="K168" s="255"/>
      <c r="L168" s="565"/>
      <c r="M168" s="565"/>
      <c r="N168" s="565"/>
      <c r="P168" s="991">
        <f t="shared" si="19"/>
        <v>0</v>
      </c>
    </row>
    <row r="169" spans="2:16" ht="28.5" customHeight="1" x14ac:dyDescent="0.25">
      <c r="B169" s="1257" t="str">
        <f>"per 31/12/"&amp;$J$13</f>
        <v>per 31/12/2020</v>
      </c>
      <c r="C169" s="1258"/>
      <c r="D169" s="1258"/>
      <c r="E169" s="1259"/>
      <c r="F169" s="168"/>
      <c r="G169" s="255">
        <f>+G168+G88</f>
        <v>0</v>
      </c>
      <c r="H169" s="255">
        <f>+H168+H88</f>
        <v>0</v>
      </c>
      <c r="I169" s="255">
        <f>+I168+I88</f>
        <v>0</v>
      </c>
      <c r="J169" s="255">
        <f>+J$21+J88</f>
        <v>0</v>
      </c>
      <c r="K169" s="255"/>
      <c r="L169" s="565"/>
      <c r="M169" s="565"/>
      <c r="N169" s="565"/>
      <c r="P169" s="991">
        <f t="shared" si="19"/>
        <v>0</v>
      </c>
    </row>
    <row r="170" spans="2:16" ht="28.5" customHeight="1" x14ac:dyDescent="0.25">
      <c r="B170" s="1257" t="str">
        <f>"per 31/12/"&amp;$K$13</f>
        <v>per 31/12/2021</v>
      </c>
      <c r="C170" s="1258"/>
      <c r="D170" s="1258"/>
      <c r="E170" s="1259"/>
      <c r="F170" s="168"/>
      <c r="G170" s="255">
        <f>+G169+G89</f>
        <v>0</v>
      </c>
      <c r="H170" s="255">
        <f>+H169+H89</f>
        <v>0</v>
      </c>
      <c r="I170" s="255">
        <f>+I169+I89</f>
        <v>0</v>
      </c>
      <c r="J170" s="255">
        <f>+J169+J89</f>
        <v>0</v>
      </c>
      <c r="K170" s="255">
        <f>+K$21+K89</f>
        <v>0</v>
      </c>
      <c r="L170" s="565"/>
      <c r="M170" s="565"/>
      <c r="N170" s="565"/>
      <c r="P170" s="991">
        <f t="shared" si="19"/>
        <v>0</v>
      </c>
    </row>
    <row r="171" spans="2:16" ht="28.5" customHeight="1" x14ac:dyDescent="0.25">
      <c r="B171" s="1248" t="str">
        <f>"per 31/12/"&amp;$L$13</f>
        <v>per 31/12/2022</v>
      </c>
      <c r="C171" s="1249"/>
      <c r="D171" s="1249"/>
      <c r="E171" s="1250"/>
      <c r="F171" s="314"/>
      <c r="G171" s="565">
        <f>+G170+G90</f>
        <v>0</v>
      </c>
      <c r="H171" s="565">
        <f>+H170+H90</f>
        <v>0</v>
      </c>
      <c r="I171" s="565">
        <f>+I170+I90</f>
        <v>0</v>
      </c>
      <c r="J171" s="565">
        <f>+J170+J90</f>
        <v>0</v>
      </c>
      <c r="K171" s="565">
        <f>+K170+K90</f>
        <v>0</v>
      </c>
      <c r="L171" s="565">
        <f>+L$21+L90</f>
        <v>0</v>
      </c>
      <c r="M171" s="565"/>
      <c r="N171" s="565"/>
      <c r="O171" s="845"/>
      <c r="P171" s="994">
        <f t="shared" si="19"/>
        <v>0</v>
      </c>
    </row>
    <row r="172" spans="2:16" ht="28.5" customHeight="1" x14ac:dyDescent="0.25">
      <c r="B172" s="1248" t="str">
        <f>"per 31/12/"&amp;$M$13</f>
        <v>per 31/12/2023</v>
      </c>
      <c r="C172" s="1249"/>
      <c r="D172" s="1249"/>
      <c r="E172" s="1250"/>
      <c r="F172" s="314"/>
      <c r="G172" s="565"/>
      <c r="H172" s="565"/>
      <c r="I172" s="565"/>
      <c r="J172" s="565"/>
      <c r="K172" s="565">
        <f>+K171+K91</f>
        <v>0</v>
      </c>
      <c r="L172" s="565">
        <f>+L171+L91</f>
        <v>0</v>
      </c>
      <c r="M172" s="565">
        <f>+M$21+M91</f>
        <v>0</v>
      </c>
      <c r="N172" s="565"/>
      <c r="O172" s="845"/>
      <c r="P172" s="994">
        <f t="shared" si="19"/>
        <v>0</v>
      </c>
    </row>
    <row r="173" spans="2:16" ht="28.5" customHeight="1" x14ac:dyDescent="0.25">
      <c r="B173" s="1248" t="str">
        <f>"per 31/12/"&amp;$N$13</f>
        <v>per 31/12/2024</v>
      </c>
      <c r="C173" s="1249"/>
      <c r="D173" s="1249"/>
      <c r="E173" s="1250"/>
      <c r="F173" s="314"/>
      <c r="G173" s="565"/>
      <c r="H173" s="565"/>
      <c r="I173" s="565"/>
      <c r="J173" s="565"/>
      <c r="K173" s="565"/>
      <c r="L173" s="565">
        <f>+L172+L92</f>
        <v>0</v>
      </c>
      <c r="M173" s="565">
        <f>+M172+M92</f>
        <v>0</v>
      </c>
      <c r="N173" s="565">
        <f>+N$21+N92</f>
        <v>0</v>
      </c>
      <c r="O173" s="845"/>
      <c r="P173" s="994">
        <f t="shared" si="19"/>
        <v>0</v>
      </c>
    </row>
    <row r="174" spans="2:16" ht="13" x14ac:dyDescent="0.25">
      <c r="G174" s="306"/>
      <c r="H174" s="306"/>
      <c r="I174" s="306"/>
      <c r="J174" s="306"/>
      <c r="K174" s="306"/>
      <c r="L174" s="839"/>
      <c r="M174" s="839"/>
      <c r="N174" s="839"/>
      <c r="P174" s="307"/>
    </row>
    <row r="175" spans="2:16" s="224" customFormat="1" ht="13" x14ac:dyDescent="0.25">
      <c r="B175" s="315"/>
      <c r="C175" s="316"/>
      <c r="D175" s="316"/>
      <c r="E175" s="317"/>
      <c r="F175" s="283"/>
      <c r="G175" s="166">
        <v>2017</v>
      </c>
      <c r="H175" s="166">
        <f>+G175+1</f>
        <v>2018</v>
      </c>
      <c r="I175" s="166">
        <f>+H175+1</f>
        <v>2019</v>
      </c>
      <c r="J175" s="166">
        <f t="shared" ref="J175:N175" si="20">+I175+1</f>
        <v>2020</v>
      </c>
      <c r="K175" s="166">
        <f t="shared" si="20"/>
        <v>2021</v>
      </c>
      <c r="L175" s="837">
        <f t="shared" si="20"/>
        <v>2022</v>
      </c>
      <c r="M175" s="837">
        <f t="shared" si="20"/>
        <v>2023</v>
      </c>
      <c r="N175" s="837">
        <f t="shared" si="20"/>
        <v>2024</v>
      </c>
      <c r="O175" s="209"/>
      <c r="P175" s="166" t="s">
        <v>20</v>
      </c>
    </row>
    <row r="176" spans="2:16" ht="20.25" customHeight="1" x14ac:dyDescent="0.25">
      <c r="B176" s="1251" t="s">
        <v>158</v>
      </c>
      <c r="C176" s="1252"/>
      <c r="D176" s="1252"/>
      <c r="E176" s="1253"/>
      <c r="F176" s="170"/>
      <c r="G176" s="171"/>
      <c r="H176" s="171"/>
      <c r="I176" s="171"/>
      <c r="J176" s="171"/>
      <c r="K176" s="171"/>
      <c r="L176" s="843"/>
      <c r="M176" s="843"/>
      <c r="N176" s="843"/>
      <c r="P176" s="171"/>
    </row>
    <row r="177" spans="1:16" ht="28.5" customHeight="1" x14ac:dyDescent="0.25">
      <c r="A177" s="209">
        <v>2017</v>
      </c>
      <c r="B177" s="1240" t="str">
        <f>"per 31/12/"&amp;$G$13</f>
        <v>per 31/12/2017</v>
      </c>
      <c r="C177" s="1241"/>
      <c r="D177" s="1241"/>
      <c r="E177" s="1242"/>
      <c r="F177" s="318"/>
      <c r="G177" s="995">
        <f t="shared" ref="G177:G182" si="21">SUMIFS(G$112:G$173,$B$112:$B$173,$B177)</f>
        <v>0</v>
      </c>
      <c r="H177" s="995"/>
      <c r="I177" s="995"/>
      <c r="J177" s="995"/>
      <c r="K177" s="995"/>
      <c r="L177" s="996"/>
      <c r="M177" s="996"/>
      <c r="N177" s="996"/>
      <c r="P177" s="997">
        <f t="shared" ref="P177:P184" si="22">SUMIFS(P$112:P$173,$B$112:$B$173,$B177)</f>
        <v>0</v>
      </c>
    </row>
    <row r="178" spans="1:16" ht="28.5" customHeight="1" x14ac:dyDescent="0.25">
      <c r="A178" s="209">
        <v>2018</v>
      </c>
      <c r="B178" s="1240" t="str">
        <f>"per 31/12/"&amp;$H$13</f>
        <v>per 31/12/2018</v>
      </c>
      <c r="C178" s="1241"/>
      <c r="D178" s="1241"/>
      <c r="E178" s="1242"/>
      <c r="F178" s="318"/>
      <c r="G178" s="995">
        <f t="shared" si="21"/>
        <v>0</v>
      </c>
      <c r="H178" s="995">
        <f>SUMIFS(H$112:H$173,$B$112:$B$173,$B178)</f>
        <v>0</v>
      </c>
      <c r="I178" s="995"/>
      <c r="J178" s="995"/>
      <c r="K178" s="995"/>
      <c r="L178" s="996"/>
      <c r="M178" s="996"/>
      <c r="N178" s="996"/>
      <c r="P178" s="997">
        <f t="shared" si="22"/>
        <v>0</v>
      </c>
    </row>
    <row r="179" spans="1:16" ht="28.5" customHeight="1" x14ac:dyDescent="0.25">
      <c r="A179" s="209">
        <v>2019</v>
      </c>
      <c r="B179" s="1240" t="str">
        <f>"per 31/12/"&amp;$I$13</f>
        <v>per 31/12/2019</v>
      </c>
      <c r="C179" s="1241"/>
      <c r="D179" s="1241"/>
      <c r="E179" s="1242"/>
      <c r="F179" s="318"/>
      <c r="G179" s="995">
        <f t="shared" si="21"/>
        <v>0</v>
      </c>
      <c r="H179" s="995">
        <f>SUMIFS(H$112:H$173,$B$112:$B$173,$B179)</f>
        <v>0</v>
      </c>
      <c r="I179" s="995">
        <f>SUMIFS(I$112:I$173,$B$112:$B$173,$B179)</f>
        <v>0</v>
      </c>
      <c r="J179" s="995"/>
      <c r="K179" s="995"/>
      <c r="L179" s="996"/>
      <c r="M179" s="996"/>
      <c r="N179" s="996"/>
      <c r="P179" s="997">
        <f t="shared" si="22"/>
        <v>0</v>
      </c>
    </row>
    <row r="180" spans="1:16" ht="28.5" customHeight="1" x14ac:dyDescent="0.25">
      <c r="A180" s="209">
        <v>2020</v>
      </c>
      <c r="B180" s="1240" t="str">
        <f>"per 31/12/"&amp;$J$13</f>
        <v>per 31/12/2020</v>
      </c>
      <c r="C180" s="1241"/>
      <c r="D180" s="1241"/>
      <c r="E180" s="1242"/>
      <c r="F180" s="318"/>
      <c r="G180" s="995">
        <f t="shared" si="21"/>
        <v>0</v>
      </c>
      <c r="H180" s="995">
        <f>SUMIFS(H$112:H$173,$B$112:$B$173,$B180)</f>
        <v>0</v>
      </c>
      <c r="I180" s="995">
        <f>SUMIFS(I$112:I$173,$B$112:$B$173,$B180)</f>
        <v>0</v>
      </c>
      <c r="J180" s="995">
        <f>SUMIFS(J$112:J$173,$B$112:$B$173,$B180)</f>
        <v>0</v>
      </c>
      <c r="K180" s="995"/>
      <c r="L180" s="996"/>
      <c r="M180" s="996"/>
      <c r="N180" s="996"/>
      <c r="P180" s="997">
        <f t="shared" si="22"/>
        <v>0</v>
      </c>
    </row>
    <row r="181" spans="1:16" ht="28.5" customHeight="1" x14ac:dyDescent="0.25">
      <c r="A181" s="209">
        <v>2021</v>
      </c>
      <c r="B181" s="1240" t="str">
        <f>"per 31/12/"&amp;$K$13</f>
        <v>per 31/12/2021</v>
      </c>
      <c r="C181" s="1241"/>
      <c r="D181" s="1241"/>
      <c r="E181" s="1242"/>
      <c r="F181" s="318"/>
      <c r="G181" s="995">
        <f t="shared" si="21"/>
        <v>0</v>
      </c>
      <c r="H181" s="995">
        <f>SUMIFS(H$112:H$173,$B$112:$B$173,$B181)</f>
        <v>0</v>
      </c>
      <c r="I181" s="995">
        <f>SUMIFS(I$112:I$173,$B$112:$B$173,$B181)</f>
        <v>0</v>
      </c>
      <c r="J181" s="995">
        <f>SUMIFS(J$112:J$173,$B$112:$B$173,$B181)</f>
        <v>0</v>
      </c>
      <c r="K181" s="995">
        <f>SUMIFS(K$112:K$173,$B$112:$B$173,$B181)</f>
        <v>0</v>
      </c>
      <c r="L181" s="996"/>
      <c r="M181" s="996"/>
      <c r="N181" s="996"/>
      <c r="P181" s="997">
        <f t="shared" si="22"/>
        <v>0</v>
      </c>
    </row>
    <row r="182" spans="1:16" ht="28.5" customHeight="1" x14ac:dyDescent="0.25">
      <c r="A182" s="209">
        <v>2022</v>
      </c>
      <c r="B182" s="1243" t="str">
        <f>"per 31/12/"&amp;$L$13</f>
        <v>per 31/12/2022</v>
      </c>
      <c r="C182" s="1244"/>
      <c r="D182" s="1244"/>
      <c r="E182" s="1245"/>
      <c r="F182" s="846"/>
      <c r="G182" s="996">
        <f t="shared" si="21"/>
        <v>0</v>
      </c>
      <c r="H182" s="996">
        <f>SUMIFS(H$112:H$173,$B$112:$B$173,$B182)</f>
        <v>0</v>
      </c>
      <c r="I182" s="996">
        <f>SUMIFS(I$112:I$173,$B$112:$B$173,$B182)</f>
        <v>0</v>
      </c>
      <c r="J182" s="996">
        <f>SUMIFS(J$112:J$173,$B$112:$B$173,$B182)</f>
        <v>0</v>
      </c>
      <c r="K182" s="996">
        <f>SUMIFS(K$112:K$173,$B$112:$B$173,$B182)</f>
        <v>0</v>
      </c>
      <c r="L182" s="996">
        <f>SUMIFS(L$112:L$173,$B$112:$B$173,$B182)</f>
        <v>0</v>
      </c>
      <c r="M182" s="996"/>
      <c r="N182" s="996"/>
      <c r="O182" s="845"/>
      <c r="P182" s="998">
        <f t="shared" si="22"/>
        <v>0</v>
      </c>
    </row>
    <row r="183" spans="1:16" ht="28.5" customHeight="1" x14ac:dyDescent="0.25">
      <c r="A183" s="209">
        <v>2023</v>
      </c>
      <c r="B183" s="1243" t="str">
        <f>"per 31/12/"&amp;$M$13</f>
        <v>per 31/12/2023</v>
      </c>
      <c r="C183" s="1244"/>
      <c r="D183" s="1244"/>
      <c r="E183" s="1245"/>
      <c r="F183" s="846"/>
      <c r="G183" s="996"/>
      <c r="H183" s="996"/>
      <c r="I183" s="996"/>
      <c r="J183" s="996"/>
      <c r="K183" s="996">
        <f>SUMIFS(K$112:K$173,$B$112:$B$173,$B183)</f>
        <v>0</v>
      </c>
      <c r="L183" s="996">
        <f>SUMIFS(L$112:L$173,$B$112:$B$173,$B183)</f>
        <v>0</v>
      </c>
      <c r="M183" s="996">
        <f>SUMIFS(M$112:M$173,$B$112:$B$173,$B183)</f>
        <v>0</v>
      </c>
      <c r="N183" s="996"/>
      <c r="O183" s="845"/>
      <c r="P183" s="998">
        <f t="shared" si="22"/>
        <v>0</v>
      </c>
    </row>
    <row r="184" spans="1:16" ht="28.5" customHeight="1" x14ac:dyDescent="0.25">
      <c r="A184" s="209">
        <v>2024</v>
      </c>
      <c r="B184" s="1243" t="str">
        <f>"per 31/12/"&amp;$N$13</f>
        <v>per 31/12/2024</v>
      </c>
      <c r="C184" s="1244"/>
      <c r="D184" s="1244"/>
      <c r="E184" s="1245"/>
      <c r="F184" s="846"/>
      <c r="G184" s="996"/>
      <c r="H184" s="996"/>
      <c r="I184" s="996"/>
      <c r="J184" s="996"/>
      <c r="K184" s="996"/>
      <c r="L184" s="996">
        <f>SUMIFS(L$112:L$173,$B$112:$B$173,$B184)</f>
        <v>0</v>
      </c>
      <c r="M184" s="996">
        <f>SUMIFS(M$112:M$173,$B$112:$B$173,$B184)</f>
        <v>0</v>
      </c>
      <c r="N184" s="996">
        <f>SUMIFS(N$112:N$173,$B$112:$B$173,$B184)</f>
        <v>0</v>
      </c>
      <c r="O184" s="845"/>
      <c r="P184" s="998">
        <f t="shared" si="22"/>
        <v>0</v>
      </c>
    </row>
    <row r="185" spans="1:16" s="572" customFormat="1" ht="13" x14ac:dyDescent="0.25">
      <c r="B185" s="1336" t="s">
        <v>134</v>
      </c>
      <c r="C185" s="1336"/>
      <c r="D185" s="1336"/>
      <c r="E185" s="1336"/>
      <c r="G185" s="573">
        <f>IF($E$2="ex-ante",(INDEX(G$177:G$184,MATCH($D$2,$A$177:$A$184,0),1))-T6A!C89,IF($E$2="ex-post",(INDEX(G$177:G$184,MATCH($D$2,$A$177:$A$184,0),1))-T6A!C89+SUMIFS(T6A!C$95:C$102,T6A!$B$95:$B$102,$D$2+1),"FOUT"))</f>
        <v>0</v>
      </c>
      <c r="H185" s="573">
        <f>IF($E$2="ex-ante",(INDEX(H$177:H$184,MATCH($D$2,$A$177:$A$184,0),1))-T6A!D89,IF($E$2="ex-post",(INDEX(H$177:H$184,MATCH($D$2,$A$177:$A$184,0),1))-T6A!D89+SUMIFS(T6A!D$95:D$102,T6A!$B$95:$B$102,$D$2+1),"FOUT"))</f>
        <v>0</v>
      </c>
      <c r="I185" s="573">
        <f>IF($E$2="ex-ante",(INDEX(I$177:I$184,MATCH($D$2,$A$177:$A$184,0),1))-T6A!E89,IF($E$2="ex-post",(INDEX(I$177:I$184,MATCH($D$2,$A$177:$A$184,0),1))-T6A!E89+SUMIFS(T6A!E$95:E$102,T6A!$B$95:$B$102,$D$2+1),"FOUT"))</f>
        <v>0</v>
      </c>
      <c r="J185" s="573">
        <f>IF($E$2="ex-ante",(INDEX(J$177:J$184,MATCH($D$2,$A$177:$A$184,0),1))-T6A!F89,IF($E$2="ex-post",(INDEX(J$177:J$184,MATCH($D$2,$A$177:$A$184,0),1))-T6A!F89+SUMIFS(T6A!F$95:F$102,T6A!$B$95:$B$102,$D$2+1),"FOUT"))</f>
        <v>0</v>
      </c>
      <c r="K185" s="871">
        <f>IF($E$2="ex-ante",(INDEX(K$177:K$184,MATCH($D$2,$A$177:$A$184,0),1))-T6A!G89,IF($E$2="ex-post",(INDEX(K$177:K$184,MATCH($D$2,$A$177:$A$184,0),1))-T6A!G89+SUMIFS(T6A!G$95:G$102,T6A!$B$95:$B$102,$D$2+1),"FOUT"))</f>
        <v>0</v>
      </c>
      <c r="L185" s="871">
        <f>IF($E$2="ex-ante",(INDEX(L$177:L$184,MATCH($D$2,$A$177:$A$184,0),1))-T6A!H89,IF($E$2="ex-post",(INDEX(L$177:L$184,MATCH($D$2,$A$177:$A$184,0),1))-T6A!H89+SUMIFS(T6A!H$95:H$102,T6A!$B$95:$B$102,$D$2+1),"FOUT"))</f>
        <v>0</v>
      </c>
      <c r="M185" s="871">
        <f>IF($E$2="ex-ante",(INDEX(M$177:M$184,MATCH($D$2,$A$177:$A$184,0),1))-T6A!I89,IF($E$2="ex-post",(INDEX(M$177:M$184,MATCH($D$2,$A$177:$A$184,0),1))-T6A!I89+SUMIFS(T6A!I$95:I$102,T6A!$B$95:$B$102,$D$2+1),"FOUT"))</f>
        <v>0</v>
      </c>
      <c r="N185" s="871">
        <f>IF($E$2="ex-ante",(INDEX(N$177:N$184,MATCH($D$2,$A$177:$A$184,0),1))-T6A!J89,IF($E$2="ex-post",(INDEX(N$177:N$184,MATCH($D$2,$A$177:$A$184,0),1))-T6A!J89+SUMIFS(T6A!J$95:J$102,T6A!$B$95:$B$102,$D$2+1),"FOUT"))</f>
        <v>0</v>
      </c>
      <c r="O185" s="574"/>
      <c r="P185" s="573">
        <f>IF($E$2="ex-ante",(INDEX(P$177:P$184,MATCH($D$2,$A$177:$A$184,0),1))-T6A!L89,IF($E$2="ex-post",(INDEX(P$177:P$184,MATCH($D$2,$A$177:$A$184,0),1))-T6A!L89+SUMIFS(T6A!L$95:L$102,T6A!$B$95:$B$102,$D$2+1),"FOUT"))</f>
        <v>0</v>
      </c>
    </row>
    <row r="186" spans="1:16" ht="13" x14ac:dyDescent="0.25">
      <c r="B186" s="310"/>
      <c r="C186" s="310"/>
      <c r="D186" s="310"/>
      <c r="E186" s="310"/>
      <c r="F186" s="311"/>
      <c r="G186" s="312"/>
      <c r="H186" s="312"/>
      <c r="I186" s="312"/>
      <c r="J186" s="312"/>
      <c r="K186" s="312"/>
      <c r="L186" s="312"/>
      <c r="M186" s="312"/>
      <c r="N186" s="312"/>
      <c r="P186" s="312"/>
    </row>
    <row r="187" spans="1:16" ht="13" x14ac:dyDescent="0.25">
      <c r="B187" s="310"/>
      <c r="C187" s="310"/>
      <c r="D187" s="310"/>
      <c r="E187" s="310"/>
      <c r="F187" s="311"/>
      <c r="G187" s="312"/>
      <c r="H187" s="312"/>
      <c r="I187" s="312"/>
      <c r="J187" s="312"/>
      <c r="K187" s="312"/>
      <c r="L187" s="312"/>
      <c r="M187" s="312"/>
      <c r="N187" s="312"/>
      <c r="P187" s="312"/>
    </row>
    <row r="188" spans="1:16" ht="13" x14ac:dyDescent="0.25">
      <c r="B188" s="310"/>
      <c r="C188" s="310"/>
      <c r="D188" s="310"/>
      <c r="E188" s="310"/>
      <c r="F188" s="311"/>
      <c r="G188" s="313" t="s">
        <v>32</v>
      </c>
      <c r="H188" s="312"/>
      <c r="I188" s="312"/>
      <c r="J188" s="312"/>
      <c r="K188" s="312"/>
      <c r="L188" s="312"/>
      <c r="M188" s="312"/>
      <c r="N188" s="312"/>
      <c r="P188" s="312"/>
    </row>
    <row r="189" spans="1:16" ht="13" x14ac:dyDescent="0.25">
      <c r="G189" s="313" t="s">
        <v>33</v>
      </c>
      <c r="H189" s="312"/>
      <c r="I189" s="312"/>
      <c r="J189" s="312"/>
    </row>
    <row r="190" spans="1:16" ht="87" customHeight="1" x14ac:dyDescent="0.25">
      <c r="B190" s="1268" t="s">
        <v>65</v>
      </c>
      <c r="C190" s="1269"/>
      <c r="D190" s="1269"/>
      <c r="E190" s="1270"/>
      <c r="F190" s="168"/>
      <c r="G190" s="166" t="str">
        <f>"Afbouw van het regulatoir saldo inzake herindexering budget endogene kosten op te nemen in het toegelaten inkomen voor boekjaar "&amp;D2</f>
        <v>Afbouw van het regulatoir saldo inzake herindexering budget endogene kosten op te nemen in het toegelaten inkomen voor boekjaar 2021</v>
      </c>
      <c r="H190" s="312"/>
      <c r="I190" s="312"/>
      <c r="J190" s="312"/>
    </row>
    <row r="191" spans="1:16" ht="13" x14ac:dyDescent="0.25">
      <c r="B191" s="325"/>
      <c r="C191" s="302"/>
      <c r="D191" s="302"/>
      <c r="E191" s="302"/>
      <c r="F191" s="303"/>
      <c r="G191" s="981"/>
      <c r="H191" s="312"/>
      <c r="I191" s="312"/>
      <c r="J191" s="312"/>
    </row>
    <row r="192" spans="1:16" ht="30" customHeight="1" x14ac:dyDescent="0.25">
      <c r="B192" s="1261" t="s">
        <v>240</v>
      </c>
      <c r="C192" s="1261"/>
      <c r="D192" s="1261"/>
      <c r="E192" s="1261"/>
      <c r="F192" s="168"/>
      <c r="G192" s="255">
        <f>VLOOKUP($D$2,B258:C261,2,FALSE)+VLOOKUP($D$2,B384:C387,2,FALSE)+VLOOKUP($D$2,B495:C498,2,FALSE)</f>
        <v>0</v>
      </c>
      <c r="H192" s="312"/>
      <c r="I192" s="312"/>
      <c r="J192" s="312"/>
    </row>
    <row r="193" spans="2:16" ht="30" customHeight="1" x14ac:dyDescent="0.25">
      <c r="B193" s="1261" t="s">
        <v>66</v>
      </c>
      <c r="C193" s="1261"/>
      <c r="D193" s="1261"/>
      <c r="E193" s="1261"/>
      <c r="F193" s="168"/>
      <c r="G193" s="255">
        <f>VLOOKUP($D$2,B321:C324,2,FALSE)</f>
        <v>0</v>
      </c>
      <c r="H193" s="312"/>
      <c r="I193" s="312"/>
      <c r="J193" s="312"/>
    </row>
    <row r="194" spans="2:16" ht="30" customHeight="1" x14ac:dyDescent="0.25">
      <c r="B194" s="1261" t="s">
        <v>67</v>
      </c>
      <c r="C194" s="1261"/>
      <c r="D194" s="1261"/>
      <c r="E194" s="1261"/>
      <c r="F194" s="168"/>
      <c r="G194" s="255">
        <f>VLOOKUP($D$2,B447:C450,2,FALSE)</f>
        <v>0</v>
      </c>
      <c r="H194" s="312"/>
      <c r="I194" s="312"/>
      <c r="J194" s="312"/>
    </row>
    <row r="195" spans="2:16" ht="30" customHeight="1" x14ac:dyDescent="0.25">
      <c r="B195" s="1261" t="s">
        <v>118</v>
      </c>
      <c r="C195" s="1261"/>
      <c r="D195" s="1261"/>
      <c r="E195" s="1261"/>
      <c r="F195" s="168"/>
      <c r="G195" s="255">
        <f>VLOOKUP($D$2,B558:C561,2,FALSE)</f>
        <v>0</v>
      </c>
      <c r="H195" s="312"/>
      <c r="I195" s="312"/>
      <c r="J195" s="312"/>
    </row>
    <row r="196" spans="2:16" ht="30" customHeight="1" x14ac:dyDescent="0.25">
      <c r="B196" s="1261" t="s">
        <v>68</v>
      </c>
      <c r="C196" s="1261"/>
      <c r="D196" s="1261"/>
      <c r="E196" s="1261"/>
      <c r="F196" s="168"/>
      <c r="G196" s="255">
        <f>VLOOKUP($D$2,B621:C624,2,FALSE)</f>
        <v>0</v>
      </c>
      <c r="H196" s="312"/>
      <c r="I196" s="312"/>
      <c r="J196" s="312"/>
    </row>
    <row r="197" spans="2:16" ht="13" x14ac:dyDescent="0.25">
      <c r="H197" s="312"/>
      <c r="I197" s="312"/>
      <c r="J197" s="312"/>
    </row>
    <row r="198" spans="2:16" ht="26.5" customHeight="1" x14ac:dyDescent="0.25">
      <c r="B198" s="1265" t="s">
        <v>22</v>
      </c>
      <c r="C198" s="1266"/>
      <c r="D198" s="1266"/>
      <c r="E198" s="1267"/>
      <c r="F198" s="182"/>
      <c r="G198" s="169">
        <f>SUM(G192:G196)</f>
        <v>0</v>
      </c>
      <c r="H198" s="312"/>
      <c r="I198" s="312"/>
      <c r="J198" s="312"/>
    </row>
    <row r="199" spans="2:16" x14ac:dyDescent="0.25">
      <c r="O199" s="212"/>
    </row>
    <row r="200" spans="2:16" x14ac:dyDescent="0.25">
      <c r="O200" s="212"/>
    </row>
    <row r="201" spans="2:16" ht="13" x14ac:dyDescent="0.25">
      <c r="B201" s="326" t="s">
        <v>240</v>
      </c>
      <c r="C201" s="327"/>
      <c r="D201" s="327"/>
      <c r="E201" s="327"/>
      <c r="F201" s="328"/>
      <c r="G201" s="328"/>
      <c r="H201" s="328"/>
      <c r="I201" s="328"/>
      <c r="J201" s="328"/>
      <c r="K201" s="328"/>
      <c r="L201" s="328"/>
      <c r="M201" s="328"/>
      <c r="N201" s="328"/>
      <c r="O201" s="329"/>
      <c r="P201" s="328"/>
    </row>
    <row r="202" spans="2:16" x14ac:dyDescent="0.25">
      <c r="O202" s="212"/>
    </row>
    <row r="203" spans="2:16" ht="13" x14ac:dyDescent="0.25">
      <c r="B203" s="281" t="s">
        <v>172</v>
      </c>
      <c r="F203" s="1000">
        <v>2018</v>
      </c>
      <c r="O203" s="212"/>
    </row>
    <row r="204" spans="2:16" x14ac:dyDescent="0.25">
      <c r="O204" s="167"/>
    </row>
    <row r="205" spans="2:16" ht="109.5" customHeight="1" x14ac:dyDescent="0.25">
      <c r="B205" s="1231" t="s">
        <v>173</v>
      </c>
      <c r="C205" s="1232"/>
      <c r="D205" s="1232"/>
      <c r="E205" s="1233"/>
      <c r="F205" s="282"/>
      <c r="G205" s="166" t="str">
        <f>"Nog af te bouwen regulatoir saldo einde "&amp;F203-1</f>
        <v>Nog af te bouwen regulatoir saldo einde 2017</v>
      </c>
      <c r="H205" s="166" t="str">
        <f>"Afbouw oudste openstaande regulatoir saldo vanaf boekjaar "&amp;F203-2&amp;" en vroeger, door aanwending van compensatie met regulatoir saldo ontstaan over boekjaar "&amp;F203-1</f>
        <v>Afbouw oudste openstaande regulatoir saldo vanaf boekjaar 2016 en vroeger, door aanwending van compensatie met regulatoir saldo ontstaan over boekjaar 2017</v>
      </c>
      <c r="I205" s="166" t="str">
        <f>"Nog af te bouwen regulatoir saldo na compensatie einde "&amp;F203-1</f>
        <v>Nog af te bouwen regulatoir saldo na compensatie einde 2017</v>
      </c>
      <c r="J205" s="166" t="str">
        <f>"Aanwending van 50% van het geaccumuleerd regulatoir saldo door te rekenen volgens de tariefmethodologie in het boekjaar "&amp;F203</f>
        <v>Aanwending van 50% van het geaccumuleerd regulatoir saldo door te rekenen volgens de tariefmethodologie in het boekjaar 2018</v>
      </c>
      <c r="K205" s="166" t="str">
        <f>"Nog af te bouwen regulatoir saldo einde "&amp;F203</f>
        <v>Nog af te bouwen regulatoir saldo einde 2018</v>
      </c>
      <c r="L205" s="228"/>
      <c r="M205" s="228"/>
      <c r="N205" s="228"/>
      <c r="O205" s="167"/>
    </row>
    <row r="206" spans="2:16" ht="13" x14ac:dyDescent="0.25">
      <c r="B206" s="1228">
        <v>2017</v>
      </c>
      <c r="C206" s="1229"/>
      <c r="D206" s="1229"/>
      <c r="E206" s="1230"/>
      <c r="F206" s="283"/>
      <c r="G206" s="566">
        <f>G112</f>
        <v>0</v>
      </c>
      <c r="H206" s="566">
        <v>0</v>
      </c>
      <c r="I206" s="566">
        <f>+G206+H206</f>
        <v>0</v>
      </c>
      <c r="J206" s="1010">
        <f>-I206*0.5</f>
        <v>0</v>
      </c>
      <c r="K206" s="1032">
        <f>+J206+G206</f>
        <v>0</v>
      </c>
      <c r="L206" s="1002"/>
      <c r="M206" s="1002"/>
      <c r="N206" s="1002"/>
      <c r="O206" s="167"/>
    </row>
    <row r="207" spans="2:16" x14ac:dyDescent="0.25">
      <c r="O207" s="167"/>
    </row>
    <row r="208" spans="2:16" ht="13" x14ac:dyDescent="0.25">
      <c r="B208" s="281" t="s">
        <v>172</v>
      </c>
      <c r="F208" s="1000">
        <v>2019</v>
      </c>
      <c r="O208" s="212"/>
    </row>
    <row r="209" spans="2:15" x14ac:dyDescent="0.25">
      <c r="O209" s="212"/>
    </row>
    <row r="210" spans="2:15" ht="107.25" customHeight="1" x14ac:dyDescent="0.25">
      <c r="B210" s="1231" t="s">
        <v>173</v>
      </c>
      <c r="C210" s="1232"/>
      <c r="D210" s="1232"/>
      <c r="E210" s="1233"/>
      <c r="F210" s="282"/>
      <c r="G210" s="166" t="str">
        <f>"Nog af te bouwen regulatoir saldo einde "&amp;F208-1</f>
        <v>Nog af te bouwen regulatoir saldo einde 2018</v>
      </c>
      <c r="H210" s="166" t="str">
        <f>"Afbouw oudste openstaande regulatoir saldo vanaf boekjaar "&amp;F208-2&amp;" en vroeger, door aanwending van compensatie met regulatoir saldo ontstaan over boekjaar "&amp;F208-1</f>
        <v>Afbouw oudste openstaande regulatoir saldo vanaf boekjaar 2017 en vroeger, door aanwending van compensatie met regulatoir saldo ontstaan over boekjaar 2018</v>
      </c>
      <c r="I210" s="166" t="str">
        <f>"Nog af te bouwen regulatoir saldo na compensatie einde "&amp;F208-1</f>
        <v>Nog af te bouwen regulatoir saldo na compensatie einde 2018</v>
      </c>
      <c r="J210" s="166" t="str">
        <f>"Aanwending van 50% van het geaccumuleerd regulatoir saldo door te rekenen volgens de tariefmethodologie in het boekjaar "&amp;F208</f>
        <v>Aanwending van 50% van het geaccumuleerd regulatoir saldo door te rekenen volgens de tariefmethodologie in het boekjaar 2019</v>
      </c>
      <c r="K210" s="166" t="str">
        <f>"Aanwending van 50% van het geaccumuleerd regulatoir saldo door te rekenen volgens de tariefmethodologie in het boekjaar "&amp;F208</f>
        <v>Aanwending van 50% van het geaccumuleerd regulatoir saldo door te rekenen volgens de tariefmethodologie in het boekjaar 2019</v>
      </c>
      <c r="L210" s="166" t="str">
        <f>"Totale afbouw over "&amp;F208</f>
        <v>Totale afbouw over 2019</v>
      </c>
      <c r="M210" s="166" t="str">
        <f>"Nog af te bouwen regulatoir saldo einde "&amp;F208</f>
        <v>Nog af te bouwen regulatoir saldo einde 2019</v>
      </c>
      <c r="N210" s="212"/>
      <c r="O210" s="167"/>
    </row>
    <row r="211" spans="2:15" ht="13" x14ac:dyDescent="0.25">
      <c r="B211" s="1228">
        <v>2017</v>
      </c>
      <c r="C211" s="1229"/>
      <c r="D211" s="1229"/>
      <c r="E211" s="1230"/>
      <c r="F211" s="283"/>
      <c r="G211" s="566">
        <f>K206</f>
        <v>0</v>
      </c>
      <c r="H211" s="566">
        <f>IF(SIGN(G212*K206)&lt;0,IF(G211&lt;&gt;0,-SIGN(G211)*MIN(ABS(G212),ABS(G211)),0),0)</f>
        <v>0</v>
      </c>
      <c r="I211" s="566">
        <f>+G211+H211</f>
        <v>0</v>
      </c>
      <c r="J211" s="1033"/>
      <c r="K211" s="1010">
        <f>-MIN(ABS(I211),ABS(J213))*SIGN(I211)</f>
        <v>0</v>
      </c>
      <c r="L211" s="1003">
        <f>+K211+H211</f>
        <v>0</v>
      </c>
      <c r="M211" s="566">
        <f>+I211+K211</f>
        <v>0</v>
      </c>
      <c r="N211" s="212"/>
      <c r="O211" s="167"/>
    </row>
    <row r="212" spans="2:15" ht="13" x14ac:dyDescent="0.25">
      <c r="B212" s="1228">
        <v>2018</v>
      </c>
      <c r="C212" s="1229"/>
      <c r="D212" s="1229"/>
      <c r="E212" s="1230"/>
      <c r="F212" s="283"/>
      <c r="G212" s="566">
        <f>+H113</f>
        <v>0</v>
      </c>
      <c r="H212" s="1003">
        <f>IF(SIGN(G212*K206)&lt;0,-H211,0)</f>
        <v>0</v>
      </c>
      <c r="I212" s="566">
        <f>+G212+H212</f>
        <v>0</v>
      </c>
      <c r="J212" s="1033"/>
      <c r="K212" s="1010">
        <f>-MIN(ABS(I212),ABS(J213-K211))*SIGN(I212)</f>
        <v>0</v>
      </c>
      <c r="L212" s="1003">
        <f>+K212+H212</f>
        <v>0</v>
      </c>
      <c r="M212" s="566">
        <f>+I212+K212</f>
        <v>0</v>
      </c>
      <c r="N212" s="212"/>
      <c r="O212" s="167"/>
    </row>
    <row r="213" spans="2:15" s="281" customFormat="1" ht="13" x14ac:dyDescent="0.3">
      <c r="G213" s="169">
        <f>SUM(G211:G212)</f>
        <v>0</v>
      </c>
      <c r="H213" s="169">
        <f>SUM(H211:H212)</f>
        <v>0</v>
      </c>
      <c r="I213" s="169">
        <f>SUM(I211:I212)</f>
        <v>0</v>
      </c>
      <c r="J213" s="291">
        <f>-I213*0.5</f>
        <v>0</v>
      </c>
      <c r="K213" s="291">
        <f>SUM(K211:K212)</f>
        <v>0</v>
      </c>
      <c r="L213" s="570"/>
      <c r="M213" s="169">
        <f>SUM(M211:M212)</f>
        <v>0</v>
      </c>
    </row>
    <row r="214" spans="2:15" x14ac:dyDescent="0.25">
      <c r="O214" s="167"/>
    </row>
    <row r="215" spans="2:15" ht="13" x14ac:dyDescent="0.25">
      <c r="B215" s="281" t="s">
        <v>172</v>
      </c>
      <c r="F215" s="1000">
        <v>2020</v>
      </c>
      <c r="O215" s="167"/>
    </row>
    <row r="216" spans="2:15" x14ac:dyDescent="0.25">
      <c r="O216" s="167"/>
    </row>
    <row r="217" spans="2:15" ht="108.75" customHeight="1" x14ac:dyDescent="0.25">
      <c r="B217" s="1231" t="s">
        <v>173</v>
      </c>
      <c r="C217" s="1232"/>
      <c r="D217" s="1232"/>
      <c r="E217" s="1233"/>
      <c r="F217" s="282"/>
      <c r="G217" s="166" t="str">
        <f>"Nog af te bouwen regulatoir saldo einde "&amp;F215-1</f>
        <v>Nog af te bouwen regulatoir saldo einde 2019</v>
      </c>
      <c r="H217" s="166" t="str">
        <f>"Afbouw oudste openstaande regulatoir saldo vanaf boekjaar "&amp;F215-2&amp;" en vroeger, door aanwending van compensatie met regulatoir saldo ontstaan over boekjaar "&amp;F215-1</f>
        <v>Afbouw oudste openstaande regulatoir saldo vanaf boekjaar 2018 en vroeger, door aanwending van compensatie met regulatoir saldo ontstaan over boekjaar 2019</v>
      </c>
      <c r="I217" s="166" t="str">
        <f>"Nog af te bouwen regulatoir saldo na compensatie einde "&amp;F215-1</f>
        <v>Nog af te bouwen regulatoir saldo na compensatie einde 2019</v>
      </c>
      <c r="J217" s="166" t="str">
        <f>"Aanwending van 50% van het geaccumuleerd regulatoir saldo door te rekenen volgens de tariefmethodologie in het boekjaar "&amp;F215</f>
        <v>Aanwending van 50% van het geaccumuleerd regulatoir saldo door te rekenen volgens de tariefmethodologie in het boekjaar 2020</v>
      </c>
      <c r="K217" s="166" t="str">
        <f>"Aanwending van 50% van het geaccumuleerd regulatoir saldo door te rekenen volgens de tariefmethodologie in het boekjaar "&amp;F215</f>
        <v>Aanwending van 50% van het geaccumuleerd regulatoir saldo door te rekenen volgens de tariefmethodologie in het boekjaar 2020</v>
      </c>
      <c r="L217" s="166" t="str">
        <f>"Totale afbouw over "&amp;F215</f>
        <v>Totale afbouw over 2020</v>
      </c>
      <c r="M217" s="166" t="str">
        <f>"Nog af te bouwen regulatoir saldo einde "&amp;F215</f>
        <v>Nog af te bouwen regulatoir saldo einde 2020</v>
      </c>
      <c r="N217" s="212"/>
      <c r="O217" s="167"/>
    </row>
    <row r="218" spans="2:15" ht="13" x14ac:dyDescent="0.25">
      <c r="B218" s="1228">
        <v>2017</v>
      </c>
      <c r="C218" s="1229"/>
      <c r="D218" s="1229"/>
      <c r="E218" s="1230"/>
      <c r="F218" s="283"/>
      <c r="G218" s="566">
        <f>+M211</f>
        <v>0</v>
      </c>
      <c r="H218" s="1003">
        <f>IF(SIGN(G220*M213)&lt;0,IF(G218&lt;&gt;0,-SIGN(G218)*MIN(ABS(G220),ABS(G218)),0),0)</f>
        <v>0</v>
      </c>
      <c r="I218" s="566">
        <f>+G218+H218</f>
        <v>0</v>
      </c>
      <c r="J218" s="1033"/>
      <c r="K218" s="1010">
        <f>-MIN(ABS(I218),ABS(J221))*SIGN(I218)</f>
        <v>0</v>
      </c>
      <c r="L218" s="1003">
        <f>+K218+H218</f>
        <v>0</v>
      </c>
      <c r="M218" s="566">
        <f>+I218+K218</f>
        <v>0</v>
      </c>
      <c r="N218" s="212"/>
      <c r="O218" s="167"/>
    </row>
    <row r="219" spans="2:15" ht="13" x14ac:dyDescent="0.25">
      <c r="B219" s="1228">
        <v>2018</v>
      </c>
      <c r="C219" s="1229"/>
      <c r="D219" s="1229">
        <v>2016</v>
      </c>
      <c r="E219" s="1230"/>
      <c r="F219" s="283"/>
      <c r="G219" s="566">
        <f>+M212</f>
        <v>0</v>
      </c>
      <c r="H219" s="1003">
        <f>IF(SIGN(G220*M213)&lt;0,IF(G219&lt;&gt;0,-SIGN(G219)*MIN(ABS(G220-H218),ABS(G219)),0),0)</f>
        <v>0</v>
      </c>
      <c r="I219" s="566">
        <f>+G219+H219</f>
        <v>0</v>
      </c>
      <c r="J219" s="1033"/>
      <c r="K219" s="1010">
        <f>-MIN(ABS(I219),ABS(J221-K218))*SIGN(I219)</f>
        <v>0</v>
      </c>
      <c r="L219" s="1003">
        <f>+K219+H219</f>
        <v>0</v>
      </c>
      <c r="M219" s="566">
        <f>+I219+K219</f>
        <v>0</v>
      </c>
      <c r="N219" s="212"/>
      <c r="O219" s="167"/>
    </row>
    <row r="220" spans="2:15" ht="13" x14ac:dyDescent="0.25">
      <c r="B220" s="1228">
        <v>2019</v>
      </c>
      <c r="C220" s="1229"/>
      <c r="D220" s="1229"/>
      <c r="E220" s="1230"/>
      <c r="F220" s="283"/>
      <c r="G220" s="566">
        <f>I114</f>
        <v>0</v>
      </c>
      <c r="H220" s="1003">
        <f>IF(SIGN(G220*M213)&lt;0,-SUM(H218:H219),0)</f>
        <v>0</v>
      </c>
      <c r="I220" s="566">
        <f>+G220+H220</f>
        <v>0</v>
      </c>
      <c r="J220" s="1033"/>
      <c r="K220" s="1010">
        <f>-MIN(ABS(I220),ABS(J221-K218-K219))*SIGN(I220)</f>
        <v>0</v>
      </c>
      <c r="L220" s="1003">
        <f>+K220+H220</f>
        <v>0</v>
      </c>
      <c r="M220" s="566">
        <f>+I220+K220</f>
        <v>0</v>
      </c>
      <c r="N220" s="212"/>
      <c r="O220" s="167"/>
    </row>
    <row r="221" spans="2:15" s="281" customFormat="1" ht="13" x14ac:dyDescent="0.3">
      <c r="G221" s="169">
        <f>SUM(G218:G220)</f>
        <v>0</v>
      </c>
      <c r="H221" s="169">
        <f>SUM(H218:H220)</f>
        <v>0</v>
      </c>
      <c r="I221" s="169">
        <f>SUM(I218:I220)</f>
        <v>0</v>
      </c>
      <c r="J221" s="291">
        <f>-I221*0.5</f>
        <v>0</v>
      </c>
      <c r="K221" s="291">
        <f>SUM(K218:K220)</f>
        <v>0</v>
      </c>
      <c r="L221" s="570"/>
      <c r="M221" s="169">
        <f>SUM(M218:M220)</f>
        <v>0</v>
      </c>
    </row>
    <row r="222" spans="2:15" x14ac:dyDescent="0.25">
      <c r="O222" s="167"/>
    </row>
    <row r="223" spans="2:15" ht="13" x14ac:dyDescent="0.25">
      <c r="B223" s="281" t="s">
        <v>172</v>
      </c>
      <c r="F223" s="1000">
        <v>2021</v>
      </c>
      <c r="O223" s="167"/>
    </row>
    <row r="224" spans="2:15" x14ac:dyDescent="0.25">
      <c r="O224" s="167"/>
    </row>
    <row r="225" spans="2:15" ht="78" customHeight="1" x14ac:dyDescent="0.25">
      <c r="B225" s="1231" t="s">
        <v>173</v>
      </c>
      <c r="C225" s="1232"/>
      <c r="D225" s="1232"/>
      <c r="E225" s="1233"/>
      <c r="F225" s="282"/>
      <c r="G225" s="166" t="str">
        <f>"Nog af te bouwen regulatoir saldo einde "&amp;F223-1</f>
        <v>Nog af te bouwen regulatoir saldo einde 2020</v>
      </c>
      <c r="H225" s="166" t="str">
        <f>"50% van het oorspronkelijk regulatoir saldo door te rekenen volgens de tariefmethodologie in het boekjaar "&amp;F223</f>
        <v>50% van het oorspronkelijk regulatoir saldo door te rekenen volgens de tariefmethodologie in het boekjaar 2021</v>
      </c>
      <c r="I225" s="166" t="str">
        <f>"Nog af te bouwen regulatoir saldo einde "&amp;F223</f>
        <v>Nog af te bouwen regulatoir saldo einde 2021</v>
      </c>
      <c r="J225" s="212"/>
      <c r="O225" s="167"/>
    </row>
    <row r="226" spans="2:15" ht="13" x14ac:dyDescent="0.25">
      <c r="B226" s="1228">
        <v>2017</v>
      </c>
      <c r="C226" s="1229"/>
      <c r="D226" s="1229"/>
      <c r="E226" s="1230"/>
      <c r="F226" s="283"/>
      <c r="G226" s="566">
        <f>+M218</f>
        <v>0</v>
      </c>
      <c r="H226" s="566">
        <f>-G226*0.5</f>
        <v>0</v>
      </c>
      <c r="I226" s="566">
        <f>+G226+H226</f>
        <v>0</v>
      </c>
      <c r="J226" s="212"/>
      <c r="O226" s="167"/>
    </row>
    <row r="227" spans="2:15" ht="13" x14ac:dyDescent="0.25">
      <c r="B227" s="1228">
        <v>2018</v>
      </c>
      <c r="C227" s="1229"/>
      <c r="D227" s="1229"/>
      <c r="E227" s="1230"/>
      <c r="F227" s="283"/>
      <c r="G227" s="566">
        <f t="shared" ref="G227:G228" si="23">+M219</f>
        <v>0</v>
      </c>
      <c r="H227" s="566">
        <f t="shared" ref="H227:H229" si="24">-G227*0.5</f>
        <v>0</v>
      </c>
      <c r="I227" s="566">
        <f t="shared" ref="I227:I229" si="25">+G227+H227</f>
        <v>0</v>
      </c>
      <c r="J227" s="212"/>
      <c r="O227" s="167"/>
    </row>
    <row r="228" spans="2:15" ht="13" x14ac:dyDescent="0.25">
      <c r="B228" s="1228">
        <v>2019</v>
      </c>
      <c r="C228" s="1229"/>
      <c r="D228" s="1229">
        <v>2016</v>
      </c>
      <c r="E228" s="1230"/>
      <c r="F228" s="283"/>
      <c r="G228" s="566">
        <f t="shared" si="23"/>
        <v>0</v>
      </c>
      <c r="H228" s="566">
        <f t="shared" si="24"/>
        <v>0</v>
      </c>
      <c r="I228" s="566">
        <f t="shared" si="25"/>
        <v>0</v>
      </c>
      <c r="J228" s="212"/>
      <c r="O228" s="167"/>
    </row>
    <row r="229" spans="2:15" ht="13" x14ac:dyDescent="0.25">
      <c r="B229" s="1228">
        <v>2020</v>
      </c>
      <c r="C229" s="1229"/>
      <c r="D229" s="1229"/>
      <c r="E229" s="1230"/>
      <c r="F229" s="283"/>
      <c r="G229" s="566">
        <f>J115</f>
        <v>0</v>
      </c>
      <c r="H229" s="566">
        <f t="shared" si="24"/>
        <v>0</v>
      </c>
      <c r="I229" s="566">
        <f t="shared" si="25"/>
        <v>0</v>
      </c>
      <c r="J229" s="212"/>
      <c r="O229" s="167"/>
    </row>
    <row r="230" spans="2:15" s="281" customFormat="1" ht="13" x14ac:dyDescent="0.25">
      <c r="G230" s="169">
        <f>SUM(G226:G229)</f>
        <v>0</v>
      </c>
      <c r="H230" s="169">
        <f>SUM(H226:H229)</f>
        <v>0</v>
      </c>
      <c r="I230" s="169">
        <f>SUM(I226:I229)</f>
        <v>0</v>
      </c>
    </row>
    <row r="231" spans="2:15" x14ac:dyDescent="0.25">
      <c r="G231" s="221"/>
      <c r="H231" s="221"/>
      <c r="I231" s="221"/>
      <c r="O231" s="167"/>
    </row>
    <row r="232" spans="2:15" ht="13" x14ac:dyDescent="0.25">
      <c r="B232" s="847" t="s">
        <v>172</v>
      </c>
      <c r="C232" s="842"/>
      <c r="D232" s="842"/>
      <c r="E232" s="842"/>
      <c r="F232" s="1004">
        <v>2022</v>
      </c>
      <c r="G232" s="842"/>
      <c r="H232" s="842"/>
      <c r="I232" s="842"/>
      <c r="O232" s="167"/>
    </row>
    <row r="233" spans="2:15" x14ac:dyDescent="0.25">
      <c r="B233" s="842"/>
      <c r="C233" s="842"/>
      <c r="D233" s="842"/>
      <c r="E233" s="842"/>
      <c r="F233" s="842"/>
      <c r="G233" s="842"/>
      <c r="H233" s="842"/>
      <c r="I233" s="842"/>
      <c r="O233" s="167"/>
    </row>
    <row r="234" spans="2:15" ht="78" customHeight="1" x14ac:dyDescent="0.25">
      <c r="B234" s="1237" t="s">
        <v>173</v>
      </c>
      <c r="C234" s="1238"/>
      <c r="D234" s="1238"/>
      <c r="E234" s="1239"/>
      <c r="F234" s="848"/>
      <c r="G234" s="837" t="str">
        <f>"Nog af te bouwen regulatoir saldo einde "&amp;F232-1</f>
        <v>Nog af te bouwen regulatoir saldo einde 2021</v>
      </c>
      <c r="H234" s="837" t="str">
        <f>"50% van het oorspronkelijk regulatoir saldo door te rekenen volgens de tariefmethodologie in het boekjaar "&amp;F232</f>
        <v>50% van het oorspronkelijk regulatoir saldo door te rekenen volgens de tariefmethodologie in het boekjaar 2022</v>
      </c>
      <c r="I234" s="837" t="str">
        <f>"Nog af te bouwen regulatoir saldo einde "&amp;F232</f>
        <v>Nog af te bouwen regulatoir saldo einde 2022</v>
      </c>
      <c r="J234" s="212"/>
      <c r="O234" s="167"/>
    </row>
    <row r="235" spans="2:15" ht="13" x14ac:dyDescent="0.25">
      <c r="B235" s="1234">
        <v>2017</v>
      </c>
      <c r="C235" s="1235"/>
      <c r="D235" s="1235">
        <v>2016</v>
      </c>
      <c r="E235" s="1236"/>
      <c r="F235" s="341"/>
      <c r="G235" s="568">
        <f>+I226</f>
        <v>0</v>
      </c>
      <c r="H235" s="568">
        <f>-G226*0.5</f>
        <v>0</v>
      </c>
      <c r="I235" s="568">
        <f t="shared" ref="I235:I239" si="26">+G235+H235</f>
        <v>0</v>
      </c>
      <c r="J235" s="212"/>
      <c r="O235" s="167"/>
    </row>
    <row r="236" spans="2:15" ht="13" x14ac:dyDescent="0.25">
      <c r="B236" s="1234">
        <v>2018</v>
      </c>
      <c r="C236" s="1235"/>
      <c r="D236" s="1235"/>
      <c r="E236" s="1236"/>
      <c r="F236" s="341"/>
      <c r="G236" s="568">
        <f t="shared" ref="G236:G238" si="27">+I227</f>
        <v>0</v>
      </c>
      <c r="H236" s="568">
        <f t="shared" ref="H236:H238" si="28">-G227*0.5</f>
        <v>0</v>
      </c>
      <c r="I236" s="568">
        <f t="shared" si="26"/>
        <v>0</v>
      </c>
      <c r="J236" s="212"/>
      <c r="O236" s="167"/>
    </row>
    <row r="237" spans="2:15" ht="13" x14ac:dyDescent="0.25">
      <c r="B237" s="1234">
        <v>2019</v>
      </c>
      <c r="C237" s="1235"/>
      <c r="D237" s="1235"/>
      <c r="E237" s="1236"/>
      <c r="F237" s="341"/>
      <c r="G237" s="568">
        <f t="shared" si="27"/>
        <v>0</v>
      </c>
      <c r="H237" s="568">
        <f t="shared" si="28"/>
        <v>0</v>
      </c>
      <c r="I237" s="568">
        <f t="shared" ref="I237" si="29">+G237+H237</f>
        <v>0</v>
      </c>
      <c r="J237" s="212"/>
      <c r="O237" s="167"/>
    </row>
    <row r="238" spans="2:15" ht="13" x14ac:dyDescent="0.25">
      <c r="B238" s="1234">
        <v>2020</v>
      </c>
      <c r="C238" s="1235"/>
      <c r="D238" s="1235"/>
      <c r="E238" s="1236"/>
      <c r="F238" s="341"/>
      <c r="G238" s="568">
        <f t="shared" si="27"/>
        <v>0</v>
      </c>
      <c r="H238" s="568">
        <f t="shared" si="28"/>
        <v>0</v>
      </c>
      <c r="I238" s="568">
        <f t="shared" si="26"/>
        <v>0</v>
      </c>
      <c r="J238" s="212"/>
      <c r="O238" s="167"/>
    </row>
    <row r="239" spans="2:15" ht="13" x14ac:dyDescent="0.25">
      <c r="B239" s="1234">
        <v>2021</v>
      </c>
      <c r="C239" s="1235"/>
      <c r="D239" s="1235"/>
      <c r="E239" s="1236"/>
      <c r="F239" s="341"/>
      <c r="G239" s="568">
        <f>K116</f>
        <v>0</v>
      </c>
      <c r="H239" s="568">
        <f t="shared" ref="H239" si="30">-G239*0.5</f>
        <v>0</v>
      </c>
      <c r="I239" s="568">
        <f t="shared" si="26"/>
        <v>0</v>
      </c>
      <c r="J239" s="212"/>
      <c r="O239" s="167"/>
    </row>
    <row r="240" spans="2:15" s="281" customFormat="1" ht="13" x14ac:dyDescent="0.25">
      <c r="B240" s="847"/>
      <c r="C240" s="847"/>
      <c r="D240" s="847"/>
      <c r="E240" s="847"/>
      <c r="F240" s="847"/>
      <c r="G240" s="856">
        <f>SUM(G235:G239)</f>
        <v>0</v>
      </c>
      <c r="H240" s="856">
        <f>SUM(H235:H239)</f>
        <v>0</v>
      </c>
      <c r="I240" s="856">
        <f>SUM(I235:I239)</f>
        <v>0</v>
      </c>
    </row>
    <row r="241" spans="2:15" x14ac:dyDescent="0.25">
      <c r="B241" s="842"/>
      <c r="C241" s="842"/>
      <c r="D241" s="842"/>
      <c r="E241" s="842"/>
      <c r="F241" s="842"/>
      <c r="G241" s="842"/>
      <c r="H241" s="842"/>
      <c r="I241" s="842"/>
      <c r="O241" s="167"/>
    </row>
    <row r="242" spans="2:15" ht="13" x14ac:dyDescent="0.25">
      <c r="B242" s="847" t="s">
        <v>172</v>
      </c>
      <c r="C242" s="842"/>
      <c r="D242" s="842"/>
      <c r="E242" s="842"/>
      <c r="F242" s="1004">
        <v>2023</v>
      </c>
      <c r="G242" s="842"/>
      <c r="H242" s="842"/>
      <c r="I242" s="842"/>
      <c r="O242" s="167"/>
    </row>
    <row r="243" spans="2:15" x14ac:dyDescent="0.25">
      <c r="B243" s="842"/>
      <c r="C243" s="842"/>
      <c r="D243" s="842"/>
      <c r="E243" s="842"/>
      <c r="F243" s="842"/>
      <c r="G243" s="842"/>
      <c r="H243" s="842"/>
      <c r="I243" s="842"/>
      <c r="O243" s="167"/>
    </row>
    <row r="244" spans="2:15" ht="78" customHeight="1" x14ac:dyDescent="0.25">
      <c r="B244" s="1237" t="s">
        <v>173</v>
      </c>
      <c r="C244" s="1238"/>
      <c r="D244" s="1238"/>
      <c r="E244" s="1239"/>
      <c r="F244" s="848"/>
      <c r="G244" s="837" t="str">
        <f>"Nog af te bouwen regulatoir saldo einde "&amp;F242-1</f>
        <v>Nog af te bouwen regulatoir saldo einde 2022</v>
      </c>
      <c r="H244" s="837" t="str">
        <f>"50% van het oorspronkelijk regulatoir saldo door te rekenen volgens de tariefmethodologie in het boekjaar "&amp;F242</f>
        <v>50% van het oorspronkelijk regulatoir saldo door te rekenen volgens de tariefmethodologie in het boekjaar 2023</v>
      </c>
      <c r="I244" s="837" t="str">
        <f>"Nog af te bouwen regulatoir saldo einde "&amp;F242</f>
        <v>Nog af te bouwen regulatoir saldo einde 2023</v>
      </c>
      <c r="J244" s="212"/>
      <c r="O244" s="167"/>
    </row>
    <row r="245" spans="2:15" ht="13" x14ac:dyDescent="0.25">
      <c r="B245" s="1234">
        <v>2021</v>
      </c>
      <c r="C245" s="1235"/>
      <c r="D245" s="1235"/>
      <c r="E245" s="1236"/>
      <c r="F245" s="341"/>
      <c r="G245" s="568">
        <f>+I239</f>
        <v>0</v>
      </c>
      <c r="H245" s="568">
        <f>-G239*0.5</f>
        <v>0</v>
      </c>
      <c r="I245" s="568">
        <f t="shared" ref="I245:I246" si="31">+G245+H245</f>
        <v>0</v>
      </c>
      <c r="J245" s="212"/>
      <c r="O245" s="167"/>
    </row>
    <row r="246" spans="2:15" ht="13" x14ac:dyDescent="0.25">
      <c r="B246" s="1234">
        <v>2022</v>
      </c>
      <c r="C246" s="1235"/>
      <c r="D246" s="1235"/>
      <c r="E246" s="1236"/>
      <c r="F246" s="341"/>
      <c r="G246" s="568">
        <f>L117</f>
        <v>0</v>
      </c>
      <c r="H246" s="568">
        <f t="shared" ref="H246" si="32">-G246*0.5</f>
        <v>0</v>
      </c>
      <c r="I246" s="568">
        <f t="shared" si="31"/>
        <v>0</v>
      </c>
      <c r="J246" s="212"/>
      <c r="O246" s="167"/>
    </row>
    <row r="247" spans="2:15" s="281" customFormat="1" ht="13" x14ac:dyDescent="0.25">
      <c r="B247" s="847"/>
      <c r="C247" s="847"/>
      <c r="D247" s="847"/>
      <c r="E247" s="847"/>
      <c r="F247" s="847"/>
      <c r="G247" s="856">
        <f>SUM(G245:G246)</f>
        <v>0</v>
      </c>
      <c r="H247" s="856">
        <f>SUM(H245:H246)</f>
        <v>0</v>
      </c>
      <c r="I247" s="856">
        <f>SUM(I245:I246)</f>
        <v>0</v>
      </c>
    </row>
    <row r="248" spans="2:15" x14ac:dyDescent="0.25">
      <c r="B248" s="842"/>
      <c r="C248" s="842"/>
      <c r="D248" s="842"/>
      <c r="E248" s="842"/>
      <c r="F248" s="842"/>
      <c r="G248" s="842"/>
      <c r="H248" s="842"/>
      <c r="I248" s="842"/>
      <c r="O248" s="167"/>
    </row>
    <row r="249" spans="2:15" ht="13" x14ac:dyDescent="0.25">
      <c r="B249" s="847" t="s">
        <v>172</v>
      </c>
      <c r="C249" s="842"/>
      <c r="D249" s="842"/>
      <c r="E249" s="842"/>
      <c r="F249" s="1004">
        <v>2024</v>
      </c>
      <c r="G249" s="842"/>
      <c r="H249" s="842"/>
      <c r="I249" s="842"/>
      <c r="O249" s="167"/>
    </row>
    <row r="250" spans="2:15" x14ac:dyDescent="0.25">
      <c r="B250" s="842"/>
      <c r="C250" s="842"/>
      <c r="D250" s="842"/>
      <c r="E250" s="842"/>
      <c r="F250" s="842"/>
      <c r="G250" s="842"/>
      <c r="H250" s="842"/>
      <c r="I250" s="842"/>
      <c r="O250" s="167"/>
    </row>
    <row r="251" spans="2:15" ht="78" customHeight="1" x14ac:dyDescent="0.25">
      <c r="B251" s="1237" t="s">
        <v>173</v>
      </c>
      <c r="C251" s="1238"/>
      <c r="D251" s="1238"/>
      <c r="E251" s="1239"/>
      <c r="F251" s="848"/>
      <c r="G251" s="837" t="str">
        <f>"Nog af te bouwen regulatoir saldo einde "&amp;F249-1</f>
        <v>Nog af te bouwen regulatoir saldo einde 2023</v>
      </c>
      <c r="H251" s="837" t="str">
        <f>"50% van het oorspronkelijk regulatoir saldo door te rekenen volgens de tariefmethodologie in het boekjaar "&amp;F249</f>
        <v>50% van het oorspronkelijk regulatoir saldo door te rekenen volgens de tariefmethodologie in het boekjaar 2024</v>
      </c>
      <c r="I251" s="837" t="str">
        <f>"Nog af te bouwen regulatoir saldo einde "&amp;F249</f>
        <v>Nog af te bouwen regulatoir saldo einde 2024</v>
      </c>
      <c r="J251" s="212"/>
      <c r="O251" s="167"/>
    </row>
    <row r="252" spans="2:15" ht="13" x14ac:dyDescent="0.25">
      <c r="B252" s="1234">
        <v>2022</v>
      </c>
      <c r="C252" s="1235"/>
      <c r="D252" s="1235"/>
      <c r="E252" s="1236"/>
      <c r="F252" s="341"/>
      <c r="G252" s="568">
        <f>+I246</f>
        <v>0</v>
      </c>
      <c r="H252" s="568">
        <f>-G246*0.5</f>
        <v>0</v>
      </c>
      <c r="I252" s="568">
        <f t="shared" ref="I252:I253" si="33">+G252+H252</f>
        <v>0</v>
      </c>
      <c r="J252" s="212"/>
      <c r="O252" s="167"/>
    </row>
    <row r="253" spans="2:15" ht="13" x14ac:dyDescent="0.25">
      <c r="B253" s="1234">
        <v>2023</v>
      </c>
      <c r="C253" s="1235"/>
      <c r="D253" s="1235"/>
      <c r="E253" s="1236"/>
      <c r="F253" s="341"/>
      <c r="G253" s="568">
        <f>+M118</f>
        <v>0</v>
      </c>
      <c r="H253" s="568">
        <f t="shared" ref="H253" si="34">-G253*0.5</f>
        <v>0</v>
      </c>
      <c r="I253" s="568">
        <f t="shared" si="33"/>
        <v>0</v>
      </c>
      <c r="J253" s="212"/>
      <c r="O253" s="167"/>
    </row>
    <row r="254" spans="2:15" s="281" customFormat="1" ht="13" x14ac:dyDescent="0.25">
      <c r="B254" s="847"/>
      <c r="C254" s="847"/>
      <c r="D254" s="847"/>
      <c r="E254" s="847"/>
      <c r="F254" s="847"/>
      <c r="G254" s="856">
        <f>SUM(G252:G253)</f>
        <v>0</v>
      </c>
      <c r="H254" s="856">
        <f>SUM(H252:H253)</f>
        <v>0</v>
      </c>
      <c r="I254" s="856">
        <f>SUM(I252:I253)</f>
        <v>0</v>
      </c>
    </row>
    <row r="255" spans="2:15" ht="13" x14ac:dyDescent="0.25">
      <c r="B255" s="281" t="str">
        <f>+B201</f>
        <v xml:space="preserve">Het basistarief voor het gebruik van het net </v>
      </c>
      <c r="O255" s="167"/>
    </row>
    <row r="256" spans="2:15" ht="13" x14ac:dyDescent="0.25">
      <c r="B256" s="281" t="s">
        <v>174</v>
      </c>
      <c r="C256" s="224"/>
      <c r="D256" s="224"/>
      <c r="E256" s="224"/>
      <c r="O256" s="167"/>
    </row>
    <row r="257" spans="2:16" ht="13" x14ac:dyDescent="0.25">
      <c r="B257" s="281"/>
      <c r="C257" s="224"/>
      <c r="D257" s="224"/>
      <c r="E257" s="224"/>
      <c r="O257" s="167"/>
    </row>
    <row r="258" spans="2:16" ht="13" x14ac:dyDescent="0.25">
      <c r="B258" s="283">
        <f>F223</f>
        <v>2021</v>
      </c>
      <c r="C258" s="287">
        <f>+H230</f>
        <v>0</v>
      </c>
      <c r="D258" s="224"/>
      <c r="E258" s="224"/>
      <c r="O258" s="167"/>
    </row>
    <row r="259" spans="2:16" ht="13" x14ac:dyDescent="0.25">
      <c r="B259" s="341">
        <v>2022</v>
      </c>
      <c r="C259" s="342">
        <f>+H240</f>
        <v>0</v>
      </c>
      <c r="D259" s="224"/>
      <c r="E259" s="224"/>
      <c r="O259" s="167"/>
    </row>
    <row r="260" spans="2:16" ht="13" x14ac:dyDescent="0.25">
      <c r="B260" s="341">
        <v>2023</v>
      </c>
      <c r="C260" s="342">
        <f>+H247</f>
        <v>0</v>
      </c>
      <c r="D260" s="224"/>
      <c r="E260" s="224"/>
      <c r="O260" s="167"/>
    </row>
    <row r="261" spans="2:16" ht="13" x14ac:dyDescent="0.25">
      <c r="B261" s="341">
        <v>2024</v>
      </c>
      <c r="C261" s="342">
        <f>+H254</f>
        <v>0</v>
      </c>
      <c r="D261" s="224"/>
      <c r="E261" s="224"/>
      <c r="O261" s="167"/>
    </row>
    <row r="262" spans="2:16" x14ac:dyDescent="0.25">
      <c r="O262" s="167"/>
    </row>
    <row r="263" spans="2:16" x14ac:dyDescent="0.25">
      <c r="O263" s="167"/>
    </row>
    <row r="264" spans="2:16" ht="13" x14ac:dyDescent="0.25">
      <c r="B264" s="326" t="s">
        <v>66</v>
      </c>
      <c r="C264" s="327"/>
      <c r="D264" s="327"/>
      <c r="E264" s="327"/>
      <c r="F264" s="328"/>
      <c r="G264" s="328"/>
      <c r="H264" s="328"/>
      <c r="I264" s="328"/>
      <c r="J264" s="328"/>
      <c r="K264" s="328"/>
      <c r="L264" s="328"/>
      <c r="M264" s="328"/>
      <c r="N264" s="328"/>
      <c r="O264" s="329"/>
      <c r="P264" s="328"/>
    </row>
    <row r="265" spans="2:16" x14ac:dyDescent="0.25">
      <c r="O265" s="212"/>
    </row>
    <row r="266" spans="2:16" ht="13" x14ac:dyDescent="0.25">
      <c r="B266" s="281" t="s">
        <v>172</v>
      </c>
      <c r="F266" s="1000">
        <v>2018</v>
      </c>
      <c r="O266" s="212"/>
    </row>
    <row r="267" spans="2:16" x14ac:dyDescent="0.25">
      <c r="O267" s="167"/>
    </row>
    <row r="268" spans="2:16" ht="102" customHeight="1" x14ac:dyDescent="0.25">
      <c r="B268" s="1231" t="s">
        <v>173</v>
      </c>
      <c r="C268" s="1232"/>
      <c r="D268" s="1232"/>
      <c r="E268" s="1233"/>
      <c r="F268" s="282"/>
      <c r="G268" s="166" t="str">
        <f>"Nog af te bouwen regulatoir saldo einde "&amp;F266-1</f>
        <v>Nog af te bouwen regulatoir saldo einde 2017</v>
      </c>
      <c r="H268" s="166" t="str">
        <f>"Afbouw oudste openstaande regulatoir saldo vanaf boekjaar "&amp;F266-2&amp;" en vroeger, door aanwending van compensatie met regulatoir saldo ontstaan over boekjaar "&amp;F266-1</f>
        <v>Afbouw oudste openstaande regulatoir saldo vanaf boekjaar 2016 en vroeger, door aanwending van compensatie met regulatoir saldo ontstaan over boekjaar 2017</v>
      </c>
      <c r="I268" s="166" t="str">
        <f>"Nog af te bouwen regulatoir saldo na compensatie einde "&amp;F266-1</f>
        <v>Nog af te bouwen regulatoir saldo na compensatie einde 2017</v>
      </c>
      <c r="J268" s="166" t="str">
        <f>"Aanwending van 50% van het geaccumuleerd regulatoir saldo door te rekenen volgens de tariefmethodologie in het boekjaar "&amp;F266</f>
        <v>Aanwending van 50% van het geaccumuleerd regulatoir saldo door te rekenen volgens de tariefmethodologie in het boekjaar 2018</v>
      </c>
      <c r="K268" s="166" t="str">
        <f>"Nog af te bouwen regulatoir saldo einde "&amp;F266</f>
        <v>Nog af te bouwen regulatoir saldo einde 2018</v>
      </c>
      <c r="L268" s="228"/>
      <c r="M268" s="228"/>
      <c r="N268" s="228"/>
      <c r="O268" s="167"/>
    </row>
    <row r="269" spans="2:16" ht="13" x14ac:dyDescent="0.25">
      <c r="B269" s="1228">
        <v>2017</v>
      </c>
      <c r="C269" s="1229"/>
      <c r="D269" s="1229"/>
      <c r="E269" s="1230"/>
      <c r="F269" s="283"/>
      <c r="G269" s="566">
        <f>G121</f>
        <v>0</v>
      </c>
      <c r="H269" s="566">
        <v>0</v>
      </c>
      <c r="I269" s="566">
        <f>+G269+H269</f>
        <v>0</v>
      </c>
      <c r="J269" s="1010">
        <f>-I269*0.5</f>
        <v>0</v>
      </c>
      <c r="K269" s="1032">
        <f>+J269+G269</f>
        <v>0</v>
      </c>
      <c r="L269" s="1002"/>
      <c r="M269" s="1002"/>
      <c r="N269" s="1002"/>
      <c r="O269" s="167"/>
    </row>
    <row r="270" spans="2:16" x14ac:dyDescent="0.25">
      <c r="O270" s="167"/>
    </row>
    <row r="271" spans="2:16" ht="13" x14ac:dyDescent="0.25">
      <c r="B271" s="281" t="s">
        <v>172</v>
      </c>
      <c r="F271" s="1000">
        <v>2019</v>
      </c>
      <c r="O271" s="212"/>
    </row>
    <row r="272" spans="2:16" x14ac:dyDescent="0.25">
      <c r="O272" s="212"/>
    </row>
    <row r="273" spans="2:15" s="220" customFormat="1" ht="107.15" customHeight="1" x14ac:dyDescent="0.25">
      <c r="B273" s="1231" t="s">
        <v>173</v>
      </c>
      <c r="C273" s="1232"/>
      <c r="D273" s="1232"/>
      <c r="E273" s="1233"/>
      <c r="F273" s="804"/>
      <c r="G273" s="166" t="str">
        <f>"Nog af te bouwen regulatoir saldo einde "&amp;F271-1</f>
        <v>Nog af te bouwen regulatoir saldo einde 2018</v>
      </c>
      <c r="H273" s="166" t="str">
        <f>"Afbouw oudste openstaande regulatoir saldo vanaf boekjaar "&amp;F271-2&amp;" en vroeger, door aanwending van compensatie met regulatoir saldo ontstaan over boekjaar "&amp;F271-1</f>
        <v>Afbouw oudste openstaande regulatoir saldo vanaf boekjaar 2017 en vroeger, door aanwending van compensatie met regulatoir saldo ontstaan over boekjaar 2018</v>
      </c>
      <c r="I273" s="166" t="str">
        <f>"Nog af te bouwen regulatoir saldo na compensatie einde "&amp;F271-1</f>
        <v>Nog af te bouwen regulatoir saldo na compensatie einde 2018</v>
      </c>
      <c r="J273" s="166" t="str">
        <f>"Aanwending van 50% van het geaccumuleerd regulatoir saldo door te rekenen volgens de tariefmethodologie in het boekjaar "&amp;F271</f>
        <v>Aanwending van 50% van het geaccumuleerd regulatoir saldo door te rekenen volgens de tariefmethodologie in het boekjaar 2019</v>
      </c>
      <c r="K273" s="166" t="str">
        <f>"Aanwending van 50% van het geaccumuleerd regulatoir saldo door te rekenen volgens de tariefmethodologie in het boekjaar "&amp;F271</f>
        <v>Aanwending van 50% van het geaccumuleerd regulatoir saldo door te rekenen volgens de tariefmethodologie in het boekjaar 2019</v>
      </c>
      <c r="L273" s="166" t="str">
        <f>"Totale afbouw over "&amp;F271</f>
        <v>Totale afbouw over 2019</v>
      </c>
      <c r="M273" s="166" t="str">
        <f>"Nog af te bouwen regulatoir saldo einde "&amp;F271</f>
        <v>Nog af te bouwen regulatoir saldo einde 2019</v>
      </c>
      <c r="N273" s="564"/>
    </row>
    <row r="274" spans="2:15" ht="13" x14ac:dyDescent="0.25">
      <c r="B274" s="1228">
        <v>2017</v>
      </c>
      <c r="C274" s="1229"/>
      <c r="D274" s="1229"/>
      <c r="E274" s="1230"/>
      <c r="F274" s="283"/>
      <c r="G274" s="566">
        <f>K269</f>
        <v>0</v>
      </c>
      <c r="H274" s="566">
        <f>IF(SIGN(G275*K269)&lt;0,IF(G274&lt;&gt;0,-SIGN(G274)*MIN(ABS(G275),ABS(G274)),0),0)</f>
        <v>0</v>
      </c>
      <c r="I274" s="566">
        <f>+G274+H274</f>
        <v>0</v>
      </c>
      <c r="J274" s="1033"/>
      <c r="K274" s="1010">
        <f>-MIN(ABS(I274),ABS(J276))*SIGN(I274)</f>
        <v>0</v>
      </c>
      <c r="L274" s="1003">
        <f>+K274+H274</f>
        <v>0</v>
      </c>
      <c r="M274" s="566">
        <f>+I274+K274</f>
        <v>0</v>
      </c>
      <c r="N274" s="212"/>
      <c r="O274" s="167"/>
    </row>
    <row r="275" spans="2:15" ht="13" x14ac:dyDescent="0.25">
      <c r="B275" s="1228">
        <v>2018</v>
      </c>
      <c r="C275" s="1229"/>
      <c r="D275" s="1229"/>
      <c r="E275" s="1230"/>
      <c r="F275" s="283"/>
      <c r="G275" s="566">
        <f>+H122</f>
        <v>0</v>
      </c>
      <c r="H275" s="1003">
        <f>IF(SIGN(G275*K269)&lt;0,-H274,0)</f>
        <v>0</v>
      </c>
      <c r="I275" s="566">
        <f>+G275+H275</f>
        <v>0</v>
      </c>
      <c r="J275" s="1033"/>
      <c r="K275" s="1010">
        <f>-MIN(ABS(I275),ABS(J276-K274))*SIGN(I275)</f>
        <v>0</v>
      </c>
      <c r="L275" s="1003">
        <f>+K275+H275</f>
        <v>0</v>
      </c>
      <c r="M275" s="566">
        <f>+I275+K275</f>
        <v>0</v>
      </c>
      <c r="N275" s="212"/>
      <c r="O275" s="167"/>
    </row>
    <row r="276" spans="2:15" s="281" customFormat="1" ht="13" x14ac:dyDescent="0.3">
      <c r="G276" s="169">
        <f>SUM(G274:G275)</f>
        <v>0</v>
      </c>
      <c r="H276" s="169">
        <f>SUM(H274:H275)</f>
        <v>0</v>
      </c>
      <c r="I276" s="169">
        <f>SUM(I274:I275)</f>
        <v>0</v>
      </c>
      <c r="J276" s="291">
        <f>-I276*0.5</f>
        <v>0</v>
      </c>
      <c r="K276" s="291">
        <f>SUM(K274:K275)</f>
        <v>0</v>
      </c>
      <c r="L276" s="570"/>
      <c r="M276" s="169">
        <f>SUM(M274:M275)</f>
        <v>0</v>
      </c>
    </row>
    <row r="277" spans="2:15" x14ac:dyDescent="0.25">
      <c r="O277" s="167"/>
    </row>
    <row r="278" spans="2:15" ht="13" x14ac:dyDescent="0.25">
      <c r="B278" s="281" t="s">
        <v>172</v>
      </c>
      <c r="F278" s="1000">
        <v>2020</v>
      </c>
      <c r="O278" s="167"/>
    </row>
    <row r="279" spans="2:15" x14ac:dyDescent="0.25">
      <c r="O279" s="167"/>
    </row>
    <row r="280" spans="2:15" s="220" customFormat="1" ht="107.15" customHeight="1" x14ac:dyDescent="0.25">
      <c r="B280" s="1231" t="s">
        <v>173</v>
      </c>
      <c r="C280" s="1232"/>
      <c r="D280" s="1232"/>
      <c r="E280" s="1233"/>
      <c r="F280" s="804"/>
      <c r="G280" s="166" t="str">
        <f>"Nog af te bouwen regulatoir saldo einde "&amp;F278-1</f>
        <v>Nog af te bouwen regulatoir saldo einde 2019</v>
      </c>
      <c r="H280" s="166" t="str">
        <f>"Afbouw oudste openstaande regulatoir saldo vanaf boekjaar "&amp;F278-2&amp;" en vroeger, door aanwending van compensatie met regulatoir saldo ontstaan over boekjaar "&amp;F278-1</f>
        <v>Afbouw oudste openstaande regulatoir saldo vanaf boekjaar 2018 en vroeger, door aanwending van compensatie met regulatoir saldo ontstaan over boekjaar 2019</v>
      </c>
      <c r="I280" s="166" t="str">
        <f>"Nog af te bouwen regulatoir saldo na compensatie einde "&amp;F278-1</f>
        <v>Nog af te bouwen regulatoir saldo na compensatie einde 2019</v>
      </c>
      <c r="J280" s="166" t="str">
        <f>"Aanwending van 50% van het geaccumuleerd regulatoir saldo door te rekenen volgens de tariefmethodologie in het boekjaar "&amp;F278</f>
        <v>Aanwending van 50% van het geaccumuleerd regulatoir saldo door te rekenen volgens de tariefmethodologie in het boekjaar 2020</v>
      </c>
      <c r="K280" s="166" t="str">
        <f>"Aanwending van 50% van het geaccumuleerd regulatoir saldo door te rekenen volgens de tariefmethodologie in het boekjaar "&amp;F278</f>
        <v>Aanwending van 50% van het geaccumuleerd regulatoir saldo door te rekenen volgens de tariefmethodologie in het boekjaar 2020</v>
      </c>
      <c r="L280" s="166" t="str">
        <f>"Totale afbouw over "&amp;F278</f>
        <v>Totale afbouw over 2020</v>
      </c>
      <c r="M280" s="166" t="str">
        <f>"Nog af te bouwen regulatoir saldo einde "&amp;F278</f>
        <v>Nog af te bouwen regulatoir saldo einde 2020</v>
      </c>
      <c r="N280" s="564"/>
    </row>
    <row r="281" spans="2:15" ht="13" x14ac:dyDescent="0.25">
      <c r="B281" s="1228">
        <v>2017</v>
      </c>
      <c r="C281" s="1229"/>
      <c r="D281" s="1229"/>
      <c r="E281" s="1230"/>
      <c r="F281" s="283"/>
      <c r="G281" s="566">
        <f>+M274</f>
        <v>0</v>
      </c>
      <c r="H281" s="1003">
        <f>IF(SIGN(G283*M276)&lt;0,IF(G281&lt;&gt;0,-SIGN(G281)*MIN(ABS(G283),ABS(G281)),0),0)</f>
        <v>0</v>
      </c>
      <c r="I281" s="566">
        <f>+G281+H281</f>
        <v>0</v>
      </c>
      <c r="J281" s="1033"/>
      <c r="K281" s="1010">
        <f>-MIN(ABS(I281),ABS(J284))*SIGN(I281)</f>
        <v>0</v>
      </c>
      <c r="L281" s="1003">
        <f>+K281+H281</f>
        <v>0</v>
      </c>
      <c r="M281" s="566">
        <f>+I281+K281</f>
        <v>0</v>
      </c>
      <c r="N281" s="212"/>
      <c r="O281" s="167"/>
    </row>
    <row r="282" spans="2:15" ht="13" x14ac:dyDescent="0.25">
      <c r="B282" s="1228">
        <v>2018</v>
      </c>
      <c r="C282" s="1229"/>
      <c r="D282" s="1229">
        <v>2016</v>
      </c>
      <c r="E282" s="1230"/>
      <c r="F282" s="283"/>
      <c r="G282" s="566">
        <f>+M275</f>
        <v>0</v>
      </c>
      <c r="H282" s="1003">
        <f>IF(SIGN(G283*M276)&lt;0,IF(G282&lt;&gt;0,-SIGN(G282)*MIN(ABS(G283-H281),ABS(G282)),0),0)</f>
        <v>0</v>
      </c>
      <c r="I282" s="566">
        <f>+G282+H282</f>
        <v>0</v>
      </c>
      <c r="J282" s="1033"/>
      <c r="K282" s="1010">
        <f>-MIN(ABS(I282),ABS(J284-K281))*SIGN(I282)</f>
        <v>0</v>
      </c>
      <c r="L282" s="1003">
        <f>+K282+H282</f>
        <v>0</v>
      </c>
      <c r="M282" s="566">
        <f>+I282+K282</f>
        <v>0</v>
      </c>
      <c r="N282" s="212"/>
      <c r="O282" s="167"/>
    </row>
    <row r="283" spans="2:15" ht="13" x14ac:dyDescent="0.25">
      <c r="B283" s="1228">
        <v>2019</v>
      </c>
      <c r="C283" s="1229"/>
      <c r="D283" s="1229"/>
      <c r="E283" s="1230"/>
      <c r="F283" s="283"/>
      <c r="G283" s="566">
        <f>I123</f>
        <v>0</v>
      </c>
      <c r="H283" s="1003">
        <f>IF(SIGN(G283*M276)&lt;0,-SUM(H281:H282),0)</f>
        <v>0</v>
      </c>
      <c r="I283" s="566">
        <f>+G283+H283</f>
        <v>0</v>
      </c>
      <c r="J283" s="1033"/>
      <c r="K283" s="1010">
        <f>-MIN(ABS(I283),ABS(J284-K281-K282))*SIGN(I283)</f>
        <v>0</v>
      </c>
      <c r="L283" s="1003">
        <f>+K283+H283</f>
        <v>0</v>
      </c>
      <c r="M283" s="566">
        <f>+I283+K283</f>
        <v>0</v>
      </c>
      <c r="N283" s="212"/>
      <c r="O283" s="167"/>
    </row>
    <row r="284" spans="2:15" s="281" customFormat="1" ht="13" x14ac:dyDescent="0.3">
      <c r="G284" s="169">
        <f>SUM(G281:G283)</f>
        <v>0</v>
      </c>
      <c r="H284" s="169">
        <f>SUM(H281:H283)</f>
        <v>0</v>
      </c>
      <c r="I284" s="169">
        <f>SUM(I281:I283)</f>
        <v>0</v>
      </c>
      <c r="J284" s="291">
        <f>-I284*0.5</f>
        <v>0</v>
      </c>
      <c r="K284" s="291">
        <f>SUM(K281:K283)</f>
        <v>0</v>
      </c>
      <c r="L284" s="570"/>
      <c r="M284" s="169">
        <f>SUM(M281:M283)</f>
        <v>0</v>
      </c>
    </row>
    <row r="285" spans="2:15" x14ac:dyDescent="0.25">
      <c r="O285" s="167"/>
    </row>
    <row r="286" spans="2:15" ht="13" x14ac:dyDescent="0.25">
      <c r="B286" s="281" t="s">
        <v>172</v>
      </c>
      <c r="F286" s="1000">
        <v>2021</v>
      </c>
      <c r="O286" s="167"/>
    </row>
    <row r="287" spans="2:15" x14ac:dyDescent="0.25">
      <c r="O287" s="167"/>
    </row>
    <row r="288" spans="2:15" ht="78" customHeight="1" x14ac:dyDescent="0.25">
      <c r="B288" s="1231" t="s">
        <v>173</v>
      </c>
      <c r="C288" s="1232"/>
      <c r="D288" s="1232"/>
      <c r="E288" s="1233"/>
      <c r="F288" s="282"/>
      <c r="G288" s="166" t="str">
        <f>"Nog af te bouwen regulatoir saldo einde "&amp;F286-1</f>
        <v>Nog af te bouwen regulatoir saldo einde 2020</v>
      </c>
      <c r="H288" s="166" t="str">
        <f>"50% van het oorspronkelijk regulatoir saldo door te rekenen volgens de tariefmethodologie in het boekjaar "&amp;F286</f>
        <v>50% van het oorspronkelijk regulatoir saldo door te rekenen volgens de tariefmethodologie in het boekjaar 2021</v>
      </c>
      <c r="I288" s="166" t="str">
        <f>"Nog af te bouwen regulatoir saldo einde "&amp;F286</f>
        <v>Nog af te bouwen regulatoir saldo einde 2021</v>
      </c>
      <c r="J288" s="212"/>
      <c r="O288" s="167"/>
    </row>
    <row r="289" spans="2:15" ht="13" x14ac:dyDescent="0.25">
      <c r="B289" s="1228">
        <v>2017</v>
      </c>
      <c r="C289" s="1229"/>
      <c r="D289" s="1229"/>
      <c r="E289" s="1230"/>
      <c r="F289" s="283"/>
      <c r="G289" s="566">
        <f>+M281</f>
        <v>0</v>
      </c>
      <c r="H289" s="566">
        <f>-G289*0.5</f>
        <v>0</v>
      </c>
      <c r="I289" s="566">
        <f>+G289+H289</f>
        <v>0</v>
      </c>
      <c r="J289" s="212"/>
      <c r="O289" s="167"/>
    </row>
    <row r="290" spans="2:15" ht="13" x14ac:dyDescent="0.25">
      <c r="B290" s="1228">
        <v>2018</v>
      </c>
      <c r="C290" s="1229"/>
      <c r="D290" s="1229"/>
      <c r="E290" s="1230"/>
      <c r="F290" s="283"/>
      <c r="G290" s="566">
        <f t="shared" ref="G290:G291" si="35">+M282</f>
        <v>0</v>
      </c>
      <c r="H290" s="566">
        <f t="shared" ref="H290:H292" si="36">-G290*0.5</f>
        <v>0</v>
      </c>
      <c r="I290" s="566">
        <f t="shared" ref="I290:I292" si="37">+G290+H290</f>
        <v>0</v>
      </c>
      <c r="J290" s="212"/>
      <c r="O290" s="167"/>
    </row>
    <row r="291" spans="2:15" ht="13" x14ac:dyDescent="0.25">
      <c r="B291" s="1228">
        <v>2019</v>
      </c>
      <c r="C291" s="1229"/>
      <c r="D291" s="1229">
        <v>2016</v>
      </c>
      <c r="E291" s="1230"/>
      <c r="F291" s="283"/>
      <c r="G291" s="566">
        <f t="shared" si="35"/>
        <v>0</v>
      </c>
      <c r="H291" s="566">
        <f t="shared" si="36"/>
        <v>0</v>
      </c>
      <c r="I291" s="566">
        <f t="shared" si="37"/>
        <v>0</v>
      </c>
      <c r="J291" s="212"/>
      <c r="O291" s="167"/>
    </row>
    <row r="292" spans="2:15" ht="13" x14ac:dyDescent="0.25">
      <c r="B292" s="1228">
        <v>2020</v>
      </c>
      <c r="C292" s="1229"/>
      <c r="D292" s="1229"/>
      <c r="E292" s="1230"/>
      <c r="F292" s="283"/>
      <c r="G292" s="566">
        <f>J124</f>
        <v>0</v>
      </c>
      <c r="H292" s="566">
        <f t="shared" si="36"/>
        <v>0</v>
      </c>
      <c r="I292" s="566">
        <f t="shared" si="37"/>
        <v>0</v>
      </c>
      <c r="J292" s="212"/>
      <c r="O292" s="167"/>
    </row>
    <row r="293" spans="2:15" s="281" customFormat="1" ht="13" x14ac:dyDescent="0.25">
      <c r="G293" s="169">
        <f>SUM(G289:G292)</f>
        <v>0</v>
      </c>
      <c r="H293" s="169">
        <f>SUM(H289:H292)</f>
        <v>0</v>
      </c>
      <c r="I293" s="169">
        <f>SUM(I289:I292)</f>
        <v>0</v>
      </c>
    </row>
    <row r="294" spans="2:15" x14ac:dyDescent="0.25">
      <c r="G294" s="221"/>
      <c r="H294" s="221"/>
      <c r="I294" s="221"/>
      <c r="O294" s="167"/>
    </row>
    <row r="295" spans="2:15" ht="13" x14ac:dyDescent="0.25">
      <c r="B295" s="847" t="s">
        <v>172</v>
      </c>
      <c r="C295" s="842"/>
      <c r="D295" s="842"/>
      <c r="E295" s="842"/>
      <c r="F295" s="1004">
        <v>2022</v>
      </c>
      <c r="G295" s="842"/>
      <c r="H295" s="842"/>
      <c r="I295" s="842"/>
      <c r="O295" s="167"/>
    </row>
    <row r="296" spans="2:15" x14ac:dyDescent="0.25">
      <c r="B296" s="842"/>
      <c r="C296" s="842"/>
      <c r="D296" s="842"/>
      <c r="E296" s="842"/>
      <c r="F296" s="842"/>
      <c r="G296" s="842"/>
      <c r="H296" s="842"/>
      <c r="I296" s="842"/>
      <c r="O296" s="167"/>
    </row>
    <row r="297" spans="2:15" ht="78" customHeight="1" x14ac:dyDescent="0.25">
      <c r="B297" s="1237" t="s">
        <v>173</v>
      </c>
      <c r="C297" s="1238"/>
      <c r="D297" s="1238"/>
      <c r="E297" s="1239"/>
      <c r="F297" s="848"/>
      <c r="G297" s="837" t="str">
        <f>"Nog af te bouwen regulatoir saldo einde "&amp;F295-1</f>
        <v>Nog af te bouwen regulatoir saldo einde 2021</v>
      </c>
      <c r="H297" s="837" t="str">
        <f>"50% van het oorspronkelijk regulatoir saldo door te rekenen volgens de tariefmethodologie in het boekjaar "&amp;F295</f>
        <v>50% van het oorspronkelijk regulatoir saldo door te rekenen volgens de tariefmethodologie in het boekjaar 2022</v>
      </c>
      <c r="I297" s="837" t="str">
        <f>"Nog af te bouwen regulatoir saldo einde "&amp;F295</f>
        <v>Nog af te bouwen regulatoir saldo einde 2022</v>
      </c>
      <c r="J297" s="212"/>
      <c r="O297" s="167"/>
    </row>
    <row r="298" spans="2:15" ht="13" x14ac:dyDescent="0.25">
      <c r="B298" s="1234">
        <v>2017</v>
      </c>
      <c r="C298" s="1235"/>
      <c r="D298" s="1235">
        <v>2016</v>
      </c>
      <c r="E298" s="1236"/>
      <c r="F298" s="341"/>
      <c r="G298" s="568">
        <f>+I289</f>
        <v>0</v>
      </c>
      <c r="H298" s="568">
        <f>-G289*0.5</f>
        <v>0</v>
      </c>
      <c r="I298" s="568">
        <f t="shared" ref="I298:I302" si="38">+G298+H298</f>
        <v>0</v>
      </c>
      <c r="J298" s="212"/>
      <c r="O298" s="167"/>
    </row>
    <row r="299" spans="2:15" ht="13" x14ac:dyDescent="0.25">
      <c r="B299" s="1234">
        <v>2018</v>
      </c>
      <c r="C299" s="1235"/>
      <c r="D299" s="1235"/>
      <c r="E299" s="1236"/>
      <c r="F299" s="341"/>
      <c r="G299" s="568">
        <f t="shared" ref="G299:G301" si="39">+I290</f>
        <v>0</v>
      </c>
      <c r="H299" s="568">
        <f t="shared" ref="H299:H301" si="40">-G290*0.5</f>
        <v>0</v>
      </c>
      <c r="I299" s="568">
        <f t="shared" si="38"/>
        <v>0</v>
      </c>
      <c r="J299" s="212"/>
      <c r="O299" s="167"/>
    </row>
    <row r="300" spans="2:15" ht="13" x14ac:dyDescent="0.25">
      <c r="B300" s="1234">
        <v>2019</v>
      </c>
      <c r="C300" s="1235"/>
      <c r="D300" s="1235"/>
      <c r="E300" s="1236"/>
      <c r="F300" s="341"/>
      <c r="G300" s="568">
        <f t="shared" si="39"/>
        <v>0</v>
      </c>
      <c r="H300" s="568">
        <f t="shared" si="40"/>
        <v>0</v>
      </c>
      <c r="I300" s="568">
        <f t="shared" si="38"/>
        <v>0</v>
      </c>
      <c r="J300" s="212"/>
      <c r="O300" s="167"/>
    </row>
    <row r="301" spans="2:15" ht="13" x14ac:dyDescent="0.25">
      <c r="B301" s="1234">
        <v>2020</v>
      </c>
      <c r="C301" s="1235"/>
      <c r="D301" s="1235"/>
      <c r="E301" s="1236"/>
      <c r="F301" s="341"/>
      <c r="G301" s="568">
        <f t="shared" si="39"/>
        <v>0</v>
      </c>
      <c r="H301" s="568">
        <f t="shared" si="40"/>
        <v>0</v>
      </c>
      <c r="I301" s="568">
        <f t="shared" si="38"/>
        <v>0</v>
      </c>
      <c r="J301" s="212"/>
      <c r="O301" s="167"/>
    </row>
    <row r="302" spans="2:15" ht="13" x14ac:dyDescent="0.25">
      <c r="B302" s="1234">
        <v>2021</v>
      </c>
      <c r="C302" s="1235"/>
      <c r="D302" s="1235"/>
      <c r="E302" s="1236"/>
      <c r="F302" s="341"/>
      <c r="G302" s="568">
        <f>K125</f>
        <v>0</v>
      </c>
      <c r="H302" s="568">
        <f t="shared" ref="H302" si="41">-G302*0.5</f>
        <v>0</v>
      </c>
      <c r="I302" s="568">
        <f t="shared" si="38"/>
        <v>0</v>
      </c>
      <c r="J302" s="212"/>
      <c r="O302" s="167"/>
    </row>
    <row r="303" spans="2:15" s="281" customFormat="1" ht="13" x14ac:dyDescent="0.25">
      <c r="B303" s="847"/>
      <c r="C303" s="847"/>
      <c r="D303" s="847"/>
      <c r="E303" s="847"/>
      <c r="F303" s="847"/>
      <c r="G303" s="856">
        <f>SUM(G298:G302)</f>
        <v>0</v>
      </c>
      <c r="H303" s="856">
        <f>SUM(H298:H302)</f>
        <v>0</v>
      </c>
      <c r="I303" s="856">
        <f>SUM(I298:I302)</f>
        <v>0</v>
      </c>
    </row>
    <row r="304" spans="2:15" x14ac:dyDescent="0.25">
      <c r="B304" s="842"/>
      <c r="C304" s="842"/>
      <c r="D304" s="842"/>
      <c r="E304" s="842"/>
      <c r="F304" s="842"/>
      <c r="G304" s="842"/>
      <c r="H304" s="842"/>
      <c r="I304" s="842"/>
      <c r="O304" s="167"/>
    </row>
    <row r="305" spans="2:15" ht="13" x14ac:dyDescent="0.25">
      <c r="B305" s="847" t="s">
        <v>172</v>
      </c>
      <c r="C305" s="842"/>
      <c r="D305" s="842"/>
      <c r="E305" s="842"/>
      <c r="F305" s="1004">
        <v>2023</v>
      </c>
      <c r="G305" s="842"/>
      <c r="H305" s="842"/>
      <c r="I305" s="842"/>
      <c r="O305" s="167"/>
    </row>
    <row r="306" spans="2:15" x14ac:dyDescent="0.25">
      <c r="B306" s="842"/>
      <c r="C306" s="842"/>
      <c r="D306" s="842"/>
      <c r="E306" s="842"/>
      <c r="F306" s="842"/>
      <c r="G306" s="842"/>
      <c r="H306" s="842"/>
      <c r="I306" s="842"/>
      <c r="O306" s="167"/>
    </row>
    <row r="307" spans="2:15" ht="78" customHeight="1" x14ac:dyDescent="0.25">
      <c r="B307" s="1237" t="s">
        <v>173</v>
      </c>
      <c r="C307" s="1238"/>
      <c r="D307" s="1238"/>
      <c r="E307" s="1239"/>
      <c r="F307" s="848"/>
      <c r="G307" s="837" t="str">
        <f>"Nog af te bouwen regulatoir saldo einde "&amp;F305-1</f>
        <v>Nog af te bouwen regulatoir saldo einde 2022</v>
      </c>
      <c r="H307" s="837" t="str">
        <f>"50% van het oorspronkelijk regulatoir saldo door te rekenen volgens de tariefmethodologie in het boekjaar "&amp;F305</f>
        <v>50% van het oorspronkelijk regulatoir saldo door te rekenen volgens de tariefmethodologie in het boekjaar 2023</v>
      </c>
      <c r="I307" s="837" t="str">
        <f>"Nog af te bouwen regulatoir saldo einde "&amp;F305</f>
        <v>Nog af te bouwen regulatoir saldo einde 2023</v>
      </c>
      <c r="J307" s="212"/>
      <c r="O307" s="167"/>
    </row>
    <row r="308" spans="2:15" ht="13" x14ac:dyDescent="0.25">
      <c r="B308" s="1234">
        <v>2021</v>
      </c>
      <c r="C308" s="1235"/>
      <c r="D308" s="1235"/>
      <c r="E308" s="1236"/>
      <c r="F308" s="341"/>
      <c r="G308" s="568">
        <f>+I302</f>
        <v>0</v>
      </c>
      <c r="H308" s="568">
        <f>-G302*0.5</f>
        <v>0</v>
      </c>
      <c r="I308" s="568">
        <f t="shared" ref="I308:I309" si="42">+G308+H308</f>
        <v>0</v>
      </c>
      <c r="J308" s="212"/>
      <c r="O308" s="167"/>
    </row>
    <row r="309" spans="2:15" ht="13" x14ac:dyDescent="0.25">
      <c r="B309" s="1234">
        <v>2022</v>
      </c>
      <c r="C309" s="1235"/>
      <c r="D309" s="1235"/>
      <c r="E309" s="1236"/>
      <c r="F309" s="341"/>
      <c r="G309" s="568">
        <f>L126</f>
        <v>0</v>
      </c>
      <c r="H309" s="568">
        <f t="shared" ref="H309" si="43">-G309*0.5</f>
        <v>0</v>
      </c>
      <c r="I309" s="568">
        <f t="shared" si="42"/>
        <v>0</v>
      </c>
      <c r="J309" s="212"/>
      <c r="O309" s="167"/>
    </row>
    <row r="310" spans="2:15" s="281" customFormat="1" ht="13" x14ac:dyDescent="0.25">
      <c r="B310" s="847"/>
      <c r="C310" s="847"/>
      <c r="D310" s="847"/>
      <c r="E310" s="847"/>
      <c r="F310" s="847"/>
      <c r="G310" s="856">
        <f>SUM(G308:G309)</f>
        <v>0</v>
      </c>
      <c r="H310" s="856">
        <f>SUM(H308:H309)</f>
        <v>0</v>
      </c>
      <c r="I310" s="856">
        <f>SUM(I308:I309)</f>
        <v>0</v>
      </c>
    </row>
    <row r="311" spans="2:15" x14ac:dyDescent="0.25">
      <c r="B311" s="842"/>
      <c r="C311" s="842"/>
      <c r="D311" s="842"/>
      <c r="E311" s="842"/>
      <c r="F311" s="842"/>
      <c r="G311" s="842"/>
      <c r="H311" s="842"/>
      <c r="I311" s="842"/>
      <c r="O311" s="167"/>
    </row>
    <row r="312" spans="2:15" ht="13" x14ac:dyDescent="0.25">
      <c r="B312" s="847" t="s">
        <v>172</v>
      </c>
      <c r="C312" s="842"/>
      <c r="D312" s="842"/>
      <c r="E312" s="842"/>
      <c r="F312" s="1004">
        <v>2024</v>
      </c>
      <c r="G312" s="842"/>
      <c r="H312" s="842"/>
      <c r="I312" s="842"/>
      <c r="O312" s="167"/>
    </row>
    <row r="313" spans="2:15" x14ac:dyDescent="0.25">
      <c r="B313" s="842"/>
      <c r="C313" s="842"/>
      <c r="D313" s="842"/>
      <c r="E313" s="842"/>
      <c r="F313" s="842"/>
      <c r="G313" s="842"/>
      <c r="H313" s="842"/>
      <c r="I313" s="842"/>
      <c r="O313" s="167"/>
    </row>
    <row r="314" spans="2:15" ht="78" customHeight="1" x14ac:dyDescent="0.25">
      <c r="B314" s="1237" t="s">
        <v>173</v>
      </c>
      <c r="C314" s="1238"/>
      <c r="D314" s="1238"/>
      <c r="E314" s="1239"/>
      <c r="F314" s="848"/>
      <c r="G314" s="837" t="str">
        <f>"Nog af te bouwen regulatoir saldo einde "&amp;F312-1</f>
        <v>Nog af te bouwen regulatoir saldo einde 2023</v>
      </c>
      <c r="H314" s="837" t="str">
        <f>"50% van het oorspronkelijk regulatoir saldo door te rekenen volgens de tariefmethodologie in het boekjaar "&amp;F312</f>
        <v>50% van het oorspronkelijk regulatoir saldo door te rekenen volgens de tariefmethodologie in het boekjaar 2024</v>
      </c>
      <c r="I314" s="837" t="str">
        <f>"Nog af te bouwen regulatoir saldo einde "&amp;F312</f>
        <v>Nog af te bouwen regulatoir saldo einde 2024</v>
      </c>
      <c r="J314" s="212"/>
      <c r="O314" s="167"/>
    </row>
    <row r="315" spans="2:15" ht="13" x14ac:dyDescent="0.25">
      <c r="B315" s="1234">
        <v>2022</v>
      </c>
      <c r="C315" s="1235"/>
      <c r="D315" s="1235"/>
      <c r="E315" s="1236"/>
      <c r="F315" s="341"/>
      <c r="G315" s="568">
        <f>+I309</f>
        <v>0</v>
      </c>
      <c r="H315" s="568">
        <f>-G309*0.5</f>
        <v>0</v>
      </c>
      <c r="I315" s="568">
        <f t="shared" ref="I315:I316" si="44">+G315+H315</f>
        <v>0</v>
      </c>
      <c r="J315" s="212"/>
      <c r="O315" s="167"/>
    </row>
    <row r="316" spans="2:15" ht="13" x14ac:dyDescent="0.25">
      <c r="B316" s="1234">
        <v>2023</v>
      </c>
      <c r="C316" s="1235"/>
      <c r="D316" s="1235"/>
      <c r="E316" s="1236"/>
      <c r="F316" s="341"/>
      <c r="G316" s="568">
        <f>+M127</f>
        <v>0</v>
      </c>
      <c r="H316" s="568">
        <f t="shared" ref="H316" si="45">-G316*0.5</f>
        <v>0</v>
      </c>
      <c r="I316" s="568">
        <f t="shared" si="44"/>
        <v>0</v>
      </c>
      <c r="J316" s="212"/>
      <c r="O316" s="167"/>
    </row>
    <row r="317" spans="2:15" s="281" customFormat="1" ht="13" x14ac:dyDescent="0.25">
      <c r="B317" s="847"/>
      <c r="C317" s="847"/>
      <c r="D317" s="847"/>
      <c r="E317" s="847"/>
      <c r="F317" s="847"/>
      <c r="G317" s="856">
        <f>SUM(G315:G316)</f>
        <v>0</v>
      </c>
      <c r="H317" s="856">
        <f>SUM(H315:H316)</f>
        <v>0</v>
      </c>
      <c r="I317" s="856">
        <f>SUM(I315:I316)</f>
        <v>0</v>
      </c>
    </row>
    <row r="318" spans="2:15" ht="13" x14ac:dyDescent="0.25">
      <c r="B318" s="281" t="str">
        <f>+B264</f>
        <v>Het tarief voor het systeembeheer</v>
      </c>
      <c r="O318" s="167"/>
    </row>
    <row r="319" spans="2:15" ht="13" x14ac:dyDescent="0.25">
      <c r="B319" s="281" t="s">
        <v>174</v>
      </c>
      <c r="C319" s="224"/>
      <c r="D319" s="224"/>
      <c r="E319" s="224"/>
      <c r="O319" s="167"/>
    </row>
    <row r="320" spans="2:15" ht="13" x14ac:dyDescent="0.25">
      <c r="B320" s="281"/>
      <c r="C320" s="224"/>
      <c r="D320" s="224"/>
      <c r="E320" s="224"/>
      <c r="O320" s="167"/>
    </row>
    <row r="321" spans="2:16" ht="13" x14ac:dyDescent="0.25">
      <c r="B321" s="283">
        <f>F286</f>
        <v>2021</v>
      </c>
      <c r="C321" s="287">
        <f>+H293</f>
        <v>0</v>
      </c>
      <c r="D321" s="224"/>
      <c r="E321" s="224"/>
      <c r="O321" s="167"/>
    </row>
    <row r="322" spans="2:16" ht="13" x14ac:dyDescent="0.25">
      <c r="B322" s="341">
        <v>2022</v>
      </c>
      <c r="C322" s="342">
        <f>+H303</f>
        <v>0</v>
      </c>
      <c r="D322" s="224"/>
      <c r="E322" s="224"/>
      <c r="O322" s="167"/>
    </row>
    <row r="323" spans="2:16" ht="13" x14ac:dyDescent="0.25">
      <c r="B323" s="341">
        <v>2023</v>
      </c>
      <c r="C323" s="342">
        <f>+H310</f>
        <v>0</v>
      </c>
      <c r="D323" s="224"/>
      <c r="E323" s="224"/>
      <c r="O323" s="167"/>
    </row>
    <row r="324" spans="2:16" ht="13" x14ac:dyDescent="0.25">
      <c r="B324" s="341">
        <v>2024</v>
      </c>
      <c r="C324" s="342">
        <f>+H317</f>
        <v>0</v>
      </c>
      <c r="D324" s="224"/>
      <c r="E324" s="224"/>
      <c r="O324" s="167"/>
    </row>
    <row r="325" spans="2:16" x14ac:dyDescent="0.25">
      <c r="O325" s="167"/>
    </row>
    <row r="326" spans="2:16" x14ac:dyDescent="0.25">
      <c r="O326" s="167"/>
    </row>
    <row r="327" spans="2:16" ht="13" x14ac:dyDescent="0.25">
      <c r="B327" s="326" t="s">
        <v>205</v>
      </c>
      <c r="C327" s="327"/>
      <c r="D327" s="327"/>
      <c r="E327" s="327"/>
      <c r="F327" s="328"/>
      <c r="G327" s="328"/>
      <c r="H327" s="328"/>
      <c r="I327" s="328"/>
      <c r="J327" s="328"/>
      <c r="K327" s="328"/>
      <c r="L327" s="328"/>
      <c r="M327" s="328"/>
      <c r="N327" s="328"/>
      <c r="O327" s="329"/>
      <c r="P327" s="328"/>
    </row>
    <row r="328" spans="2:16" x14ac:dyDescent="0.25">
      <c r="O328" s="212"/>
    </row>
    <row r="329" spans="2:16" ht="13" x14ac:dyDescent="0.25">
      <c r="B329" s="281" t="s">
        <v>172</v>
      </c>
      <c r="F329" s="1000">
        <v>2018</v>
      </c>
      <c r="O329" s="212"/>
    </row>
    <row r="330" spans="2:16" x14ac:dyDescent="0.25">
      <c r="O330" s="167"/>
    </row>
    <row r="331" spans="2:16" s="220" customFormat="1" ht="107.15" customHeight="1" x14ac:dyDescent="0.25">
      <c r="B331" s="1231" t="s">
        <v>173</v>
      </c>
      <c r="C331" s="1232"/>
      <c r="D331" s="1232"/>
      <c r="E331" s="1233"/>
      <c r="F331" s="804"/>
      <c r="G331" s="166" t="str">
        <f>"Nog af te bouwen regulatoir saldo einde "&amp;F329-1</f>
        <v>Nog af te bouwen regulatoir saldo einde 2017</v>
      </c>
      <c r="H331" s="166" t="str">
        <f>"Afbouw oudste openstaande regulatoir saldo vanaf boekjaar "&amp;F329-2&amp;" en vroeger, door aanwending van compensatie met regulatoir saldo ontstaan over boekjaar "&amp;F329-1</f>
        <v>Afbouw oudste openstaande regulatoir saldo vanaf boekjaar 2016 en vroeger, door aanwending van compensatie met regulatoir saldo ontstaan over boekjaar 2017</v>
      </c>
      <c r="I331" s="166" t="str">
        <f>"Nog af te bouwen regulatoir saldo na compensatie einde "&amp;F329-1</f>
        <v>Nog af te bouwen regulatoir saldo na compensatie einde 2017</v>
      </c>
      <c r="J331" s="166" t="str">
        <f>"Aanwending van 50% van het geaccumuleerd regulatoir saldo door te rekenen volgens de tariefmethodologie in het boekjaar "&amp;F329</f>
        <v>Aanwending van 50% van het geaccumuleerd regulatoir saldo door te rekenen volgens de tariefmethodologie in het boekjaar 2018</v>
      </c>
      <c r="K331" s="166" t="str">
        <f>"Nog af te bouwen regulatoir saldo einde "&amp;F329</f>
        <v>Nog af te bouwen regulatoir saldo einde 2018</v>
      </c>
      <c r="L331" s="228"/>
      <c r="M331" s="228"/>
      <c r="N331" s="228"/>
    </row>
    <row r="332" spans="2:16" ht="13" x14ac:dyDescent="0.25">
      <c r="B332" s="1228">
        <v>2017</v>
      </c>
      <c r="C332" s="1229"/>
      <c r="D332" s="1229"/>
      <c r="E332" s="1230"/>
      <c r="F332" s="283"/>
      <c r="G332" s="566">
        <f>+G130</f>
        <v>0</v>
      </c>
      <c r="H332" s="566">
        <v>0</v>
      </c>
      <c r="I332" s="566">
        <f>+G332+H332</f>
        <v>0</v>
      </c>
      <c r="J332" s="1010">
        <f>-I332*0.5</f>
        <v>0</v>
      </c>
      <c r="K332" s="1032">
        <f>+J332+G332</f>
        <v>0</v>
      </c>
      <c r="L332" s="1002"/>
      <c r="M332" s="1002"/>
      <c r="N332" s="1002"/>
      <c r="O332" s="167"/>
    </row>
    <row r="333" spans="2:16" x14ac:dyDescent="0.25">
      <c r="O333" s="167"/>
    </row>
    <row r="334" spans="2:16" ht="13" x14ac:dyDescent="0.25">
      <c r="B334" s="281" t="s">
        <v>172</v>
      </c>
      <c r="F334" s="1000">
        <v>2019</v>
      </c>
      <c r="O334" s="212"/>
    </row>
    <row r="335" spans="2:16" x14ac:dyDescent="0.25">
      <c r="O335" s="212"/>
    </row>
    <row r="336" spans="2:16" s="220" customFormat="1" ht="107.15" customHeight="1" x14ac:dyDescent="0.25">
      <c r="B336" s="1231" t="s">
        <v>173</v>
      </c>
      <c r="C336" s="1232"/>
      <c r="D336" s="1232"/>
      <c r="E336" s="1233"/>
      <c r="F336" s="804"/>
      <c r="G336" s="166" t="str">
        <f>"Nog af te bouwen regulatoir saldo einde "&amp;F334-1</f>
        <v>Nog af te bouwen regulatoir saldo einde 2018</v>
      </c>
      <c r="H336" s="166" t="str">
        <f>"Afbouw oudste openstaande regulatoir saldo vanaf boekjaar "&amp;F334-2&amp;" en vroeger, door aanwending van compensatie met regulatoir saldo ontstaan over boekjaar "&amp;F334-1</f>
        <v>Afbouw oudste openstaande regulatoir saldo vanaf boekjaar 2017 en vroeger, door aanwending van compensatie met regulatoir saldo ontstaan over boekjaar 2018</v>
      </c>
      <c r="I336" s="166" t="str">
        <f>"Nog af te bouwen regulatoir saldo na compensatie einde "&amp;F334-1</f>
        <v>Nog af te bouwen regulatoir saldo na compensatie einde 2018</v>
      </c>
      <c r="J336" s="166" t="str">
        <f>"Aanwending van 50% van het geaccumuleerd regulatoir saldo door te rekenen volgens de tariefmethodologie in het boekjaar "&amp;F334</f>
        <v>Aanwending van 50% van het geaccumuleerd regulatoir saldo door te rekenen volgens de tariefmethodologie in het boekjaar 2019</v>
      </c>
      <c r="K336" s="166" t="str">
        <f>"Aanwending van 50% van het geaccumuleerd regulatoir saldo door te rekenen volgens de tariefmethodologie in het boekjaar "&amp;F334</f>
        <v>Aanwending van 50% van het geaccumuleerd regulatoir saldo door te rekenen volgens de tariefmethodologie in het boekjaar 2019</v>
      </c>
      <c r="L336" s="166" t="str">
        <f>"Totale afbouw over "&amp;F334</f>
        <v>Totale afbouw over 2019</v>
      </c>
      <c r="M336" s="166" t="str">
        <f>"Nog af te bouwen regulatoir saldo einde "&amp;F334</f>
        <v>Nog af te bouwen regulatoir saldo einde 2019</v>
      </c>
      <c r="N336" s="564"/>
    </row>
    <row r="337" spans="2:15" ht="13" x14ac:dyDescent="0.25">
      <c r="B337" s="1228">
        <v>2017</v>
      </c>
      <c r="C337" s="1229"/>
      <c r="D337" s="1229"/>
      <c r="E337" s="1230"/>
      <c r="F337" s="283"/>
      <c r="G337" s="566">
        <f>K332</f>
        <v>0</v>
      </c>
      <c r="H337" s="566">
        <f>IF(SIGN(G338*K332)&lt;0,IF(G337&lt;&gt;0,-SIGN(G337)*MIN(ABS(G338),ABS(G337)),0),0)</f>
        <v>0</v>
      </c>
      <c r="I337" s="566">
        <f>+G337+H337</f>
        <v>0</v>
      </c>
      <c r="J337" s="1033"/>
      <c r="K337" s="1010">
        <f>-MIN(ABS(I337),ABS(J339))*SIGN(I337)</f>
        <v>0</v>
      </c>
      <c r="L337" s="1003">
        <f>+K337+H337</f>
        <v>0</v>
      </c>
      <c r="M337" s="566">
        <f>+I337+K337</f>
        <v>0</v>
      </c>
      <c r="N337" s="212"/>
      <c r="O337" s="167"/>
    </row>
    <row r="338" spans="2:15" ht="13" x14ac:dyDescent="0.25">
      <c r="B338" s="1228">
        <v>2018</v>
      </c>
      <c r="C338" s="1229"/>
      <c r="D338" s="1229"/>
      <c r="E338" s="1230"/>
      <c r="F338" s="283"/>
      <c r="G338" s="566">
        <f>+H131</f>
        <v>0</v>
      </c>
      <c r="H338" s="1003">
        <f>IF(SIGN(G338*K332)&lt;0,-H337,0)</f>
        <v>0</v>
      </c>
      <c r="I338" s="566">
        <f>+G338+H338</f>
        <v>0</v>
      </c>
      <c r="J338" s="1033"/>
      <c r="K338" s="1010">
        <f>-MIN(ABS(I338),ABS(J339-K337))*SIGN(I338)</f>
        <v>0</v>
      </c>
      <c r="L338" s="1003">
        <f>+K338+H338</f>
        <v>0</v>
      </c>
      <c r="M338" s="566">
        <f>+I338+K338</f>
        <v>0</v>
      </c>
      <c r="N338" s="212"/>
      <c r="O338" s="167"/>
    </row>
    <row r="339" spans="2:15" s="281" customFormat="1" ht="13" x14ac:dyDescent="0.3">
      <c r="G339" s="169">
        <f>SUM(G337:G338)</f>
        <v>0</v>
      </c>
      <c r="H339" s="169">
        <f>SUM(H337:H338)</f>
        <v>0</v>
      </c>
      <c r="I339" s="169">
        <f>SUM(I337:I338)</f>
        <v>0</v>
      </c>
      <c r="J339" s="291">
        <f>-I339*0.5</f>
        <v>0</v>
      </c>
      <c r="K339" s="291">
        <f>SUM(K337:K338)</f>
        <v>0</v>
      </c>
      <c r="L339" s="570"/>
      <c r="M339" s="169">
        <f>SUM(M337:M338)</f>
        <v>0</v>
      </c>
    </row>
    <row r="340" spans="2:15" x14ac:dyDescent="0.25">
      <c r="O340" s="167"/>
    </row>
    <row r="341" spans="2:15" ht="13" x14ac:dyDescent="0.25">
      <c r="B341" s="281" t="s">
        <v>172</v>
      </c>
      <c r="F341" s="1000">
        <v>2020</v>
      </c>
      <c r="O341" s="167"/>
    </row>
    <row r="342" spans="2:15" x14ac:dyDescent="0.25">
      <c r="O342" s="167"/>
    </row>
    <row r="343" spans="2:15" s="220" customFormat="1" ht="107.15" customHeight="1" x14ac:dyDescent="0.25">
      <c r="B343" s="1231" t="s">
        <v>173</v>
      </c>
      <c r="C343" s="1232"/>
      <c r="D343" s="1232"/>
      <c r="E343" s="1233"/>
      <c r="F343" s="804"/>
      <c r="G343" s="166" t="str">
        <f>"Nog af te bouwen regulatoir saldo einde "&amp;F341-1</f>
        <v>Nog af te bouwen regulatoir saldo einde 2019</v>
      </c>
      <c r="H343" s="166" t="str">
        <f>"Afbouw oudste openstaande regulatoir saldo vanaf boekjaar "&amp;F341-2&amp;" en vroeger, door aanwending van compensatie met regulatoir saldo ontstaan over boekjaar "&amp;F341-1</f>
        <v>Afbouw oudste openstaande regulatoir saldo vanaf boekjaar 2018 en vroeger, door aanwending van compensatie met regulatoir saldo ontstaan over boekjaar 2019</v>
      </c>
      <c r="I343" s="166" t="str">
        <f>"Nog af te bouwen regulatoir saldo na compensatie einde "&amp;F341-1</f>
        <v>Nog af te bouwen regulatoir saldo na compensatie einde 2019</v>
      </c>
      <c r="J343" s="166" t="str">
        <f>"Aanwending van 50% van het geaccumuleerd regulatoir saldo door te rekenen volgens de tariefmethodologie in het boekjaar "&amp;F341</f>
        <v>Aanwending van 50% van het geaccumuleerd regulatoir saldo door te rekenen volgens de tariefmethodologie in het boekjaar 2020</v>
      </c>
      <c r="K343" s="166" t="str">
        <f>"Aanwending van 50% van het geaccumuleerd regulatoir saldo door te rekenen volgens de tariefmethodologie in het boekjaar "&amp;F341</f>
        <v>Aanwending van 50% van het geaccumuleerd regulatoir saldo door te rekenen volgens de tariefmethodologie in het boekjaar 2020</v>
      </c>
      <c r="L343" s="166" t="str">
        <f>"Totale afbouw over "&amp;F341</f>
        <v>Totale afbouw over 2020</v>
      </c>
      <c r="M343" s="166" t="str">
        <f>"Nog af te bouwen regulatoir saldo einde "&amp;F341</f>
        <v>Nog af te bouwen regulatoir saldo einde 2020</v>
      </c>
      <c r="N343" s="564"/>
    </row>
    <row r="344" spans="2:15" ht="13" x14ac:dyDescent="0.25">
      <c r="B344" s="1228">
        <v>2017</v>
      </c>
      <c r="C344" s="1229"/>
      <c r="D344" s="1229"/>
      <c r="E344" s="1230"/>
      <c r="F344" s="283"/>
      <c r="G344" s="566">
        <f>+M337</f>
        <v>0</v>
      </c>
      <c r="H344" s="1003">
        <f>IF(SIGN(G346*M339)&lt;0,IF(G344&lt;&gt;0,-SIGN(G344)*MIN(ABS(G346),ABS(G344)),0),0)</f>
        <v>0</v>
      </c>
      <c r="I344" s="566">
        <f>+G344+H344</f>
        <v>0</v>
      </c>
      <c r="J344" s="1033"/>
      <c r="K344" s="1010">
        <f>-MIN(ABS(I344),ABS(J347))*SIGN(I344)</f>
        <v>0</v>
      </c>
      <c r="L344" s="1003">
        <f>+K344+H344</f>
        <v>0</v>
      </c>
      <c r="M344" s="566">
        <f>+I344+K344</f>
        <v>0</v>
      </c>
      <c r="N344" s="212"/>
      <c r="O344" s="167"/>
    </row>
    <row r="345" spans="2:15" ht="13" x14ac:dyDescent="0.25">
      <c r="B345" s="1228">
        <v>2018</v>
      </c>
      <c r="C345" s="1229"/>
      <c r="D345" s="1229">
        <v>2016</v>
      </c>
      <c r="E345" s="1230"/>
      <c r="F345" s="283"/>
      <c r="G345" s="566">
        <f>+M338</f>
        <v>0</v>
      </c>
      <c r="H345" s="1003">
        <f>IF(SIGN(G346*M339)&lt;0,IF(G345&lt;&gt;0,-SIGN(G345)*MIN(ABS(G346-H344),ABS(G345)),0),0)</f>
        <v>0</v>
      </c>
      <c r="I345" s="566">
        <f>+G345+H345</f>
        <v>0</v>
      </c>
      <c r="J345" s="1033"/>
      <c r="K345" s="1010">
        <f>-MIN(ABS(I345),ABS(J347-K344))*SIGN(I345)</f>
        <v>0</v>
      </c>
      <c r="L345" s="1003">
        <f>+K345+H345</f>
        <v>0</v>
      </c>
      <c r="M345" s="566">
        <f>+I345+K345</f>
        <v>0</v>
      </c>
      <c r="N345" s="212"/>
      <c r="O345" s="167"/>
    </row>
    <row r="346" spans="2:15" ht="13" x14ac:dyDescent="0.25">
      <c r="B346" s="1228">
        <v>2019</v>
      </c>
      <c r="C346" s="1229"/>
      <c r="D346" s="1229"/>
      <c r="E346" s="1230"/>
      <c r="F346" s="283"/>
      <c r="G346" s="566">
        <f>I132</f>
        <v>0</v>
      </c>
      <c r="H346" s="1003">
        <f>IF(SIGN(G346*M339)&lt;0,-SUM(H344:H345),0)</f>
        <v>0</v>
      </c>
      <c r="I346" s="566">
        <f>+G346+H346</f>
        <v>0</v>
      </c>
      <c r="J346" s="1033"/>
      <c r="K346" s="1010">
        <f>-MIN(ABS(I346),ABS(J347-K344-K345))*SIGN(I346)</f>
        <v>0</v>
      </c>
      <c r="L346" s="1003">
        <f>+K346+H346</f>
        <v>0</v>
      </c>
      <c r="M346" s="566">
        <f>+I346+K346</f>
        <v>0</v>
      </c>
      <c r="N346" s="212"/>
      <c r="O346" s="167"/>
    </row>
    <row r="347" spans="2:15" s="281" customFormat="1" ht="13" x14ac:dyDescent="0.3">
      <c r="G347" s="169">
        <f>SUM(G344:G346)</f>
        <v>0</v>
      </c>
      <c r="H347" s="169">
        <f>SUM(H344:H346)</f>
        <v>0</v>
      </c>
      <c r="I347" s="169">
        <f>SUM(I344:I346)</f>
        <v>0</v>
      </c>
      <c r="J347" s="291">
        <f>-I347*0.5</f>
        <v>0</v>
      </c>
      <c r="K347" s="291">
        <f>SUM(K344:K346)</f>
        <v>0</v>
      </c>
      <c r="L347" s="570"/>
      <c r="M347" s="169">
        <f>SUM(M344:M346)</f>
        <v>0</v>
      </c>
    </row>
    <row r="348" spans="2:15" x14ac:dyDescent="0.25">
      <c r="O348" s="167"/>
    </row>
    <row r="349" spans="2:15" ht="13" x14ac:dyDescent="0.25">
      <c r="B349" s="281" t="s">
        <v>172</v>
      </c>
      <c r="F349" s="1000">
        <v>2021</v>
      </c>
      <c r="O349" s="167"/>
    </row>
    <row r="350" spans="2:15" x14ac:dyDescent="0.25">
      <c r="O350" s="167"/>
    </row>
    <row r="351" spans="2:15" ht="78" customHeight="1" x14ac:dyDescent="0.25">
      <c r="B351" s="1231" t="s">
        <v>173</v>
      </c>
      <c r="C351" s="1232"/>
      <c r="D351" s="1232"/>
      <c r="E351" s="1233"/>
      <c r="F351" s="282"/>
      <c r="G351" s="166" t="str">
        <f>"Nog af te bouwen regulatoir saldo einde "&amp;F349-1</f>
        <v>Nog af te bouwen regulatoir saldo einde 2020</v>
      </c>
      <c r="H351" s="166" t="str">
        <f>"50% van het oorspronkelijk regulatoir saldo door te rekenen volgens de tariefmethodologie in het boekjaar "&amp;F349</f>
        <v>50% van het oorspronkelijk regulatoir saldo door te rekenen volgens de tariefmethodologie in het boekjaar 2021</v>
      </c>
      <c r="I351" s="166" t="str">
        <f>"Nog af te bouwen regulatoir saldo einde "&amp;F349</f>
        <v>Nog af te bouwen regulatoir saldo einde 2021</v>
      </c>
      <c r="J351" s="212"/>
      <c r="O351" s="167"/>
    </row>
    <row r="352" spans="2:15" ht="13" x14ac:dyDescent="0.25">
      <c r="B352" s="1228">
        <v>2017</v>
      </c>
      <c r="C352" s="1229"/>
      <c r="D352" s="1229"/>
      <c r="E352" s="1230"/>
      <c r="F352" s="283"/>
      <c r="G352" s="566">
        <f>+M344</f>
        <v>0</v>
      </c>
      <c r="H352" s="566">
        <f>-G352*0.5</f>
        <v>0</v>
      </c>
      <c r="I352" s="566">
        <f>+G352+H352</f>
        <v>0</v>
      </c>
      <c r="J352" s="212"/>
      <c r="O352" s="167"/>
    </row>
    <row r="353" spans="2:15" ht="13" x14ac:dyDescent="0.25">
      <c r="B353" s="1228">
        <v>2018</v>
      </c>
      <c r="C353" s="1229"/>
      <c r="D353" s="1229"/>
      <c r="E353" s="1230"/>
      <c r="F353" s="283"/>
      <c r="G353" s="566">
        <f t="shared" ref="G353:G354" si="46">+M345</f>
        <v>0</v>
      </c>
      <c r="H353" s="566">
        <f t="shared" ref="H353:H355" si="47">-G353*0.5</f>
        <v>0</v>
      </c>
      <c r="I353" s="566">
        <f t="shared" ref="I353:I355" si="48">+G353+H353</f>
        <v>0</v>
      </c>
      <c r="J353" s="212"/>
      <c r="O353" s="167"/>
    </row>
    <row r="354" spans="2:15" ht="13" x14ac:dyDescent="0.25">
      <c r="B354" s="1228">
        <v>2019</v>
      </c>
      <c r="C354" s="1229"/>
      <c r="D354" s="1229">
        <v>2016</v>
      </c>
      <c r="E354" s="1230"/>
      <c r="F354" s="283"/>
      <c r="G354" s="566">
        <f t="shared" si="46"/>
        <v>0</v>
      </c>
      <c r="H354" s="566">
        <f t="shared" si="47"/>
        <v>0</v>
      </c>
      <c r="I354" s="566">
        <f t="shared" si="48"/>
        <v>0</v>
      </c>
      <c r="J354" s="212"/>
      <c r="O354" s="167"/>
    </row>
    <row r="355" spans="2:15" ht="13" x14ac:dyDescent="0.25">
      <c r="B355" s="1228">
        <v>2020</v>
      </c>
      <c r="C355" s="1229"/>
      <c r="D355" s="1229"/>
      <c r="E355" s="1230"/>
      <c r="F355" s="283"/>
      <c r="G355" s="566">
        <f>J133</f>
        <v>0</v>
      </c>
      <c r="H355" s="566">
        <f t="shared" si="47"/>
        <v>0</v>
      </c>
      <c r="I355" s="566">
        <f t="shared" si="48"/>
        <v>0</v>
      </c>
      <c r="J355" s="212"/>
      <c r="O355" s="167"/>
    </row>
    <row r="356" spans="2:15" s="281" customFormat="1" ht="13" x14ac:dyDescent="0.25">
      <c r="G356" s="169">
        <f>SUM(G352:G355)</f>
        <v>0</v>
      </c>
      <c r="H356" s="169">
        <f>SUM(H352:H355)</f>
        <v>0</v>
      </c>
      <c r="I356" s="169">
        <f>SUM(I352:I355)</f>
        <v>0</v>
      </c>
    </row>
    <row r="357" spans="2:15" x14ac:dyDescent="0.25">
      <c r="G357" s="221"/>
      <c r="H357" s="221"/>
      <c r="I357" s="221"/>
      <c r="O357" s="167"/>
    </row>
    <row r="358" spans="2:15" ht="13" x14ac:dyDescent="0.25">
      <c r="B358" s="847" t="s">
        <v>172</v>
      </c>
      <c r="C358" s="842"/>
      <c r="D358" s="842"/>
      <c r="E358" s="842"/>
      <c r="F358" s="1004">
        <v>2022</v>
      </c>
      <c r="G358" s="842"/>
      <c r="H358" s="842"/>
      <c r="I358" s="842"/>
      <c r="O358" s="167"/>
    </row>
    <row r="359" spans="2:15" x14ac:dyDescent="0.25">
      <c r="B359" s="842"/>
      <c r="C359" s="842"/>
      <c r="D359" s="842"/>
      <c r="E359" s="842"/>
      <c r="F359" s="842"/>
      <c r="G359" s="842"/>
      <c r="H359" s="842"/>
      <c r="I359" s="842"/>
      <c r="O359" s="167"/>
    </row>
    <row r="360" spans="2:15" ht="78" customHeight="1" x14ac:dyDescent="0.25">
      <c r="B360" s="1237" t="s">
        <v>173</v>
      </c>
      <c r="C360" s="1238"/>
      <c r="D360" s="1238"/>
      <c r="E360" s="1239"/>
      <c r="F360" s="848"/>
      <c r="G360" s="837" t="str">
        <f>"Nog af te bouwen regulatoir saldo einde "&amp;F358-1</f>
        <v>Nog af te bouwen regulatoir saldo einde 2021</v>
      </c>
      <c r="H360" s="837" t="str">
        <f>"50% van het oorspronkelijk regulatoir saldo door te rekenen volgens de tariefmethodologie in het boekjaar "&amp;F358</f>
        <v>50% van het oorspronkelijk regulatoir saldo door te rekenen volgens de tariefmethodologie in het boekjaar 2022</v>
      </c>
      <c r="I360" s="837" t="str">
        <f>"Nog af te bouwen regulatoir saldo einde "&amp;F358</f>
        <v>Nog af te bouwen regulatoir saldo einde 2022</v>
      </c>
      <c r="J360" s="212"/>
      <c r="O360" s="167"/>
    </row>
    <row r="361" spans="2:15" ht="13" x14ac:dyDescent="0.25">
      <c r="B361" s="1234">
        <v>2017</v>
      </c>
      <c r="C361" s="1235"/>
      <c r="D361" s="1235">
        <v>2016</v>
      </c>
      <c r="E361" s="1236"/>
      <c r="F361" s="341"/>
      <c r="G361" s="568">
        <f>+I352</f>
        <v>0</v>
      </c>
      <c r="H361" s="568">
        <f>-G352*0.5</f>
        <v>0</v>
      </c>
      <c r="I361" s="568">
        <f t="shared" ref="I361:I365" si="49">+G361+H361</f>
        <v>0</v>
      </c>
      <c r="J361" s="212"/>
      <c r="O361" s="167"/>
    </row>
    <row r="362" spans="2:15" ht="13" x14ac:dyDescent="0.25">
      <c r="B362" s="1234">
        <v>2018</v>
      </c>
      <c r="C362" s="1235"/>
      <c r="D362" s="1235"/>
      <c r="E362" s="1236"/>
      <c r="F362" s="341"/>
      <c r="G362" s="568">
        <f t="shared" ref="G362:G364" si="50">+I353</f>
        <v>0</v>
      </c>
      <c r="H362" s="568">
        <f t="shared" ref="H362:H364" si="51">-G353*0.5</f>
        <v>0</v>
      </c>
      <c r="I362" s="568">
        <f t="shared" si="49"/>
        <v>0</v>
      </c>
      <c r="J362" s="212"/>
      <c r="O362" s="167"/>
    </row>
    <row r="363" spans="2:15" ht="13" x14ac:dyDescent="0.25">
      <c r="B363" s="1234">
        <v>2019</v>
      </c>
      <c r="C363" s="1235"/>
      <c r="D363" s="1235"/>
      <c r="E363" s="1236"/>
      <c r="F363" s="341"/>
      <c r="G363" s="568">
        <f t="shared" si="50"/>
        <v>0</v>
      </c>
      <c r="H363" s="568">
        <f t="shared" si="51"/>
        <v>0</v>
      </c>
      <c r="I363" s="568">
        <f t="shared" si="49"/>
        <v>0</v>
      </c>
      <c r="J363" s="212"/>
      <c r="O363" s="167"/>
    </row>
    <row r="364" spans="2:15" ht="13" x14ac:dyDescent="0.25">
      <c r="B364" s="1234">
        <v>2020</v>
      </c>
      <c r="C364" s="1235"/>
      <c r="D364" s="1235"/>
      <c r="E364" s="1236"/>
      <c r="F364" s="341"/>
      <c r="G364" s="568">
        <f t="shared" si="50"/>
        <v>0</v>
      </c>
      <c r="H364" s="568">
        <f t="shared" si="51"/>
        <v>0</v>
      </c>
      <c r="I364" s="568">
        <f t="shared" si="49"/>
        <v>0</v>
      </c>
      <c r="J364" s="212"/>
      <c r="O364" s="167"/>
    </row>
    <row r="365" spans="2:15" ht="13" x14ac:dyDescent="0.25">
      <c r="B365" s="1234">
        <v>2021</v>
      </c>
      <c r="C365" s="1235"/>
      <c r="D365" s="1235"/>
      <c r="E365" s="1236"/>
      <c r="F365" s="341"/>
      <c r="G365" s="568">
        <f>K134</f>
        <v>0</v>
      </c>
      <c r="H365" s="568">
        <f t="shared" ref="H365" si="52">-G365*0.5</f>
        <v>0</v>
      </c>
      <c r="I365" s="568">
        <f t="shared" si="49"/>
        <v>0</v>
      </c>
      <c r="J365" s="212"/>
      <c r="O365" s="167"/>
    </row>
    <row r="366" spans="2:15" s="281" customFormat="1" ht="13" x14ac:dyDescent="0.25">
      <c r="B366" s="847"/>
      <c r="C366" s="847"/>
      <c r="D366" s="847"/>
      <c r="E366" s="847"/>
      <c r="F366" s="847"/>
      <c r="G366" s="856">
        <f>SUM(G361:G365)</f>
        <v>0</v>
      </c>
      <c r="H366" s="856">
        <f>SUM(H361:H365)</f>
        <v>0</v>
      </c>
      <c r="I366" s="856">
        <f>SUM(I361:I365)</f>
        <v>0</v>
      </c>
    </row>
    <row r="367" spans="2:15" x14ac:dyDescent="0.25">
      <c r="B367" s="842"/>
      <c r="C367" s="842"/>
      <c r="D367" s="842"/>
      <c r="E367" s="842"/>
      <c r="F367" s="842"/>
      <c r="G367" s="842"/>
      <c r="H367" s="842"/>
      <c r="I367" s="842"/>
      <c r="O367" s="167"/>
    </row>
    <row r="368" spans="2:15" ht="13" x14ac:dyDescent="0.25">
      <c r="B368" s="847" t="s">
        <v>172</v>
      </c>
      <c r="C368" s="842"/>
      <c r="D368" s="842"/>
      <c r="E368" s="842"/>
      <c r="F368" s="1004">
        <v>2023</v>
      </c>
      <c r="G368" s="842"/>
      <c r="H368" s="842"/>
      <c r="I368" s="842"/>
      <c r="O368" s="167"/>
    </row>
    <row r="369" spans="2:15" x14ac:dyDescent="0.25">
      <c r="B369" s="842"/>
      <c r="C369" s="842"/>
      <c r="D369" s="842"/>
      <c r="E369" s="842"/>
      <c r="F369" s="842"/>
      <c r="G369" s="842"/>
      <c r="H369" s="842"/>
      <c r="I369" s="842"/>
      <c r="O369" s="167"/>
    </row>
    <row r="370" spans="2:15" ht="78" customHeight="1" x14ac:dyDescent="0.25">
      <c r="B370" s="1237" t="s">
        <v>173</v>
      </c>
      <c r="C370" s="1238"/>
      <c r="D370" s="1238"/>
      <c r="E370" s="1239"/>
      <c r="F370" s="848"/>
      <c r="G370" s="837" t="str">
        <f>"Nog af te bouwen regulatoir saldo einde "&amp;F368-1</f>
        <v>Nog af te bouwen regulatoir saldo einde 2022</v>
      </c>
      <c r="H370" s="837" t="str">
        <f>"50% van het oorspronkelijk regulatoir saldo door te rekenen volgens de tariefmethodologie in het boekjaar "&amp;F368</f>
        <v>50% van het oorspronkelijk regulatoir saldo door te rekenen volgens de tariefmethodologie in het boekjaar 2023</v>
      </c>
      <c r="I370" s="837" t="str">
        <f>"Nog af te bouwen regulatoir saldo einde "&amp;F368</f>
        <v>Nog af te bouwen regulatoir saldo einde 2023</v>
      </c>
      <c r="J370" s="212"/>
      <c r="O370" s="167"/>
    </row>
    <row r="371" spans="2:15" ht="13" x14ac:dyDescent="0.25">
      <c r="B371" s="1234">
        <v>2021</v>
      </c>
      <c r="C371" s="1235"/>
      <c r="D371" s="1235"/>
      <c r="E371" s="1236"/>
      <c r="F371" s="341"/>
      <c r="G371" s="568">
        <f>+I365</f>
        <v>0</v>
      </c>
      <c r="H371" s="568">
        <f>-G365*0.5</f>
        <v>0</v>
      </c>
      <c r="I371" s="568">
        <f t="shared" ref="I371:I372" si="53">+G371+H371</f>
        <v>0</v>
      </c>
      <c r="J371" s="212"/>
      <c r="O371" s="167"/>
    </row>
    <row r="372" spans="2:15" ht="13" x14ac:dyDescent="0.25">
      <c r="B372" s="1234">
        <v>2022</v>
      </c>
      <c r="C372" s="1235"/>
      <c r="D372" s="1235"/>
      <c r="E372" s="1236"/>
      <c r="F372" s="341"/>
      <c r="G372" s="568">
        <f>L135</f>
        <v>0</v>
      </c>
      <c r="H372" s="568">
        <f t="shared" ref="H372" si="54">-G372*0.5</f>
        <v>0</v>
      </c>
      <c r="I372" s="568">
        <f t="shared" si="53"/>
        <v>0</v>
      </c>
      <c r="J372" s="212"/>
      <c r="O372" s="167"/>
    </row>
    <row r="373" spans="2:15" s="281" customFormat="1" ht="13" x14ac:dyDescent="0.25">
      <c r="B373" s="847"/>
      <c r="C373" s="847"/>
      <c r="D373" s="847"/>
      <c r="E373" s="847"/>
      <c r="F373" s="847"/>
      <c r="G373" s="856">
        <f>SUM(G371:G372)</f>
        <v>0</v>
      </c>
      <c r="H373" s="856">
        <f>SUM(H371:H372)</f>
        <v>0</v>
      </c>
      <c r="I373" s="856">
        <f>SUM(I371:I372)</f>
        <v>0</v>
      </c>
    </row>
    <row r="374" spans="2:15" x14ac:dyDescent="0.25">
      <c r="B374" s="842"/>
      <c r="C374" s="842"/>
      <c r="D374" s="842"/>
      <c r="E374" s="842"/>
      <c r="F374" s="842"/>
      <c r="G374" s="842"/>
      <c r="H374" s="842"/>
      <c r="I374" s="842"/>
      <c r="O374" s="167"/>
    </row>
    <row r="375" spans="2:15" ht="13" x14ac:dyDescent="0.25">
      <c r="B375" s="847" t="s">
        <v>172</v>
      </c>
      <c r="C375" s="842"/>
      <c r="D375" s="842"/>
      <c r="E375" s="842"/>
      <c r="F375" s="1004">
        <v>2024</v>
      </c>
      <c r="G375" s="842"/>
      <c r="H375" s="842"/>
      <c r="I375" s="842"/>
      <c r="O375" s="167"/>
    </row>
    <row r="376" spans="2:15" x14ac:dyDescent="0.25">
      <c r="B376" s="842"/>
      <c r="C376" s="842"/>
      <c r="D376" s="842"/>
      <c r="E376" s="842"/>
      <c r="F376" s="842"/>
      <c r="G376" s="842"/>
      <c r="H376" s="842"/>
      <c r="I376" s="842"/>
      <c r="O376" s="167"/>
    </row>
    <row r="377" spans="2:15" ht="78" customHeight="1" x14ac:dyDescent="0.25">
      <c r="B377" s="1237" t="s">
        <v>173</v>
      </c>
      <c r="C377" s="1238"/>
      <c r="D377" s="1238"/>
      <c r="E377" s="1239"/>
      <c r="F377" s="848"/>
      <c r="G377" s="837" t="str">
        <f>"Nog af te bouwen regulatoir saldo einde "&amp;F375-1</f>
        <v>Nog af te bouwen regulatoir saldo einde 2023</v>
      </c>
      <c r="H377" s="837" t="str">
        <f>"50% van het oorspronkelijk regulatoir saldo door te rekenen volgens de tariefmethodologie in het boekjaar "&amp;F375</f>
        <v>50% van het oorspronkelijk regulatoir saldo door te rekenen volgens de tariefmethodologie in het boekjaar 2024</v>
      </c>
      <c r="I377" s="837" t="str">
        <f>"Nog af te bouwen regulatoir saldo einde "&amp;F375</f>
        <v>Nog af te bouwen regulatoir saldo einde 2024</v>
      </c>
      <c r="J377" s="212"/>
      <c r="O377" s="167"/>
    </row>
    <row r="378" spans="2:15" ht="13" x14ac:dyDescent="0.25">
      <c r="B378" s="1234">
        <v>2022</v>
      </c>
      <c r="C378" s="1235"/>
      <c r="D378" s="1235"/>
      <c r="E378" s="1236"/>
      <c r="F378" s="341"/>
      <c r="G378" s="568">
        <f>+I372</f>
        <v>0</v>
      </c>
      <c r="H378" s="568">
        <f>-G372*0.5</f>
        <v>0</v>
      </c>
      <c r="I378" s="568">
        <f t="shared" ref="I378:I379" si="55">+G378+H378</f>
        <v>0</v>
      </c>
      <c r="J378" s="212"/>
      <c r="O378" s="167"/>
    </row>
    <row r="379" spans="2:15" ht="13" x14ac:dyDescent="0.25">
      <c r="B379" s="1234">
        <v>2023</v>
      </c>
      <c r="C379" s="1235"/>
      <c r="D379" s="1235"/>
      <c r="E379" s="1236"/>
      <c r="F379" s="341"/>
      <c r="G379" s="568">
        <f>+M136</f>
        <v>0</v>
      </c>
      <c r="H379" s="568">
        <f t="shared" ref="H379" si="56">-G379*0.5</f>
        <v>0</v>
      </c>
      <c r="I379" s="568">
        <f t="shared" si="55"/>
        <v>0</v>
      </c>
      <c r="J379" s="212"/>
      <c r="O379" s="167"/>
    </row>
    <row r="380" spans="2:15" s="281" customFormat="1" ht="13" x14ac:dyDescent="0.25">
      <c r="B380" s="847"/>
      <c r="C380" s="847"/>
      <c r="D380" s="847"/>
      <c r="E380" s="847"/>
      <c r="F380" s="847"/>
      <c r="G380" s="856">
        <f>SUM(G378:G379)</f>
        <v>0</v>
      </c>
      <c r="H380" s="856">
        <f>SUM(H378:H379)</f>
        <v>0</v>
      </c>
      <c r="I380" s="856">
        <f>SUM(I378:I379)</f>
        <v>0</v>
      </c>
    </row>
    <row r="381" spans="2:15" ht="13" x14ac:dyDescent="0.25">
      <c r="B381" s="281" t="str">
        <f>+B327</f>
        <v>Het tarief voor het databeheer</v>
      </c>
      <c r="O381" s="167"/>
    </row>
    <row r="382" spans="2:15" ht="13" x14ac:dyDescent="0.25">
      <c r="B382" s="281" t="s">
        <v>174</v>
      </c>
      <c r="C382" s="224"/>
      <c r="D382" s="224"/>
      <c r="E382" s="224"/>
      <c r="O382" s="167"/>
    </row>
    <row r="383" spans="2:15" ht="13" x14ac:dyDescent="0.25">
      <c r="B383" s="281"/>
      <c r="C383" s="224"/>
      <c r="D383" s="224"/>
      <c r="E383" s="224"/>
      <c r="O383" s="167"/>
    </row>
    <row r="384" spans="2:15" ht="13" x14ac:dyDescent="0.25">
      <c r="B384" s="283">
        <f>F349</f>
        <v>2021</v>
      </c>
      <c r="C384" s="287">
        <f>+H356</f>
        <v>0</v>
      </c>
      <c r="D384" s="224"/>
      <c r="E384" s="224"/>
      <c r="O384" s="167"/>
    </row>
    <row r="385" spans="2:16" ht="13" x14ac:dyDescent="0.25">
      <c r="B385" s="341">
        <v>2022</v>
      </c>
      <c r="C385" s="342">
        <f>+H366</f>
        <v>0</v>
      </c>
      <c r="D385" s="224"/>
      <c r="E385" s="224"/>
      <c r="O385" s="167"/>
    </row>
    <row r="386" spans="2:16" ht="13" x14ac:dyDescent="0.25">
      <c r="B386" s="341">
        <v>2023</v>
      </c>
      <c r="C386" s="342">
        <f>+H373</f>
        <v>0</v>
      </c>
      <c r="D386" s="224"/>
      <c r="E386" s="224"/>
      <c r="O386" s="167"/>
    </row>
    <row r="387" spans="2:16" ht="13" x14ac:dyDescent="0.25">
      <c r="B387" s="341">
        <v>2024</v>
      </c>
      <c r="C387" s="342">
        <f>+H380</f>
        <v>0</v>
      </c>
      <c r="D387" s="224"/>
      <c r="E387" s="224"/>
      <c r="O387" s="167"/>
    </row>
    <row r="388" spans="2:16" x14ac:dyDescent="0.25">
      <c r="O388" s="167"/>
    </row>
    <row r="389" spans="2:16" x14ac:dyDescent="0.25">
      <c r="O389" s="167"/>
    </row>
    <row r="390" spans="2:16" ht="13" x14ac:dyDescent="0.25">
      <c r="B390" s="326" t="s">
        <v>67</v>
      </c>
      <c r="C390" s="327"/>
      <c r="D390" s="327"/>
      <c r="E390" s="327"/>
      <c r="F390" s="328"/>
      <c r="G390" s="328"/>
      <c r="H390" s="328"/>
      <c r="I390" s="328"/>
      <c r="J390" s="328"/>
      <c r="K390" s="328"/>
      <c r="L390" s="328"/>
      <c r="M390" s="328"/>
      <c r="N390" s="328"/>
      <c r="O390" s="329"/>
      <c r="P390" s="328"/>
    </row>
    <row r="391" spans="2:16" x14ac:dyDescent="0.25">
      <c r="O391" s="212"/>
    </row>
    <row r="392" spans="2:16" ht="13" x14ac:dyDescent="0.25">
      <c r="B392" s="281" t="s">
        <v>172</v>
      </c>
      <c r="F392" s="1000">
        <v>2018</v>
      </c>
      <c r="O392" s="212"/>
    </row>
    <row r="393" spans="2:16" x14ac:dyDescent="0.25">
      <c r="O393" s="167"/>
    </row>
    <row r="394" spans="2:16" s="220" customFormat="1" ht="107.15" customHeight="1" x14ac:dyDescent="0.25">
      <c r="B394" s="1231" t="s">
        <v>173</v>
      </c>
      <c r="C394" s="1232"/>
      <c r="D394" s="1232"/>
      <c r="E394" s="1233"/>
      <c r="F394" s="804"/>
      <c r="G394" s="166" t="str">
        <f>"Nog af te bouwen regulatoir saldo einde "&amp;F392-1</f>
        <v>Nog af te bouwen regulatoir saldo einde 2017</v>
      </c>
      <c r="H394" s="166" t="str">
        <f>"Afbouw oudste openstaande regulatoir saldo vanaf boekjaar "&amp;F392-2&amp;" en vroeger, door aanwending van compensatie met regulatoir saldo ontstaan over boekjaar "&amp;F392-1</f>
        <v>Afbouw oudste openstaande regulatoir saldo vanaf boekjaar 2016 en vroeger, door aanwending van compensatie met regulatoir saldo ontstaan over boekjaar 2017</v>
      </c>
      <c r="I394" s="166" t="str">
        <f>"Nog af te bouwen regulatoir saldo na compensatie einde "&amp;F392-1</f>
        <v>Nog af te bouwen regulatoir saldo na compensatie einde 2017</v>
      </c>
      <c r="J394" s="166" t="str">
        <f>"Aanwending van 50% van het geaccumuleerd regulatoir saldo door te rekenen volgens de tariefmethodologie in het boekjaar "&amp;F392</f>
        <v>Aanwending van 50% van het geaccumuleerd regulatoir saldo door te rekenen volgens de tariefmethodologie in het boekjaar 2018</v>
      </c>
      <c r="K394" s="166" t="str">
        <f>"Nog af te bouwen regulatoir saldo einde "&amp;F392</f>
        <v>Nog af te bouwen regulatoir saldo einde 2018</v>
      </c>
      <c r="L394" s="228"/>
      <c r="M394" s="228"/>
      <c r="N394" s="228"/>
    </row>
    <row r="395" spans="2:16" ht="13" x14ac:dyDescent="0.25">
      <c r="B395" s="1228">
        <v>2017</v>
      </c>
      <c r="C395" s="1229"/>
      <c r="D395" s="1229"/>
      <c r="E395" s="1230"/>
      <c r="F395" s="283"/>
      <c r="G395" s="566">
        <f>+G139</f>
        <v>0</v>
      </c>
      <c r="H395" s="566">
        <v>0</v>
      </c>
      <c r="I395" s="566">
        <f>+G395+H395</f>
        <v>0</v>
      </c>
      <c r="J395" s="1010">
        <f>-I395*0.5</f>
        <v>0</v>
      </c>
      <c r="K395" s="1032">
        <f>+J395+G395</f>
        <v>0</v>
      </c>
      <c r="L395" s="1002"/>
      <c r="M395" s="1002"/>
      <c r="N395" s="1002"/>
      <c r="O395" s="167"/>
    </row>
    <row r="396" spans="2:16" x14ac:dyDescent="0.25">
      <c r="O396" s="167"/>
    </row>
    <row r="397" spans="2:16" ht="13" x14ac:dyDescent="0.25">
      <c r="B397" s="281" t="s">
        <v>172</v>
      </c>
      <c r="F397" s="1000">
        <v>2019</v>
      </c>
      <c r="O397" s="212"/>
    </row>
    <row r="398" spans="2:16" x14ac:dyDescent="0.25">
      <c r="O398" s="212"/>
    </row>
    <row r="399" spans="2:16" s="220" customFormat="1" ht="107.15" customHeight="1" x14ac:dyDescent="0.25">
      <c r="B399" s="1231" t="s">
        <v>173</v>
      </c>
      <c r="C399" s="1232"/>
      <c r="D399" s="1232"/>
      <c r="E399" s="1233"/>
      <c r="F399" s="804"/>
      <c r="G399" s="166" t="str">
        <f>"Nog af te bouwen regulatoir saldo einde "&amp;F397-1</f>
        <v>Nog af te bouwen regulatoir saldo einde 2018</v>
      </c>
      <c r="H399" s="166" t="str">
        <f>"Afbouw oudste openstaande regulatoir saldo vanaf boekjaar "&amp;F397-2&amp;" en vroeger, door aanwending van compensatie met regulatoir saldo ontstaan over boekjaar "&amp;F397-1</f>
        <v>Afbouw oudste openstaande regulatoir saldo vanaf boekjaar 2017 en vroeger, door aanwending van compensatie met regulatoir saldo ontstaan over boekjaar 2018</v>
      </c>
      <c r="I399" s="166" t="str">
        <f>"Nog af te bouwen regulatoir saldo na compensatie einde "&amp;F397-1</f>
        <v>Nog af te bouwen regulatoir saldo na compensatie einde 2018</v>
      </c>
      <c r="J399" s="166" t="str">
        <f>"Aanwending van 50% van het geaccumuleerd regulatoir saldo door te rekenen volgens de tariefmethodologie in het boekjaar "&amp;F397</f>
        <v>Aanwending van 50% van het geaccumuleerd regulatoir saldo door te rekenen volgens de tariefmethodologie in het boekjaar 2019</v>
      </c>
      <c r="K399" s="166" t="str">
        <f>"Aanwending van 50% van het geaccumuleerd regulatoir saldo door te rekenen volgens de tariefmethodologie in het boekjaar "&amp;F397</f>
        <v>Aanwending van 50% van het geaccumuleerd regulatoir saldo door te rekenen volgens de tariefmethodologie in het boekjaar 2019</v>
      </c>
      <c r="L399" s="166" t="str">
        <f>"Totale afbouw over "&amp;F397</f>
        <v>Totale afbouw over 2019</v>
      </c>
      <c r="M399" s="166" t="str">
        <f>"Nog af te bouwen regulatoir saldo einde "&amp;F397</f>
        <v>Nog af te bouwen regulatoir saldo einde 2019</v>
      </c>
      <c r="N399" s="564"/>
    </row>
    <row r="400" spans="2:16" ht="13" x14ac:dyDescent="0.25">
      <c r="B400" s="1228">
        <v>2017</v>
      </c>
      <c r="C400" s="1229"/>
      <c r="D400" s="1229"/>
      <c r="E400" s="1230"/>
      <c r="F400" s="283"/>
      <c r="G400" s="566">
        <f>K395</f>
        <v>0</v>
      </c>
      <c r="H400" s="566">
        <f>IF(SIGN(G401*K395)&lt;0,IF(G400&lt;&gt;0,-SIGN(G400)*MIN(ABS(G401),ABS(G400)),0),0)</f>
        <v>0</v>
      </c>
      <c r="I400" s="566">
        <f>+G400+H400</f>
        <v>0</v>
      </c>
      <c r="J400" s="1033"/>
      <c r="K400" s="1010">
        <f>-MIN(ABS(I400),ABS(J402))*SIGN(I400)</f>
        <v>0</v>
      </c>
      <c r="L400" s="1003">
        <f>+K400+H400</f>
        <v>0</v>
      </c>
      <c r="M400" s="566">
        <f>+I400+K400</f>
        <v>0</v>
      </c>
      <c r="N400" s="212"/>
      <c r="O400" s="167"/>
    </row>
    <row r="401" spans="2:15" ht="13" x14ac:dyDescent="0.25">
      <c r="B401" s="1228">
        <v>2018</v>
      </c>
      <c r="C401" s="1229"/>
      <c r="D401" s="1229"/>
      <c r="E401" s="1230"/>
      <c r="F401" s="283"/>
      <c r="G401" s="566">
        <f>+H140</f>
        <v>0</v>
      </c>
      <c r="H401" s="1003">
        <f>IF(SIGN(G401*K395)&lt;0,-H400,0)</f>
        <v>0</v>
      </c>
      <c r="I401" s="566">
        <f>+G401+H401</f>
        <v>0</v>
      </c>
      <c r="J401" s="1033"/>
      <c r="K401" s="1010">
        <f>-MIN(ABS(I401),ABS(J402-K400))*SIGN(I401)</f>
        <v>0</v>
      </c>
      <c r="L401" s="1003">
        <f>+K401+H401</f>
        <v>0</v>
      </c>
      <c r="M401" s="566">
        <f>+I401+K401</f>
        <v>0</v>
      </c>
      <c r="N401" s="212"/>
      <c r="O401" s="167"/>
    </row>
    <row r="402" spans="2:15" s="281" customFormat="1" ht="13" x14ac:dyDescent="0.3">
      <c r="G402" s="169">
        <f>SUM(G400:G401)</f>
        <v>0</v>
      </c>
      <c r="H402" s="169">
        <f>SUM(H400:H401)</f>
        <v>0</v>
      </c>
      <c r="I402" s="169">
        <f>SUM(I400:I401)</f>
        <v>0</v>
      </c>
      <c r="J402" s="291">
        <f>-I402*0.5</f>
        <v>0</v>
      </c>
      <c r="K402" s="291">
        <f>SUM(K400:K401)</f>
        <v>0</v>
      </c>
      <c r="L402" s="570"/>
      <c r="M402" s="169">
        <f>SUM(M400:M401)</f>
        <v>0</v>
      </c>
    </row>
    <row r="403" spans="2:15" x14ac:dyDescent="0.25">
      <c r="O403" s="167"/>
    </row>
    <row r="404" spans="2:15" ht="13" x14ac:dyDescent="0.25">
      <c r="B404" s="281" t="s">
        <v>172</v>
      </c>
      <c r="F404" s="1000">
        <v>2020</v>
      </c>
      <c r="O404" s="167"/>
    </row>
    <row r="405" spans="2:15" x14ac:dyDescent="0.25">
      <c r="O405" s="167"/>
    </row>
    <row r="406" spans="2:15" s="220" customFormat="1" ht="107.15" customHeight="1" x14ac:dyDescent="0.25">
      <c r="B406" s="1231" t="s">
        <v>173</v>
      </c>
      <c r="C406" s="1232"/>
      <c r="D406" s="1232"/>
      <c r="E406" s="1233"/>
      <c r="F406" s="804"/>
      <c r="G406" s="166" t="str">
        <f>"Nog af te bouwen regulatoir saldo einde "&amp;F404-1</f>
        <v>Nog af te bouwen regulatoir saldo einde 2019</v>
      </c>
      <c r="H406" s="166" t="str">
        <f>"Afbouw oudste openstaande regulatoir saldo vanaf boekjaar "&amp;F404-2&amp;" en vroeger, door aanwending van compensatie met regulatoir saldo ontstaan over boekjaar "&amp;F404-1</f>
        <v>Afbouw oudste openstaande regulatoir saldo vanaf boekjaar 2018 en vroeger, door aanwending van compensatie met regulatoir saldo ontstaan over boekjaar 2019</v>
      </c>
      <c r="I406" s="166" t="str">
        <f>"Nog af te bouwen regulatoir saldo na compensatie einde "&amp;F404-1</f>
        <v>Nog af te bouwen regulatoir saldo na compensatie einde 2019</v>
      </c>
      <c r="J406" s="166" t="str">
        <f>"Aanwending van 50% van het geaccumuleerd regulatoir saldo door te rekenen volgens de tariefmethodologie in het boekjaar "&amp;F404</f>
        <v>Aanwending van 50% van het geaccumuleerd regulatoir saldo door te rekenen volgens de tariefmethodologie in het boekjaar 2020</v>
      </c>
      <c r="K406" s="166" t="str">
        <f>"Aanwending van 50% van het geaccumuleerd regulatoir saldo door te rekenen volgens de tariefmethodologie in het boekjaar "&amp;F404</f>
        <v>Aanwending van 50% van het geaccumuleerd regulatoir saldo door te rekenen volgens de tariefmethodologie in het boekjaar 2020</v>
      </c>
      <c r="L406" s="166" t="str">
        <f>"Totale afbouw over "&amp;F404</f>
        <v>Totale afbouw over 2020</v>
      </c>
      <c r="M406" s="166" t="str">
        <f>"Nog af te bouwen regulatoir saldo einde "&amp;F404</f>
        <v>Nog af te bouwen regulatoir saldo einde 2020</v>
      </c>
      <c r="N406" s="564"/>
    </row>
    <row r="407" spans="2:15" ht="13" x14ac:dyDescent="0.25">
      <c r="B407" s="1228">
        <v>2017</v>
      </c>
      <c r="C407" s="1229"/>
      <c r="D407" s="1229"/>
      <c r="E407" s="1230"/>
      <c r="F407" s="283"/>
      <c r="G407" s="566">
        <f>+M400</f>
        <v>0</v>
      </c>
      <c r="H407" s="1003">
        <f>IF(SIGN(G409*M402)&lt;0,IF(G407&lt;&gt;0,-SIGN(G407)*MIN(ABS(G409),ABS(G407)),0),0)</f>
        <v>0</v>
      </c>
      <c r="I407" s="566">
        <f>+G407+H407</f>
        <v>0</v>
      </c>
      <c r="J407" s="1033"/>
      <c r="K407" s="1010">
        <f>-MIN(ABS(I407),ABS(J410))*SIGN(I407)</f>
        <v>0</v>
      </c>
      <c r="L407" s="1003">
        <f>+K407+H407</f>
        <v>0</v>
      </c>
      <c r="M407" s="566">
        <f>+I407+K407</f>
        <v>0</v>
      </c>
      <c r="N407" s="212"/>
      <c r="O407" s="167"/>
    </row>
    <row r="408" spans="2:15" ht="13" x14ac:dyDescent="0.25">
      <c r="B408" s="1228">
        <v>2018</v>
      </c>
      <c r="C408" s="1229"/>
      <c r="D408" s="1229">
        <v>2016</v>
      </c>
      <c r="E408" s="1230"/>
      <c r="F408" s="283"/>
      <c r="G408" s="566">
        <f>+M401</f>
        <v>0</v>
      </c>
      <c r="H408" s="1003">
        <f>IF(SIGN(G409*M402)&lt;0,IF(G408&lt;&gt;0,-SIGN(G408)*MIN(ABS(G409-H407),ABS(G408)),0),0)</f>
        <v>0</v>
      </c>
      <c r="I408" s="566">
        <f>+G408+H408</f>
        <v>0</v>
      </c>
      <c r="J408" s="1033"/>
      <c r="K408" s="1010">
        <f>-MIN(ABS(I408),ABS(J410-K407))*SIGN(I408)</f>
        <v>0</v>
      </c>
      <c r="L408" s="1003">
        <f>+K408+H408</f>
        <v>0</v>
      </c>
      <c r="M408" s="566">
        <f>+I408+K408</f>
        <v>0</v>
      </c>
      <c r="N408" s="212"/>
      <c r="O408" s="167"/>
    </row>
    <row r="409" spans="2:15" ht="13" x14ac:dyDescent="0.25">
      <c r="B409" s="1228">
        <v>2019</v>
      </c>
      <c r="C409" s="1229"/>
      <c r="D409" s="1229"/>
      <c r="E409" s="1230"/>
      <c r="F409" s="283"/>
      <c r="G409" s="566">
        <f>I141</f>
        <v>0</v>
      </c>
      <c r="H409" s="1003">
        <f>IF(SIGN(G409*M402)&lt;0,-SUM(H407:H408),0)</f>
        <v>0</v>
      </c>
      <c r="I409" s="566">
        <f>+G409+H409</f>
        <v>0</v>
      </c>
      <c r="J409" s="1033"/>
      <c r="K409" s="1010">
        <f>-MIN(ABS(I409),ABS(J410-K407-K408))*SIGN(I409)</f>
        <v>0</v>
      </c>
      <c r="L409" s="1003">
        <f>+K409+H409</f>
        <v>0</v>
      </c>
      <c r="M409" s="566">
        <f>+I409+K409</f>
        <v>0</v>
      </c>
      <c r="N409" s="212"/>
      <c r="O409" s="167"/>
    </row>
    <row r="410" spans="2:15" s="281" customFormat="1" ht="13" x14ac:dyDescent="0.3">
      <c r="G410" s="169">
        <f>SUM(G407:G409)</f>
        <v>0</v>
      </c>
      <c r="H410" s="169">
        <f>SUM(H407:H409)</f>
        <v>0</v>
      </c>
      <c r="I410" s="169">
        <f>SUM(I407:I409)</f>
        <v>0</v>
      </c>
      <c r="J410" s="291">
        <f>-I410*0.5</f>
        <v>0</v>
      </c>
      <c r="K410" s="291">
        <f>SUM(K407:K409)</f>
        <v>0</v>
      </c>
      <c r="L410" s="570"/>
      <c r="M410" s="169">
        <f>SUM(M407:M409)</f>
        <v>0</v>
      </c>
    </row>
    <row r="411" spans="2:15" x14ac:dyDescent="0.25">
      <c r="O411" s="167"/>
    </row>
    <row r="412" spans="2:15" ht="13" x14ac:dyDescent="0.25">
      <c r="B412" s="281" t="s">
        <v>172</v>
      </c>
      <c r="F412" s="1000">
        <v>2021</v>
      </c>
      <c r="O412" s="167"/>
    </row>
    <row r="413" spans="2:15" x14ac:dyDescent="0.25">
      <c r="O413" s="167"/>
    </row>
    <row r="414" spans="2:15" ht="78" customHeight="1" x14ac:dyDescent="0.25">
      <c r="B414" s="1231" t="s">
        <v>173</v>
      </c>
      <c r="C414" s="1232"/>
      <c r="D414" s="1232"/>
      <c r="E414" s="1233"/>
      <c r="F414" s="282"/>
      <c r="G414" s="166" t="str">
        <f>"Nog af te bouwen regulatoir saldo einde "&amp;F412-1</f>
        <v>Nog af te bouwen regulatoir saldo einde 2020</v>
      </c>
      <c r="H414" s="166" t="str">
        <f>"50% van het oorspronkelijk regulatoir saldo door te rekenen volgens de tariefmethodologie in het boekjaar "&amp;F412</f>
        <v>50% van het oorspronkelijk regulatoir saldo door te rekenen volgens de tariefmethodologie in het boekjaar 2021</v>
      </c>
      <c r="I414" s="166" t="str">
        <f>"Nog af te bouwen regulatoir saldo einde "&amp;F412</f>
        <v>Nog af te bouwen regulatoir saldo einde 2021</v>
      </c>
      <c r="J414" s="212"/>
      <c r="O414" s="167"/>
    </row>
    <row r="415" spans="2:15" ht="13" x14ac:dyDescent="0.25">
      <c r="B415" s="1228">
        <v>2017</v>
      </c>
      <c r="C415" s="1229"/>
      <c r="D415" s="1229"/>
      <c r="E415" s="1230"/>
      <c r="F415" s="283"/>
      <c r="G415" s="566">
        <f>+M407</f>
        <v>0</v>
      </c>
      <c r="H415" s="566">
        <f>-G415*0.5</f>
        <v>0</v>
      </c>
      <c r="I415" s="566">
        <f>+G415+H415</f>
        <v>0</v>
      </c>
      <c r="J415" s="212"/>
      <c r="O415" s="167"/>
    </row>
    <row r="416" spans="2:15" ht="13" x14ac:dyDescent="0.25">
      <c r="B416" s="1228">
        <v>2018</v>
      </c>
      <c r="C416" s="1229"/>
      <c r="D416" s="1229"/>
      <c r="E416" s="1230"/>
      <c r="F416" s="283"/>
      <c r="G416" s="566">
        <f t="shared" ref="G416:G417" si="57">+M408</f>
        <v>0</v>
      </c>
      <c r="H416" s="566">
        <f t="shared" ref="H416:H418" si="58">-G416*0.5</f>
        <v>0</v>
      </c>
      <c r="I416" s="566">
        <f t="shared" ref="I416:I418" si="59">+G416+H416</f>
        <v>0</v>
      </c>
      <c r="J416" s="212"/>
      <c r="O416" s="167"/>
    </row>
    <row r="417" spans="2:15" ht="13" x14ac:dyDescent="0.25">
      <c r="B417" s="1228">
        <v>2019</v>
      </c>
      <c r="C417" s="1229"/>
      <c r="D417" s="1229">
        <v>2016</v>
      </c>
      <c r="E417" s="1230"/>
      <c r="F417" s="283"/>
      <c r="G417" s="566">
        <f t="shared" si="57"/>
        <v>0</v>
      </c>
      <c r="H417" s="566">
        <f t="shared" si="58"/>
        <v>0</v>
      </c>
      <c r="I417" s="566">
        <f t="shared" si="59"/>
        <v>0</v>
      </c>
      <c r="J417" s="212"/>
      <c r="O417" s="167"/>
    </row>
    <row r="418" spans="2:15" ht="13" x14ac:dyDescent="0.25">
      <c r="B418" s="1228">
        <v>2020</v>
      </c>
      <c r="C418" s="1229"/>
      <c r="D418" s="1229"/>
      <c r="E418" s="1230"/>
      <c r="F418" s="283"/>
      <c r="G418" s="566">
        <f>J142</f>
        <v>0</v>
      </c>
      <c r="H418" s="566">
        <f t="shared" si="58"/>
        <v>0</v>
      </c>
      <c r="I418" s="566">
        <f t="shared" si="59"/>
        <v>0</v>
      </c>
      <c r="J418" s="212"/>
      <c r="O418" s="167"/>
    </row>
    <row r="419" spans="2:15" s="281" customFormat="1" ht="13" x14ac:dyDescent="0.25">
      <c r="G419" s="169">
        <f>SUM(G415:G418)</f>
        <v>0</v>
      </c>
      <c r="H419" s="169">
        <f>SUM(H415:H418)</f>
        <v>0</v>
      </c>
      <c r="I419" s="169">
        <f>SUM(I415:I418)</f>
        <v>0</v>
      </c>
    </row>
    <row r="420" spans="2:15" x14ac:dyDescent="0.25">
      <c r="G420" s="221"/>
      <c r="H420" s="221"/>
      <c r="I420" s="221"/>
      <c r="O420" s="167"/>
    </row>
    <row r="421" spans="2:15" ht="13" x14ac:dyDescent="0.25">
      <c r="B421" s="847" t="s">
        <v>172</v>
      </c>
      <c r="C421" s="842"/>
      <c r="D421" s="842"/>
      <c r="E421" s="842"/>
      <c r="F421" s="1004">
        <v>2022</v>
      </c>
      <c r="G421" s="842"/>
      <c r="H421" s="842"/>
      <c r="I421" s="842"/>
      <c r="O421" s="167"/>
    </row>
    <row r="422" spans="2:15" x14ac:dyDescent="0.25">
      <c r="B422" s="842"/>
      <c r="C422" s="842"/>
      <c r="D422" s="842"/>
      <c r="E422" s="842"/>
      <c r="F422" s="842"/>
      <c r="G422" s="842"/>
      <c r="H422" s="842"/>
      <c r="I422" s="842"/>
      <c r="O422" s="167"/>
    </row>
    <row r="423" spans="2:15" ht="78" customHeight="1" x14ac:dyDescent="0.25">
      <c r="B423" s="1237" t="s">
        <v>173</v>
      </c>
      <c r="C423" s="1238"/>
      <c r="D423" s="1238"/>
      <c r="E423" s="1239"/>
      <c r="F423" s="848"/>
      <c r="G423" s="837" t="str">
        <f>"Nog af te bouwen regulatoir saldo einde "&amp;F421-1</f>
        <v>Nog af te bouwen regulatoir saldo einde 2021</v>
      </c>
      <c r="H423" s="837" t="str">
        <f>"50% van het oorspronkelijk regulatoir saldo door te rekenen volgens de tariefmethodologie in het boekjaar "&amp;F421</f>
        <v>50% van het oorspronkelijk regulatoir saldo door te rekenen volgens de tariefmethodologie in het boekjaar 2022</v>
      </c>
      <c r="I423" s="837" t="str">
        <f>"Nog af te bouwen regulatoir saldo einde "&amp;F421</f>
        <v>Nog af te bouwen regulatoir saldo einde 2022</v>
      </c>
      <c r="J423" s="212"/>
      <c r="O423" s="167"/>
    </row>
    <row r="424" spans="2:15" ht="13" x14ac:dyDescent="0.25">
      <c r="B424" s="1234">
        <v>2017</v>
      </c>
      <c r="C424" s="1235"/>
      <c r="D424" s="1235">
        <v>2016</v>
      </c>
      <c r="E424" s="1236"/>
      <c r="F424" s="341"/>
      <c r="G424" s="568">
        <f>+I415</f>
        <v>0</v>
      </c>
      <c r="H424" s="568">
        <f>-G415*0.5</f>
        <v>0</v>
      </c>
      <c r="I424" s="568">
        <f t="shared" ref="I424:I428" si="60">+G424+H424</f>
        <v>0</v>
      </c>
      <c r="J424" s="212"/>
      <c r="O424" s="167"/>
    </row>
    <row r="425" spans="2:15" ht="13" x14ac:dyDescent="0.25">
      <c r="B425" s="1234">
        <v>2018</v>
      </c>
      <c r="C425" s="1235"/>
      <c r="D425" s="1235"/>
      <c r="E425" s="1236"/>
      <c r="F425" s="341"/>
      <c r="G425" s="568">
        <f t="shared" ref="G425:G427" si="61">+I416</f>
        <v>0</v>
      </c>
      <c r="H425" s="568">
        <f t="shared" ref="H425:H427" si="62">-G416*0.5</f>
        <v>0</v>
      </c>
      <c r="I425" s="568">
        <f t="shared" si="60"/>
        <v>0</v>
      </c>
      <c r="J425" s="212"/>
      <c r="O425" s="167"/>
    </row>
    <row r="426" spans="2:15" ht="13" x14ac:dyDescent="0.25">
      <c r="B426" s="1234">
        <v>2019</v>
      </c>
      <c r="C426" s="1235"/>
      <c r="D426" s="1235"/>
      <c r="E426" s="1236"/>
      <c r="F426" s="341"/>
      <c r="G426" s="568">
        <f t="shared" si="61"/>
        <v>0</v>
      </c>
      <c r="H426" s="568">
        <f t="shared" si="62"/>
        <v>0</v>
      </c>
      <c r="I426" s="568">
        <f t="shared" si="60"/>
        <v>0</v>
      </c>
      <c r="J426" s="212"/>
      <c r="O426" s="167"/>
    </row>
    <row r="427" spans="2:15" ht="13" x14ac:dyDescent="0.25">
      <c r="B427" s="1234">
        <v>2020</v>
      </c>
      <c r="C427" s="1235"/>
      <c r="D427" s="1235"/>
      <c r="E427" s="1236"/>
      <c r="F427" s="341"/>
      <c r="G427" s="568">
        <f t="shared" si="61"/>
        <v>0</v>
      </c>
      <c r="H427" s="568">
        <f t="shared" si="62"/>
        <v>0</v>
      </c>
      <c r="I427" s="568">
        <f t="shared" si="60"/>
        <v>0</v>
      </c>
      <c r="J427" s="212"/>
      <c r="O427" s="167"/>
    </row>
    <row r="428" spans="2:15" ht="13" x14ac:dyDescent="0.25">
      <c r="B428" s="1234">
        <v>2021</v>
      </c>
      <c r="C428" s="1235"/>
      <c r="D428" s="1235"/>
      <c r="E428" s="1236"/>
      <c r="F428" s="341"/>
      <c r="G428" s="568">
        <f>K143</f>
        <v>0</v>
      </c>
      <c r="H428" s="568">
        <f t="shared" ref="H428" si="63">-G428*0.5</f>
        <v>0</v>
      </c>
      <c r="I428" s="568">
        <f t="shared" si="60"/>
        <v>0</v>
      </c>
      <c r="J428" s="212"/>
      <c r="O428" s="167"/>
    </row>
    <row r="429" spans="2:15" s="281" customFormat="1" ht="13" x14ac:dyDescent="0.25">
      <c r="B429" s="847"/>
      <c r="C429" s="847"/>
      <c r="D429" s="847"/>
      <c r="E429" s="847"/>
      <c r="F429" s="847"/>
      <c r="G429" s="856">
        <f>SUM(G424:G428)</f>
        <v>0</v>
      </c>
      <c r="H429" s="856">
        <f>SUM(H424:H428)</f>
        <v>0</v>
      </c>
      <c r="I429" s="856">
        <f>SUM(I424:I428)</f>
        <v>0</v>
      </c>
    </row>
    <row r="430" spans="2:15" x14ac:dyDescent="0.25">
      <c r="B430" s="842"/>
      <c r="C430" s="842"/>
      <c r="D430" s="842"/>
      <c r="E430" s="842"/>
      <c r="F430" s="842"/>
      <c r="G430" s="842"/>
      <c r="H430" s="842"/>
      <c r="I430" s="842"/>
      <c r="O430" s="167"/>
    </row>
    <row r="431" spans="2:15" ht="13" x14ac:dyDescent="0.25">
      <c r="B431" s="847" t="s">
        <v>172</v>
      </c>
      <c r="C431" s="842"/>
      <c r="D431" s="842"/>
      <c r="E431" s="842"/>
      <c r="F431" s="1004">
        <v>2023</v>
      </c>
      <c r="G431" s="842"/>
      <c r="H431" s="842"/>
      <c r="I431" s="842"/>
      <c r="O431" s="167"/>
    </row>
    <row r="432" spans="2:15" x14ac:dyDescent="0.25">
      <c r="B432" s="842"/>
      <c r="C432" s="842"/>
      <c r="D432" s="842"/>
      <c r="E432" s="842"/>
      <c r="F432" s="842"/>
      <c r="G432" s="842"/>
      <c r="H432" s="842"/>
      <c r="I432" s="842"/>
      <c r="O432" s="167"/>
    </row>
    <row r="433" spans="2:15" ht="78" customHeight="1" x14ac:dyDescent="0.25">
      <c r="B433" s="1237" t="s">
        <v>173</v>
      </c>
      <c r="C433" s="1238"/>
      <c r="D433" s="1238"/>
      <c r="E433" s="1239"/>
      <c r="F433" s="848"/>
      <c r="G433" s="837" t="str">
        <f>"Nog af te bouwen regulatoir saldo einde "&amp;F431-1</f>
        <v>Nog af te bouwen regulatoir saldo einde 2022</v>
      </c>
      <c r="H433" s="837" t="str">
        <f>"50% van het oorspronkelijk regulatoir saldo door te rekenen volgens de tariefmethodologie in het boekjaar "&amp;F431</f>
        <v>50% van het oorspronkelijk regulatoir saldo door te rekenen volgens de tariefmethodologie in het boekjaar 2023</v>
      </c>
      <c r="I433" s="837" t="str">
        <f>"Nog af te bouwen regulatoir saldo einde "&amp;F431</f>
        <v>Nog af te bouwen regulatoir saldo einde 2023</v>
      </c>
      <c r="J433" s="212"/>
      <c r="O433" s="167"/>
    </row>
    <row r="434" spans="2:15" ht="13" x14ac:dyDescent="0.25">
      <c r="B434" s="1234">
        <v>2021</v>
      </c>
      <c r="C434" s="1235"/>
      <c r="D434" s="1235"/>
      <c r="E434" s="1236"/>
      <c r="F434" s="341"/>
      <c r="G434" s="568">
        <f>+I428</f>
        <v>0</v>
      </c>
      <c r="H434" s="568">
        <f>-G428*0.5</f>
        <v>0</v>
      </c>
      <c r="I434" s="568">
        <f t="shared" ref="I434:I435" si="64">+G434+H434</f>
        <v>0</v>
      </c>
      <c r="J434" s="212"/>
      <c r="O434" s="167"/>
    </row>
    <row r="435" spans="2:15" ht="13" x14ac:dyDescent="0.25">
      <c r="B435" s="1234">
        <v>2022</v>
      </c>
      <c r="C435" s="1235"/>
      <c r="D435" s="1235"/>
      <c r="E435" s="1236"/>
      <c r="F435" s="341"/>
      <c r="G435" s="568">
        <f>L144</f>
        <v>0</v>
      </c>
      <c r="H435" s="568">
        <f t="shared" ref="H435" si="65">-G435*0.5</f>
        <v>0</v>
      </c>
      <c r="I435" s="568">
        <f t="shared" si="64"/>
        <v>0</v>
      </c>
      <c r="J435" s="212"/>
      <c r="O435" s="167"/>
    </row>
    <row r="436" spans="2:15" s="281" customFormat="1" ht="13" x14ac:dyDescent="0.25">
      <c r="B436" s="847"/>
      <c r="C436" s="847"/>
      <c r="D436" s="847"/>
      <c r="E436" s="847"/>
      <c r="F436" s="847"/>
      <c r="G436" s="856">
        <f>SUM(G434:G435)</f>
        <v>0</v>
      </c>
      <c r="H436" s="856">
        <f>SUM(H434:H435)</f>
        <v>0</v>
      </c>
      <c r="I436" s="856">
        <f>SUM(I434:I435)</f>
        <v>0</v>
      </c>
    </row>
    <row r="437" spans="2:15" x14ac:dyDescent="0.25">
      <c r="B437" s="842"/>
      <c r="C437" s="842"/>
      <c r="D437" s="842"/>
      <c r="E437" s="842"/>
      <c r="F437" s="842"/>
      <c r="G437" s="842"/>
      <c r="H437" s="842"/>
      <c r="I437" s="842"/>
      <c r="O437" s="167"/>
    </row>
    <row r="438" spans="2:15" ht="13" x14ac:dyDescent="0.25">
      <c r="B438" s="847" t="s">
        <v>172</v>
      </c>
      <c r="C438" s="842"/>
      <c r="D438" s="842"/>
      <c r="E438" s="842"/>
      <c r="F438" s="1004">
        <v>2024</v>
      </c>
      <c r="G438" s="842"/>
      <c r="H438" s="842"/>
      <c r="I438" s="842"/>
      <c r="O438" s="167"/>
    </row>
    <row r="439" spans="2:15" x14ac:dyDescent="0.25">
      <c r="B439" s="842"/>
      <c r="C439" s="842"/>
      <c r="D439" s="842"/>
      <c r="E439" s="842"/>
      <c r="F439" s="842"/>
      <c r="G439" s="842"/>
      <c r="H439" s="842"/>
      <c r="I439" s="842"/>
      <c r="O439" s="167"/>
    </row>
    <row r="440" spans="2:15" ht="78" customHeight="1" x14ac:dyDescent="0.25">
      <c r="B440" s="1237" t="s">
        <v>173</v>
      </c>
      <c r="C440" s="1238"/>
      <c r="D440" s="1238"/>
      <c r="E440" s="1239"/>
      <c r="F440" s="848"/>
      <c r="G440" s="837" t="str">
        <f>"Nog af te bouwen regulatoir saldo einde "&amp;F438-1</f>
        <v>Nog af te bouwen regulatoir saldo einde 2023</v>
      </c>
      <c r="H440" s="837" t="str">
        <f>"50% van het oorspronkelijk regulatoir saldo door te rekenen volgens de tariefmethodologie in het boekjaar "&amp;F438</f>
        <v>50% van het oorspronkelijk regulatoir saldo door te rekenen volgens de tariefmethodologie in het boekjaar 2024</v>
      </c>
      <c r="I440" s="837" t="str">
        <f>"Nog af te bouwen regulatoir saldo einde "&amp;F438</f>
        <v>Nog af te bouwen regulatoir saldo einde 2024</v>
      </c>
      <c r="J440" s="212"/>
      <c r="O440" s="167"/>
    </row>
    <row r="441" spans="2:15" ht="13" x14ac:dyDescent="0.25">
      <c r="B441" s="1234">
        <v>2022</v>
      </c>
      <c r="C441" s="1235"/>
      <c r="D441" s="1235"/>
      <c r="E441" s="1236"/>
      <c r="F441" s="341"/>
      <c r="G441" s="568">
        <f>+I435</f>
        <v>0</v>
      </c>
      <c r="H441" s="568">
        <f>-G435*0.5</f>
        <v>0</v>
      </c>
      <c r="I441" s="568">
        <f t="shared" ref="I441:I442" si="66">+G441+H441</f>
        <v>0</v>
      </c>
      <c r="J441" s="212"/>
      <c r="O441" s="167"/>
    </row>
    <row r="442" spans="2:15" ht="13" x14ac:dyDescent="0.25">
      <c r="B442" s="1234">
        <v>2023</v>
      </c>
      <c r="C442" s="1235"/>
      <c r="D442" s="1235"/>
      <c r="E442" s="1236"/>
      <c r="F442" s="341"/>
      <c r="G442" s="568">
        <f>+M145</f>
        <v>0</v>
      </c>
      <c r="H442" s="568">
        <f t="shared" ref="H442" si="67">-G442*0.5</f>
        <v>0</v>
      </c>
      <c r="I442" s="568">
        <f t="shared" si="66"/>
        <v>0</v>
      </c>
      <c r="J442" s="212"/>
      <c r="O442" s="167"/>
    </row>
    <row r="443" spans="2:15" s="281" customFormat="1" ht="13" x14ac:dyDescent="0.25">
      <c r="B443" s="847"/>
      <c r="C443" s="847"/>
      <c r="D443" s="847"/>
      <c r="E443" s="847"/>
      <c r="F443" s="847"/>
      <c r="G443" s="856">
        <f>SUM(G441:G442)</f>
        <v>0</v>
      </c>
      <c r="H443" s="856">
        <f>SUM(H441:H442)</f>
        <v>0</v>
      </c>
      <c r="I443" s="856">
        <f>SUM(I441:I442)</f>
        <v>0</v>
      </c>
    </row>
    <row r="444" spans="2:15" ht="13" x14ac:dyDescent="0.25">
      <c r="B444" s="281" t="str">
        <f>+B390</f>
        <v>Het tarief voor openbare dienstverplichtingen</v>
      </c>
      <c r="O444" s="167"/>
    </row>
    <row r="445" spans="2:15" ht="13" x14ac:dyDescent="0.25">
      <c r="B445" s="281" t="s">
        <v>174</v>
      </c>
      <c r="C445" s="224"/>
      <c r="D445" s="224"/>
      <c r="E445" s="224"/>
      <c r="O445" s="167"/>
    </row>
    <row r="446" spans="2:15" ht="13" x14ac:dyDescent="0.25">
      <c r="B446" s="281"/>
      <c r="C446" s="224"/>
      <c r="D446" s="224"/>
      <c r="E446" s="224"/>
      <c r="O446" s="167"/>
    </row>
    <row r="447" spans="2:15" ht="13" x14ac:dyDescent="0.25">
      <c r="B447" s="283">
        <f>F412</f>
        <v>2021</v>
      </c>
      <c r="C447" s="287">
        <f>+H419</f>
        <v>0</v>
      </c>
      <c r="D447" s="224"/>
      <c r="E447" s="224"/>
      <c r="O447" s="167"/>
    </row>
    <row r="448" spans="2:15" ht="13" x14ac:dyDescent="0.25">
      <c r="B448" s="341">
        <v>2022</v>
      </c>
      <c r="C448" s="342">
        <f>+H429</f>
        <v>0</v>
      </c>
      <c r="D448" s="224"/>
      <c r="E448" s="224"/>
      <c r="O448" s="167"/>
    </row>
    <row r="449" spans="2:16" ht="13" x14ac:dyDescent="0.25">
      <c r="B449" s="341">
        <v>2023</v>
      </c>
      <c r="C449" s="342">
        <f>+H436</f>
        <v>0</v>
      </c>
      <c r="D449" s="224"/>
      <c r="E449" s="224"/>
      <c r="O449" s="167"/>
    </row>
    <row r="450" spans="2:16" ht="13" x14ac:dyDescent="0.25">
      <c r="B450" s="341">
        <v>2024</v>
      </c>
      <c r="C450" s="342">
        <f>+H443</f>
        <v>0</v>
      </c>
      <c r="D450" s="224"/>
      <c r="E450" s="224"/>
      <c r="O450" s="167"/>
    </row>
    <row r="451" spans="2:16" x14ac:dyDescent="0.25">
      <c r="O451" s="167"/>
    </row>
    <row r="452" spans="2:16" x14ac:dyDescent="0.25">
      <c r="O452" s="167"/>
    </row>
    <row r="453" spans="2:16" ht="13" x14ac:dyDescent="0.25">
      <c r="B453" s="326" t="s">
        <v>119</v>
      </c>
      <c r="C453" s="327"/>
      <c r="D453" s="327"/>
      <c r="E453" s="327"/>
      <c r="F453" s="328"/>
      <c r="G453" s="328"/>
      <c r="H453" s="328"/>
      <c r="I453" s="328"/>
      <c r="J453" s="328"/>
      <c r="K453" s="328"/>
      <c r="L453" s="328"/>
      <c r="M453" s="328"/>
      <c r="N453" s="328"/>
      <c r="O453" s="329"/>
      <c r="P453" s="328"/>
    </row>
    <row r="454" spans="2:16" x14ac:dyDescent="0.25">
      <c r="O454" s="212"/>
    </row>
    <row r="455" spans="2:16" ht="13" x14ac:dyDescent="0.25">
      <c r="B455" s="281" t="s">
        <v>172</v>
      </c>
      <c r="F455" s="1000">
        <v>2018</v>
      </c>
      <c r="O455" s="212"/>
    </row>
    <row r="456" spans="2:16" x14ac:dyDescent="0.25">
      <c r="O456" s="167"/>
    </row>
    <row r="457" spans="2:16" s="220" customFormat="1" ht="107.15" customHeight="1" x14ac:dyDescent="0.25">
      <c r="B457" s="1231" t="s">
        <v>173</v>
      </c>
      <c r="C457" s="1232"/>
      <c r="D457" s="1232"/>
      <c r="E457" s="1233"/>
      <c r="F457" s="804"/>
      <c r="G457" s="166" t="str">
        <f>"Nog af te bouwen regulatoir saldo einde "&amp;F455-1</f>
        <v>Nog af te bouwen regulatoir saldo einde 2017</v>
      </c>
      <c r="H457" s="166" t="str">
        <f>"Afbouw oudste openstaande regulatoir saldo vanaf boekjaar "&amp;F455-2&amp;" en vroeger, door aanwending van compensatie met regulatoir saldo ontstaan over boekjaar "&amp;F455-1</f>
        <v>Afbouw oudste openstaande regulatoir saldo vanaf boekjaar 2016 en vroeger, door aanwending van compensatie met regulatoir saldo ontstaan over boekjaar 2017</v>
      </c>
      <c r="I457" s="166" t="str">
        <f>"Nog af te bouwen regulatoir saldo na compensatie einde "&amp;F455-1</f>
        <v>Nog af te bouwen regulatoir saldo na compensatie einde 2017</v>
      </c>
      <c r="J457" s="166" t="str">
        <f>"Aanwending van 50% van het geaccumuleerd regulatoir saldo door te rekenen volgens de tariefmethodologie in het boekjaar "&amp;F455</f>
        <v>Aanwending van 50% van het geaccumuleerd regulatoir saldo door te rekenen volgens de tariefmethodologie in het boekjaar 2018</v>
      </c>
      <c r="K457" s="166" t="str">
        <f>"Nog af te bouwen regulatoir saldo einde "&amp;F455</f>
        <v>Nog af te bouwen regulatoir saldo einde 2018</v>
      </c>
      <c r="L457" s="228"/>
      <c r="M457" s="228"/>
      <c r="N457" s="228"/>
    </row>
    <row r="458" spans="2:16" ht="13" x14ac:dyDescent="0.25">
      <c r="B458" s="1228">
        <v>2017</v>
      </c>
      <c r="C458" s="1229"/>
      <c r="D458" s="1229"/>
      <c r="E458" s="1230"/>
      <c r="F458" s="283"/>
      <c r="G458" s="566">
        <f>+G148</f>
        <v>0</v>
      </c>
      <c r="H458" s="566">
        <v>0</v>
      </c>
      <c r="I458" s="566">
        <f>+G458+H458</f>
        <v>0</v>
      </c>
      <c r="J458" s="1010">
        <f>-I458*0.5</f>
        <v>0</v>
      </c>
      <c r="K458" s="1032">
        <f>+J458+G458</f>
        <v>0</v>
      </c>
      <c r="L458" s="1002"/>
      <c r="M458" s="1002"/>
      <c r="N458" s="1002"/>
      <c r="O458" s="167"/>
    </row>
    <row r="459" spans="2:16" x14ac:dyDescent="0.25">
      <c r="O459" s="167"/>
    </row>
    <row r="460" spans="2:16" ht="13" x14ac:dyDescent="0.25">
      <c r="B460" s="281" t="s">
        <v>172</v>
      </c>
      <c r="F460" s="1000">
        <v>2019</v>
      </c>
      <c r="O460" s="212"/>
    </row>
    <row r="461" spans="2:16" x14ac:dyDescent="0.25">
      <c r="O461" s="212"/>
    </row>
    <row r="462" spans="2:16" s="220" customFormat="1" ht="107.15" customHeight="1" x14ac:dyDescent="0.25">
      <c r="B462" s="1231" t="s">
        <v>173</v>
      </c>
      <c r="C462" s="1232"/>
      <c r="D462" s="1232"/>
      <c r="E462" s="1233"/>
      <c r="F462" s="804"/>
      <c r="G462" s="166" t="str">
        <f>"Nog af te bouwen regulatoir saldo einde "&amp;F460-1</f>
        <v>Nog af te bouwen regulatoir saldo einde 2018</v>
      </c>
      <c r="H462" s="166" t="str">
        <f>"Afbouw oudste openstaande regulatoir saldo vanaf boekjaar "&amp;F460-2&amp;" en vroeger, door aanwending van compensatie met regulatoir saldo ontstaan over boekjaar "&amp;F460-1</f>
        <v>Afbouw oudste openstaande regulatoir saldo vanaf boekjaar 2017 en vroeger, door aanwending van compensatie met regulatoir saldo ontstaan over boekjaar 2018</v>
      </c>
      <c r="I462" s="166" t="str">
        <f>"Nog af te bouwen regulatoir saldo na compensatie einde "&amp;F460-1</f>
        <v>Nog af te bouwen regulatoir saldo na compensatie einde 2018</v>
      </c>
      <c r="J462" s="166" t="str">
        <f>"Aanwending van 50% van het geaccumuleerd regulatoir saldo door te rekenen volgens de tariefmethodologie in het boekjaar "&amp;F460</f>
        <v>Aanwending van 50% van het geaccumuleerd regulatoir saldo door te rekenen volgens de tariefmethodologie in het boekjaar 2019</v>
      </c>
      <c r="K462" s="166" t="str">
        <f>"Aanwending van 50% van het geaccumuleerd regulatoir saldo door te rekenen volgens de tariefmethodologie in het boekjaar "&amp;F460</f>
        <v>Aanwending van 50% van het geaccumuleerd regulatoir saldo door te rekenen volgens de tariefmethodologie in het boekjaar 2019</v>
      </c>
      <c r="L462" s="166" t="str">
        <f>"Totale afbouw over "&amp;F460</f>
        <v>Totale afbouw over 2019</v>
      </c>
      <c r="M462" s="166" t="str">
        <f>"Nog af te bouwen regulatoir saldo einde "&amp;F460</f>
        <v>Nog af te bouwen regulatoir saldo einde 2019</v>
      </c>
      <c r="N462" s="564"/>
    </row>
    <row r="463" spans="2:16" ht="13" x14ac:dyDescent="0.25">
      <c r="B463" s="1228">
        <v>2017</v>
      </c>
      <c r="C463" s="1229"/>
      <c r="D463" s="1229"/>
      <c r="E463" s="1230"/>
      <c r="F463" s="283"/>
      <c r="G463" s="566">
        <f>K458</f>
        <v>0</v>
      </c>
      <c r="H463" s="566">
        <f>IF(SIGN(G464*K458)&lt;0,IF(G463&lt;&gt;0,-SIGN(G463)*MIN(ABS(G464),ABS(G463)),0),0)</f>
        <v>0</v>
      </c>
      <c r="I463" s="566">
        <f>+G463+H463</f>
        <v>0</v>
      </c>
      <c r="J463" s="1033"/>
      <c r="K463" s="1010">
        <f>-MIN(ABS(I463),ABS(J465))*SIGN(I463)</f>
        <v>0</v>
      </c>
      <c r="L463" s="1003">
        <f>+K463+H463</f>
        <v>0</v>
      </c>
      <c r="M463" s="566">
        <f>+I463+K463</f>
        <v>0</v>
      </c>
      <c r="N463" s="212"/>
      <c r="O463" s="167"/>
    </row>
    <row r="464" spans="2:16" ht="13" x14ac:dyDescent="0.25">
      <c r="B464" s="1228">
        <v>2018</v>
      </c>
      <c r="C464" s="1229"/>
      <c r="D464" s="1229"/>
      <c r="E464" s="1230"/>
      <c r="F464" s="283"/>
      <c r="G464" s="566">
        <f>+H149</f>
        <v>0</v>
      </c>
      <c r="H464" s="1003">
        <f>IF(SIGN(G464*K458)&lt;0,-H463,0)</f>
        <v>0</v>
      </c>
      <c r="I464" s="566">
        <f>+G464+H464</f>
        <v>0</v>
      </c>
      <c r="J464" s="1033"/>
      <c r="K464" s="1010">
        <f>-MIN(ABS(I464),ABS(J465-K463))*SIGN(I464)</f>
        <v>0</v>
      </c>
      <c r="L464" s="1003">
        <f>+K464+H464</f>
        <v>0</v>
      </c>
      <c r="M464" s="566">
        <f>+I464+K464</f>
        <v>0</v>
      </c>
      <c r="N464" s="212"/>
      <c r="O464" s="167"/>
    </row>
    <row r="465" spans="2:15" s="281" customFormat="1" ht="13" x14ac:dyDescent="0.3">
      <c r="G465" s="169">
        <f>SUM(G463:G464)</f>
        <v>0</v>
      </c>
      <c r="H465" s="169">
        <f>SUM(H463:H464)</f>
        <v>0</v>
      </c>
      <c r="I465" s="169">
        <f>SUM(I463:I464)</f>
        <v>0</v>
      </c>
      <c r="J465" s="291">
        <f>-I465*0.5</f>
        <v>0</v>
      </c>
      <c r="K465" s="291">
        <f>SUM(K463:K464)</f>
        <v>0</v>
      </c>
      <c r="L465" s="570"/>
      <c r="M465" s="169">
        <f>SUM(M463:M464)</f>
        <v>0</v>
      </c>
    </row>
    <row r="466" spans="2:15" x14ac:dyDescent="0.25">
      <c r="O466" s="167"/>
    </row>
    <row r="467" spans="2:15" ht="13" x14ac:dyDescent="0.25">
      <c r="B467" s="281" t="s">
        <v>172</v>
      </c>
      <c r="F467" s="1000">
        <v>2020</v>
      </c>
      <c r="O467" s="167"/>
    </row>
    <row r="468" spans="2:15" x14ac:dyDescent="0.25">
      <c r="O468" s="167"/>
    </row>
    <row r="469" spans="2:15" s="220" customFormat="1" ht="107.15" customHeight="1" x14ac:dyDescent="0.25">
      <c r="B469" s="1231" t="s">
        <v>173</v>
      </c>
      <c r="C469" s="1232"/>
      <c r="D469" s="1232"/>
      <c r="E469" s="1233"/>
      <c r="F469" s="804"/>
      <c r="G469" s="166" t="str">
        <f>"Nog af te bouwen regulatoir saldo einde "&amp;F467-1</f>
        <v>Nog af te bouwen regulatoir saldo einde 2019</v>
      </c>
      <c r="H469" s="166" t="str">
        <f>"Afbouw oudste openstaande regulatoir saldo vanaf boekjaar "&amp;F467-2&amp;" en vroeger, door aanwending van compensatie met regulatoir saldo ontstaan over boekjaar "&amp;F467-1</f>
        <v>Afbouw oudste openstaande regulatoir saldo vanaf boekjaar 2018 en vroeger, door aanwending van compensatie met regulatoir saldo ontstaan over boekjaar 2019</v>
      </c>
      <c r="I469" s="166" t="str">
        <f>"Nog af te bouwen regulatoir saldo na compensatie einde "&amp;F467-1</f>
        <v>Nog af te bouwen regulatoir saldo na compensatie einde 2019</v>
      </c>
      <c r="J469" s="166" t="str">
        <f>"Aanwending van 50% van het geaccumuleerd regulatoir saldo door te rekenen volgens de tariefmethodologie in het boekjaar "&amp;F467</f>
        <v>Aanwending van 50% van het geaccumuleerd regulatoir saldo door te rekenen volgens de tariefmethodologie in het boekjaar 2020</v>
      </c>
      <c r="K469" s="166" t="str">
        <f>"Aanwending van 50% van het geaccumuleerd regulatoir saldo door te rekenen volgens de tariefmethodologie in het boekjaar "&amp;F467</f>
        <v>Aanwending van 50% van het geaccumuleerd regulatoir saldo door te rekenen volgens de tariefmethodologie in het boekjaar 2020</v>
      </c>
      <c r="L469" s="166" t="str">
        <f>"Totale afbouw over "&amp;F467</f>
        <v>Totale afbouw over 2020</v>
      </c>
      <c r="M469" s="166" t="str">
        <f>"Nog af te bouwen regulatoir saldo einde "&amp;F467</f>
        <v>Nog af te bouwen regulatoir saldo einde 2020</v>
      </c>
      <c r="N469" s="564"/>
    </row>
    <row r="470" spans="2:15" ht="13" x14ac:dyDescent="0.25">
      <c r="B470" s="1228">
        <v>2017</v>
      </c>
      <c r="C470" s="1229"/>
      <c r="D470" s="1229"/>
      <c r="E470" s="1230"/>
      <c r="F470" s="283"/>
      <c r="G470" s="566">
        <f>+M463</f>
        <v>0</v>
      </c>
      <c r="H470" s="1003">
        <f>IF(SIGN(G472*M465)&lt;0,IF(G470&lt;&gt;0,-SIGN(G470)*MIN(ABS(G472),ABS(G470)),0),0)</f>
        <v>0</v>
      </c>
      <c r="I470" s="566">
        <f>+G470+H470</f>
        <v>0</v>
      </c>
      <c r="J470" s="1033"/>
      <c r="K470" s="1010">
        <f>-MIN(ABS(I470),ABS(J473))*SIGN(I470)</f>
        <v>0</v>
      </c>
      <c r="L470" s="1003">
        <f>+K470+H470</f>
        <v>0</v>
      </c>
      <c r="M470" s="566">
        <f>+I470+K470</f>
        <v>0</v>
      </c>
      <c r="N470" s="212"/>
      <c r="O470" s="167"/>
    </row>
    <row r="471" spans="2:15" ht="13" x14ac:dyDescent="0.25">
      <c r="B471" s="1228">
        <v>2018</v>
      </c>
      <c r="C471" s="1229"/>
      <c r="D471" s="1229">
        <v>2016</v>
      </c>
      <c r="E471" s="1230"/>
      <c r="F471" s="283"/>
      <c r="G471" s="566">
        <f>+M464</f>
        <v>0</v>
      </c>
      <c r="H471" s="1003">
        <f>IF(SIGN(G472*M465)&lt;0,IF(G471&lt;&gt;0,-SIGN(G471)*MIN(ABS(G472-H470),ABS(G471)),0),0)</f>
        <v>0</v>
      </c>
      <c r="I471" s="566">
        <f>+G471+H471</f>
        <v>0</v>
      </c>
      <c r="J471" s="1033"/>
      <c r="K471" s="1010">
        <f>-MIN(ABS(I471),ABS(J473-K470))*SIGN(I471)</f>
        <v>0</v>
      </c>
      <c r="L471" s="1003">
        <f>+K471+H471</f>
        <v>0</v>
      </c>
      <c r="M471" s="566">
        <f>+I471+K471</f>
        <v>0</v>
      </c>
      <c r="N471" s="212"/>
      <c r="O471" s="167"/>
    </row>
    <row r="472" spans="2:15" ht="13" x14ac:dyDescent="0.25">
      <c r="B472" s="1228">
        <v>2019</v>
      </c>
      <c r="C472" s="1229"/>
      <c r="D472" s="1229"/>
      <c r="E472" s="1230"/>
      <c r="F472" s="283"/>
      <c r="G472" s="566">
        <f>I150</f>
        <v>0</v>
      </c>
      <c r="H472" s="1003">
        <f>IF(SIGN(G472*M465)&lt;0,-SUM(H470:H471),0)</f>
        <v>0</v>
      </c>
      <c r="I472" s="566">
        <f>+G472+H472</f>
        <v>0</v>
      </c>
      <c r="J472" s="1033"/>
      <c r="K472" s="1010">
        <f>-MIN(ABS(I472),ABS(J473-K470-K471))*SIGN(I472)</f>
        <v>0</v>
      </c>
      <c r="L472" s="1003">
        <f>+K472+H472</f>
        <v>0</v>
      </c>
      <c r="M472" s="566">
        <f>+I472+K472</f>
        <v>0</v>
      </c>
      <c r="N472" s="212"/>
      <c r="O472" s="167"/>
    </row>
    <row r="473" spans="2:15" s="281" customFormat="1" ht="13" x14ac:dyDescent="0.3">
      <c r="G473" s="169">
        <f>SUM(G470:G472)</f>
        <v>0</v>
      </c>
      <c r="H473" s="169">
        <f>SUM(H470:H472)</f>
        <v>0</v>
      </c>
      <c r="I473" s="169">
        <f>SUM(I470:I472)</f>
        <v>0</v>
      </c>
      <c r="J473" s="291">
        <f>-I473*0.5</f>
        <v>0</v>
      </c>
      <c r="K473" s="291">
        <f>SUM(K470:K472)</f>
        <v>0</v>
      </c>
      <c r="L473" s="570"/>
      <c r="M473" s="169">
        <f>SUM(M470:M472)</f>
        <v>0</v>
      </c>
    </row>
    <row r="474" spans="2:15" x14ac:dyDescent="0.25">
      <c r="O474" s="167"/>
    </row>
    <row r="475" spans="2:15" ht="13" x14ac:dyDescent="0.25">
      <c r="B475" s="281" t="s">
        <v>172</v>
      </c>
      <c r="F475" s="1000">
        <v>2021</v>
      </c>
      <c r="O475" s="167"/>
    </row>
    <row r="476" spans="2:15" x14ac:dyDescent="0.25">
      <c r="O476" s="167"/>
    </row>
    <row r="477" spans="2:15" ht="78" customHeight="1" x14ac:dyDescent="0.25">
      <c r="B477" s="1231" t="s">
        <v>173</v>
      </c>
      <c r="C477" s="1232"/>
      <c r="D477" s="1232"/>
      <c r="E477" s="1233"/>
      <c r="F477" s="282"/>
      <c r="G477" s="166" t="str">
        <f>"Nog af te bouwen regulatoir saldo einde "&amp;F475-1</f>
        <v>Nog af te bouwen regulatoir saldo einde 2020</v>
      </c>
      <c r="H477" s="166" t="str">
        <f>"50% van het oorspronkelijk regulatoir saldo door te rekenen volgens de tariefmethodologie in het boekjaar "&amp;F475</f>
        <v>50% van het oorspronkelijk regulatoir saldo door te rekenen volgens de tariefmethodologie in het boekjaar 2021</v>
      </c>
      <c r="I477" s="166" t="str">
        <f>"Nog af te bouwen regulatoir saldo einde "&amp;F475</f>
        <v>Nog af te bouwen regulatoir saldo einde 2021</v>
      </c>
      <c r="J477" s="212"/>
      <c r="O477" s="167"/>
    </row>
    <row r="478" spans="2:15" ht="13" x14ac:dyDescent="0.25">
      <c r="B478" s="1228">
        <v>2017</v>
      </c>
      <c r="C478" s="1229"/>
      <c r="D478" s="1229"/>
      <c r="E478" s="1230"/>
      <c r="F478" s="283"/>
      <c r="G478" s="566">
        <f>+M470</f>
        <v>0</v>
      </c>
      <c r="H478" s="566">
        <f>-G478*0.5</f>
        <v>0</v>
      </c>
      <c r="I478" s="566">
        <f>+G478+H478</f>
        <v>0</v>
      </c>
      <c r="J478" s="212"/>
      <c r="O478" s="167"/>
    </row>
    <row r="479" spans="2:15" ht="13" x14ac:dyDescent="0.25">
      <c r="B479" s="1228">
        <v>2018</v>
      </c>
      <c r="C479" s="1229"/>
      <c r="D479" s="1229"/>
      <c r="E479" s="1230"/>
      <c r="F479" s="283"/>
      <c r="G479" s="566">
        <f t="shared" ref="G479:G480" si="68">+M471</f>
        <v>0</v>
      </c>
      <c r="H479" s="566">
        <f t="shared" ref="H479:H481" si="69">-G479*0.5</f>
        <v>0</v>
      </c>
      <c r="I479" s="566">
        <f t="shared" ref="I479:I481" si="70">+G479+H479</f>
        <v>0</v>
      </c>
      <c r="J479" s="212"/>
      <c r="O479" s="167"/>
    </row>
    <row r="480" spans="2:15" ht="13" x14ac:dyDescent="0.25">
      <c r="B480" s="1228">
        <v>2019</v>
      </c>
      <c r="C480" s="1229"/>
      <c r="D480" s="1229">
        <v>2016</v>
      </c>
      <c r="E480" s="1230"/>
      <c r="F480" s="283"/>
      <c r="G480" s="566">
        <f t="shared" si="68"/>
        <v>0</v>
      </c>
      <c r="H480" s="566">
        <f t="shared" si="69"/>
        <v>0</v>
      </c>
      <c r="I480" s="566">
        <f t="shared" si="70"/>
        <v>0</v>
      </c>
      <c r="J480" s="212"/>
      <c r="O480" s="167"/>
    </row>
    <row r="481" spans="2:15" ht="13" x14ac:dyDescent="0.25">
      <c r="B481" s="1228">
        <v>2020</v>
      </c>
      <c r="C481" s="1229"/>
      <c r="D481" s="1229"/>
      <c r="E481" s="1230"/>
      <c r="F481" s="283"/>
      <c r="G481" s="566">
        <f>J151</f>
        <v>0</v>
      </c>
      <c r="H481" s="566">
        <f t="shared" si="69"/>
        <v>0</v>
      </c>
      <c r="I481" s="566">
        <f t="shared" si="70"/>
        <v>0</v>
      </c>
      <c r="J481" s="212"/>
      <c r="O481" s="167"/>
    </row>
    <row r="482" spans="2:15" s="281" customFormat="1" ht="13" x14ac:dyDescent="0.25">
      <c r="G482" s="169">
        <f>SUM(G478:G481)</f>
        <v>0</v>
      </c>
      <c r="H482" s="169">
        <f>SUM(H478:H481)</f>
        <v>0</v>
      </c>
      <c r="I482" s="169">
        <f>SUM(I478:I481)</f>
        <v>0</v>
      </c>
    </row>
    <row r="483" spans="2:15" x14ac:dyDescent="0.25">
      <c r="G483" s="221"/>
      <c r="H483" s="221"/>
      <c r="I483" s="221"/>
      <c r="O483" s="167"/>
    </row>
    <row r="484" spans="2:15" ht="13" x14ac:dyDescent="0.25">
      <c r="B484" s="847" t="s">
        <v>172</v>
      </c>
      <c r="C484" s="842"/>
      <c r="D484" s="842"/>
      <c r="E484" s="842"/>
      <c r="F484" s="1004">
        <v>2022</v>
      </c>
      <c r="G484" s="842"/>
      <c r="H484" s="842"/>
      <c r="I484" s="842"/>
      <c r="O484" s="167"/>
    </row>
    <row r="485" spans="2:15" x14ac:dyDescent="0.25">
      <c r="B485" s="842"/>
      <c r="C485" s="842"/>
      <c r="D485" s="842"/>
      <c r="E485" s="842"/>
      <c r="F485" s="842"/>
      <c r="G485" s="842"/>
      <c r="H485" s="842"/>
      <c r="I485" s="842"/>
      <c r="O485" s="167"/>
    </row>
    <row r="486" spans="2:15" ht="78" customHeight="1" x14ac:dyDescent="0.25">
      <c r="B486" s="1237" t="s">
        <v>173</v>
      </c>
      <c r="C486" s="1238"/>
      <c r="D486" s="1238"/>
      <c r="E486" s="1239"/>
      <c r="F486" s="848"/>
      <c r="G486" s="837" t="str">
        <f>"Nog af te bouwen regulatoir saldo einde "&amp;F484-1</f>
        <v>Nog af te bouwen regulatoir saldo einde 2021</v>
      </c>
      <c r="H486" s="837" t="str">
        <f>"50% van het oorspronkelijk regulatoir saldo door te rekenen volgens de tariefmethodologie in het boekjaar "&amp;F484</f>
        <v>50% van het oorspronkelijk regulatoir saldo door te rekenen volgens de tariefmethodologie in het boekjaar 2022</v>
      </c>
      <c r="I486" s="837" t="str">
        <f>"Nog af te bouwen regulatoir saldo einde "&amp;F484</f>
        <v>Nog af te bouwen regulatoir saldo einde 2022</v>
      </c>
      <c r="J486" s="212"/>
      <c r="O486" s="167"/>
    </row>
    <row r="487" spans="2:15" ht="13" x14ac:dyDescent="0.25">
      <c r="B487" s="1234">
        <v>2017</v>
      </c>
      <c r="C487" s="1235"/>
      <c r="D487" s="1235">
        <v>2016</v>
      </c>
      <c r="E487" s="1236"/>
      <c r="F487" s="341"/>
      <c r="G487" s="568">
        <f>+I478</f>
        <v>0</v>
      </c>
      <c r="H487" s="568">
        <f>-G478*0.5</f>
        <v>0</v>
      </c>
      <c r="I487" s="568">
        <f t="shared" ref="I487:I490" si="71">+G487+H487</f>
        <v>0</v>
      </c>
      <c r="J487" s="212"/>
      <c r="O487" s="167"/>
    </row>
    <row r="488" spans="2:15" ht="13" x14ac:dyDescent="0.25">
      <c r="B488" s="1234">
        <v>2018</v>
      </c>
      <c r="C488" s="1235"/>
      <c r="D488" s="1235"/>
      <c r="E488" s="1236"/>
      <c r="F488" s="341"/>
      <c r="G488" s="568">
        <f t="shared" ref="G488:G490" si="72">+I479</f>
        <v>0</v>
      </c>
      <c r="H488" s="568">
        <f t="shared" ref="H488:H490" si="73">-G479*0.5</f>
        <v>0</v>
      </c>
      <c r="I488" s="568">
        <f t="shared" si="71"/>
        <v>0</v>
      </c>
      <c r="J488" s="212"/>
      <c r="O488" s="167"/>
    </row>
    <row r="489" spans="2:15" ht="13" x14ac:dyDescent="0.25">
      <c r="B489" s="1234">
        <v>2019</v>
      </c>
      <c r="C489" s="1235"/>
      <c r="D489" s="1235"/>
      <c r="E489" s="1236"/>
      <c r="F489" s="341"/>
      <c r="G489" s="568">
        <f t="shared" si="72"/>
        <v>0</v>
      </c>
      <c r="H489" s="568">
        <f t="shared" si="73"/>
        <v>0</v>
      </c>
      <c r="I489" s="568">
        <f t="shared" si="71"/>
        <v>0</v>
      </c>
      <c r="J489" s="212"/>
      <c r="O489" s="167"/>
    </row>
    <row r="490" spans="2:15" ht="13" x14ac:dyDescent="0.25">
      <c r="B490" s="1234">
        <v>2020</v>
      </c>
      <c r="C490" s="1235"/>
      <c r="D490" s="1235"/>
      <c r="E490" s="1236"/>
      <c r="F490" s="341"/>
      <c r="G490" s="568">
        <f t="shared" si="72"/>
        <v>0</v>
      </c>
      <c r="H490" s="568">
        <f t="shared" si="73"/>
        <v>0</v>
      </c>
      <c r="I490" s="568">
        <f t="shared" si="71"/>
        <v>0</v>
      </c>
      <c r="J490" s="212"/>
      <c r="O490" s="167"/>
    </row>
    <row r="491" spans="2:15" s="281" customFormat="1" ht="13" x14ac:dyDescent="0.25">
      <c r="B491" s="847"/>
      <c r="C491" s="847"/>
      <c r="D491" s="847"/>
      <c r="E491" s="847"/>
      <c r="F491" s="847"/>
      <c r="G491" s="856">
        <f>SUM(G487:G490)</f>
        <v>0</v>
      </c>
      <c r="H491" s="856">
        <f>SUM(H487:H490)</f>
        <v>0</v>
      </c>
      <c r="I491" s="856">
        <f>SUM(I487:I490)</f>
        <v>0</v>
      </c>
    </row>
    <row r="492" spans="2:15" ht="13" x14ac:dyDescent="0.25">
      <c r="B492" s="281" t="str">
        <f>+B453</f>
        <v>Het tarief voor de regeling van de spanning en van het reactief vermogen</v>
      </c>
      <c r="C492" s="224"/>
      <c r="D492" s="224"/>
      <c r="E492" s="224"/>
      <c r="O492" s="167"/>
    </row>
    <row r="493" spans="2:15" ht="13" x14ac:dyDescent="0.25">
      <c r="B493" s="281" t="s">
        <v>174</v>
      </c>
      <c r="C493" s="224"/>
      <c r="D493" s="224"/>
      <c r="E493" s="224"/>
      <c r="O493" s="167"/>
    </row>
    <row r="494" spans="2:15" ht="13" x14ac:dyDescent="0.25">
      <c r="B494" s="281"/>
      <c r="C494" s="224"/>
      <c r="D494" s="224"/>
      <c r="E494" s="224"/>
      <c r="O494" s="167"/>
    </row>
    <row r="495" spans="2:15" ht="13" x14ac:dyDescent="0.25">
      <c r="B495" s="283">
        <f>F475</f>
        <v>2021</v>
      </c>
      <c r="C495" s="287">
        <f>+H482</f>
        <v>0</v>
      </c>
      <c r="D495" s="224"/>
      <c r="E495" s="224"/>
      <c r="O495" s="167"/>
    </row>
    <row r="496" spans="2:15" ht="13" x14ac:dyDescent="0.25">
      <c r="B496" s="341">
        <v>2022</v>
      </c>
      <c r="C496" s="342">
        <f>+H491</f>
        <v>0</v>
      </c>
      <c r="D496" s="224"/>
      <c r="E496" s="224"/>
      <c r="O496" s="167"/>
    </row>
    <row r="497" spans="2:16" ht="13" x14ac:dyDescent="0.25">
      <c r="B497" s="341">
        <v>2023</v>
      </c>
      <c r="C497" s="342">
        <v>0</v>
      </c>
      <c r="D497" s="224"/>
      <c r="E497" s="224"/>
      <c r="O497" s="167"/>
    </row>
    <row r="498" spans="2:16" ht="13" x14ac:dyDescent="0.25">
      <c r="B498" s="341">
        <v>2024</v>
      </c>
      <c r="C498" s="342">
        <v>0</v>
      </c>
      <c r="D498" s="224"/>
      <c r="E498" s="224"/>
      <c r="O498" s="167"/>
    </row>
    <row r="499" spans="2:16" x14ac:dyDescent="0.25">
      <c r="O499" s="167"/>
    </row>
    <row r="500" spans="2:16" x14ac:dyDescent="0.25">
      <c r="O500" s="167"/>
    </row>
    <row r="501" spans="2:16" ht="13" x14ac:dyDescent="0.25">
      <c r="B501" s="326" t="s">
        <v>118</v>
      </c>
      <c r="C501" s="327"/>
      <c r="D501" s="327"/>
      <c r="E501" s="327"/>
      <c r="F501" s="328"/>
      <c r="G501" s="328"/>
      <c r="H501" s="328"/>
      <c r="I501" s="328"/>
      <c r="J501" s="328"/>
      <c r="K501" s="328"/>
      <c r="L501" s="328"/>
      <c r="M501" s="328"/>
      <c r="N501" s="328"/>
      <c r="O501" s="329"/>
      <c r="P501" s="328"/>
    </row>
    <row r="502" spans="2:16" x14ac:dyDescent="0.25">
      <c r="O502" s="212"/>
    </row>
    <row r="503" spans="2:16" ht="13" x14ac:dyDescent="0.25">
      <c r="B503" s="281" t="s">
        <v>172</v>
      </c>
      <c r="F503" s="1000">
        <v>2018</v>
      </c>
      <c r="O503" s="212"/>
    </row>
    <row r="504" spans="2:16" x14ac:dyDescent="0.25">
      <c r="O504" s="167"/>
    </row>
    <row r="505" spans="2:16" s="220" customFormat="1" ht="107.15" customHeight="1" x14ac:dyDescent="0.25">
      <c r="B505" s="1231" t="s">
        <v>173</v>
      </c>
      <c r="C505" s="1232"/>
      <c r="D505" s="1232"/>
      <c r="E505" s="1233"/>
      <c r="F505" s="804"/>
      <c r="G505" s="166" t="str">
        <f>"Nog af te bouwen regulatoir saldo einde "&amp;F503-1</f>
        <v>Nog af te bouwen regulatoir saldo einde 2017</v>
      </c>
      <c r="H505" s="166" t="str">
        <f>"Afbouw oudste openstaande regulatoir saldo vanaf boekjaar "&amp;F503-2&amp;" en vroeger, door aanwending van compensatie met regulatoir saldo ontstaan over boekjaar "&amp;F503-1</f>
        <v>Afbouw oudste openstaande regulatoir saldo vanaf boekjaar 2016 en vroeger, door aanwending van compensatie met regulatoir saldo ontstaan over boekjaar 2017</v>
      </c>
      <c r="I505" s="166" t="str">
        <f>"Nog af te bouwen regulatoir saldo na compensatie einde "&amp;F503-1</f>
        <v>Nog af te bouwen regulatoir saldo na compensatie einde 2017</v>
      </c>
      <c r="J505" s="166" t="str">
        <f>"Aanwending van 50% van het geaccumuleerd regulatoir saldo door te rekenen volgens de tariefmethodologie in het boekjaar "&amp;F503</f>
        <v>Aanwending van 50% van het geaccumuleerd regulatoir saldo door te rekenen volgens de tariefmethodologie in het boekjaar 2018</v>
      </c>
      <c r="K505" s="166" t="str">
        <f>"Nog af te bouwen regulatoir saldo einde "&amp;F503</f>
        <v>Nog af te bouwen regulatoir saldo einde 2018</v>
      </c>
      <c r="L505" s="228"/>
      <c r="M505" s="228"/>
      <c r="N505" s="228"/>
    </row>
    <row r="506" spans="2:16" ht="13" x14ac:dyDescent="0.25">
      <c r="B506" s="1228">
        <v>2017</v>
      </c>
      <c r="C506" s="1229"/>
      <c r="D506" s="1229"/>
      <c r="E506" s="1230"/>
      <c r="F506" s="283"/>
      <c r="G506" s="566">
        <f>+G157</f>
        <v>0</v>
      </c>
      <c r="H506" s="566">
        <v>0</v>
      </c>
      <c r="I506" s="566">
        <f>+G506+H506</f>
        <v>0</v>
      </c>
      <c r="J506" s="1010">
        <f>-I506*0.5</f>
        <v>0</v>
      </c>
      <c r="K506" s="1032">
        <f>+J506+G506</f>
        <v>0</v>
      </c>
      <c r="L506" s="1002"/>
      <c r="M506" s="1002"/>
      <c r="N506" s="1002"/>
      <c r="O506" s="167"/>
    </row>
    <row r="507" spans="2:16" x14ac:dyDescent="0.25">
      <c r="O507" s="167"/>
    </row>
    <row r="508" spans="2:16" ht="13" x14ac:dyDescent="0.25">
      <c r="B508" s="281" t="s">
        <v>172</v>
      </c>
      <c r="F508" s="1000">
        <v>2019</v>
      </c>
      <c r="O508" s="212"/>
    </row>
    <row r="509" spans="2:16" x14ac:dyDescent="0.25">
      <c r="O509" s="212"/>
    </row>
    <row r="510" spans="2:16" s="220" customFormat="1" ht="107.15" customHeight="1" x14ac:dyDescent="0.25">
      <c r="B510" s="1231" t="s">
        <v>173</v>
      </c>
      <c r="C510" s="1232"/>
      <c r="D510" s="1232"/>
      <c r="E510" s="1233"/>
      <c r="F510" s="804"/>
      <c r="G510" s="166" t="str">
        <f>"Nog af te bouwen regulatoir saldo einde "&amp;F508-1</f>
        <v>Nog af te bouwen regulatoir saldo einde 2018</v>
      </c>
      <c r="H510" s="166" t="str">
        <f>"Afbouw oudste openstaande regulatoir saldo vanaf boekjaar "&amp;F508-2&amp;" en vroeger, door aanwending van compensatie met regulatoir saldo ontstaan over boekjaar "&amp;F508-1</f>
        <v>Afbouw oudste openstaande regulatoir saldo vanaf boekjaar 2017 en vroeger, door aanwending van compensatie met regulatoir saldo ontstaan over boekjaar 2018</v>
      </c>
      <c r="I510" s="166" t="str">
        <f>"Nog af te bouwen regulatoir saldo na compensatie einde "&amp;F508-1</f>
        <v>Nog af te bouwen regulatoir saldo na compensatie einde 2018</v>
      </c>
      <c r="J510" s="166" t="str">
        <f>"Aanwending van 50% van het geaccumuleerd regulatoir saldo door te rekenen volgens de tariefmethodologie in het boekjaar "&amp;F508</f>
        <v>Aanwending van 50% van het geaccumuleerd regulatoir saldo door te rekenen volgens de tariefmethodologie in het boekjaar 2019</v>
      </c>
      <c r="K510" s="166" t="str">
        <f>"Aanwending van 50% van het geaccumuleerd regulatoir saldo door te rekenen volgens de tariefmethodologie in het boekjaar "&amp;F508</f>
        <v>Aanwending van 50% van het geaccumuleerd regulatoir saldo door te rekenen volgens de tariefmethodologie in het boekjaar 2019</v>
      </c>
      <c r="L510" s="166" t="str">
        <f>"Totale afbouw over "&amp;F508</f>
        <v>Totale afbouw over 2019</v>
      </c>
      <c r="M510" s="166" t="str">
        <f>"Nog af te bouwen regulatoir saldo einde "&amp;F508</f>
        <v>Nog af te bouwen regulatoir saldo einde 2019</v>
      </c>
      <c r="N510" s="564"/>
    </row>
    <row r="511" spans="2:16" ht="13" x14ac:dyDescent="0.25">
      <c r="B511" s="1228">
        <v>2017</v>
      </c>
      <c r="C511" s="1229"/>
      <c r="D511" s="1229"/>
      <c r="E511" s="1230"/>
      <c r="F511" s="283"/>
      <c r="G511" s="566">
        <f>K506</f>
        <v>0</v>
      </c>
      <c r="H511" s="566">
        <f>IF(SIGN(G512*K506)&lt;0,IF(G511&lt;&gt;0,-SIGN(G511)*MIN(ABS(G512),ABS(G511)),0),0)</f>
        <v>0</v>
      </c>
      <c r="I511" s="566">
        <f>+G511+H511</f>
        <v>0</v>
      </c>
      <c r="J511" s="1033"/>
      <c r="K511" s="1010">
        <f>-MIN(ABS(I511),ABS(J513))*SIGN(I511)</f>
        <v>0</v>
      </c>
      <c r="L511" s="1003">
        <f>+K511+H511</f>
        <v>0</v>
      </c>
      <c r="M511" s="566">
        <f>+I511+K511</f>
        <v>0</v>
      </c>
      <c r="N511" s="212"/>
      <c r="O511" s="167"/>
    </row>
    <row r="512" spans="2:16" ht="13" x14ac:dyDescent="0.25">
      <c r="B512" s="1228">
        <v>2018</v>
      </c>
      <c r="C512" s="1229"/>
      <c r="D512" s="1229"/>
      <c r="E512" s="1230"/>
      <c r="F512" s="283"/>
      <c r="G512" s="566">
        <f>+H158</f>
        <v>0</v>
      </c>
      <c r="H512" s="1003">
        <f>IF(SIGN(G512*K506)&lt;0,-H511,0)</f>
        <v>0</v>
      </c>
      <c r="I512" s="566">
        <f>+G512+H512</f>
        <v>0</v>
      </c>
      <c r="J512" s="1033"/>
      <c r="K512" s="1010">
        <f>-MIN(ABS(I512),ABS(J513-K511))*SIGN(I512)</f>
        <v>0</v>
      </c>
      <c r="L512" s="1003">
        <f>+K512+H512</f>
        <v>0</v>
      </c>
      <c r="M512" s="566">
        <f>+I512+K512</f>
        <v>0</v>
      </c>
      <c r="N512" s="212"/>
      <c r="O512" s="167"/>
    </row>
    <row r="513" spans="2:15" s="281" customFormat="1" ht="13" x14ac:dyDescent="0.3">
      <c r="G513" s="169">
        <f>SUM(G511:G512)</f>
        <v>0</v>
      </c>
      <c r="H513" s="169">
        <f>SUM(H511:H512)</f>
        <v>0</v>
      </c>
      <c r="I513" s="169">
        <f>SUM(I511:I512)</f>
        <v>0</v>
      </c>
      <c r="J513" s="291">
        <f>-I513*0.5</f>
        <v>0</v>
      </c>
      <c r="K513" s="291">
        <f>SUM(K511:K512)</f>
        <v>0</v>
      </c>
      <c r="L513" s="570"/>
      <c r="M513" s="169">
        <f>SUM(M511:M512)</f>
        <v>0</v>
      </c>
    </row>
    <row r="514" spans="2:15" x14ac:dyDescent="0.25">
      <c r="O514" s="167"/>
    </row>
    <row r="515" spans="2:15" ht="13" x14ac:dyDescent="0.25">
      <c r="B515" s="281" t="s">
        <v>172</v>
      </c>
      <c r="F515" s="1000">
        <v>2020</v>
      </c>
      <c r="O515" s="167"/>
    </row>
    <row r="516" spans="2:15" x14ac:dyDescent="0.25">
      <c r="O516" s="167"/>
    </row>
    <row r="517" spans="2:15" s="220" customFormat="1" ht="107.15" customHeight="1" x14ac:dyDescent="0.25">
      <c r="B517" s="1231" t="s">
        <v>173</v>
      </c>
      <c r="C517" s="1232"/>
      <c r="D517" s="1232"/>
      <c r="E517" s="1233"/>
      <c r="F517" s="804"/>
      <c r="G517" s="166" t="str">
        <f>"Nog af te bouwen regulatoir saldo einde "&amp;F515-1</f>
        <v>Nog af te bouwen regulatoir saldo einde 2019</v>
      </c>
      <c r="H517" s="166" t="str">
        <f>"Afbouw oudste openstaande regulatoir saldo vanaf boekjaar "&amp;F515-2&amp;" en vroeger, door aanwending van compensatie met regulatoir saldo ontstaan over boekjaar "&amp;F515-1</f>
        <v>Afbouw oudste openstaande regulatoir saldo vanaf boekjaar 2018 en vroeger, door aanwending van compensatie met regulatoir saldo ontstaan over boekjaar 2019</v>
      </c>
      <c r="I517" s="166" t="str">
        <f>"Nog af te bouwen regulatoir saldo na compensatie einde "&amp;F515-1</f>
        <v>Nog af te bouwen regulatoir saldo na compensatie einde 2019</v>
      </c>
      <c r="J517" s="166" t="str">
        <f>"Aanwending van 50% van het geaccumuleerd regulatoir saldo door te rekenen volgens de tariefmethodologie in het boekjaar "&amp;F515</f>
        <v>Aanwending van 50% van het geaccumuleerd regulatoir saldo door te rekenen volgens de tariefmethodologie in het boekjaar 2020</v>
      </c>
      <c r="K517" s="166" t="str">
        <f>"Aanwending van 50% van het geaccumuleerd regulatoir saldo door te rekenen volgens de tariefmethodologie in het boekjaar "&amp;F515</f>
        <v>Aanwending van 50% van het geaccumuleerd regulatoir saldo door te rekenen volgens de tariefmethodologie in het boekjaar 2020</v>
      </c>
      <c r="L517" s="166" t="str">
        <f>"Totale afbouw over "&amp;F515</f>
        <v>Totale afbouw over 2020</v>
      </c>
      <c r="M517" s="166" t="str">
        <f>"Nog af te bouwen regulatoir saldo einde "&amp;F515</f>
        <v>Nog af te bouwen regulatoir saldo einde 2020</v>
      </c>
      <c r="N517" s="564"/>
    </row>
    <row r="518" spans="2:15" ht="13" x14ac:dyDescent="0.25">
      <c r="B518" s="1228">
        <v>2017</v>
      </c>
      <c r="C518" s="1229"/>
      <c r="D518" s="1229"/>
      <c r="E518" s="1230"/>
      <c r="F518" s="283"/>
      <c r="G518" s="566">
        <f>+M511</f>
        <v>0</v>
      </c>
      <c r="H518" s="1003">
        <f>IF(SIGN(G520*M513)&lt;0,IF(G518&lt;&gt;0,-SIGN(G518)*MIN(ABS(G520),ABS(G518)),0),0)</f>
        <v>0</v>
      </c>
      <c r="I518" s="566">
        <f>+G518+H518</f>
        <v>0</v>
      </c>
      <c r="J518" s="1033"/>
      <c r="K518" s="1010">
        <f>-MIN(ABS(I518),ABS(J521))*SIGN(I518)</f>
        <v>0</v>
      </c>
      <c r="L518" s="1003">
        <f>+K518+H518</f>
        <v>0</v>
      </c>
      <c r="M518" s="566">
        <f>+I518+K518</f>
        <v>0</v>
      </c>
      <c r="N518" s="212"/>
      <c r="O518" s="167"/>
    </row>
    <row r="519" spans="2:15" ht="13" x14ac:dyDescent="0.25">
      <c r="B519" s="1228">
        <v>2018</v>
      </c>
      <c r="C519" s="1229"/>
      <c r="D519" s="1229">
        <v>2016</v>
      </c>
      <c r="E519" s="1230"/>
      <c r="F519" s="283"/>
      <c r="G519" s="566">
        <f>+M512</f>
        <v>0</v>
      </c>
      <c r="H519" s="1003">
        <f>IF(SIGN(G520*M513)&lt;0,IF(G519&lt;&gt;0,-SIGN(G519)*MIN(ABS(G520-H518),ABS(G519)),0),0)</f>
        <v>0</v>
      </c>
      <c r="I519" s="566">
        <f>+G519+H519</f>
        <v>0</v>
      </c>
      <c r="J519" s="1033"/>
      <c r="K519" s="1010">
        <f>-MIN(ABS(I519),ABS(J521-K518))*SIGN(I519)</f>
        <v>0</v>
      </c>
      <c r="L519" s="1003">
        <f>+K519+H519</f>
        <v>0</v>
      </c>
      <c r="M519" s="566">
        <f>+I519+K519</f>
        <v>0</v>
      </c>
      <c r="N519" s="212"/>
      <c r="O519" s="167"/>
    </row>
    <row r="520" spans="2:15" ht="13" x14ac:dyDescent="0.25">
      <c r="B520" s="1228">
        <v>2019</v>
      </c>
      <c r="C520" s="1229"/>
      <c r="D520" s="1229"/>
      <c r="E520" s="1230"/>
      <c r="F520" s="283"/>
      <c r="G520" s="566">
        <f>I159</f>
        <v>0</v>
      </c>
      <c r="H520" s="1003">
        <f>IF(SIGN(G520*M513)&lt;0,-SUM(H518:H519),0)</f>
        <v>0</v>
      </c>
      <c r="I520" s="566">
        <f>+G520+H520</f>
        <v>0</v>
      </c>
      <c r="J520" s="1033"/>
      <c r="K520" s="1010">
        <f>-MIN(ABS(I520),ABS(J521-K518-K519))*SIGN(I520)</f>
        <v>0</v>
      </c>
      <c r="L520" s="1003">
        <f>+K520+H520</f>
        <v>0</v>
      </c>
      <c r="M520" s="566">
        <f>+I520+K520</f>
        <v>0</v>
      </c>
      <c r="N520" s="212"/>
      <c r="O520" s="167"/>
    </row>
    <row r="521" spans="2:15" s="281" customFormat="1" ht="13" x14ac:dyDescent="0.3">
      <c r="G521" s="169">
        <f>SUM(G518:G520)</f>
        <v>0</v>
      </c>
      <c r="H521" s="169">
        <f>SUM(H518:H520)</f>
        <v>0</v>
      </c>
      <c r="I521" s="169">
        <f>SUM(I518:I520)</f>
        <v>0</v>
      </c>
      <c r="J521" s="291">
        <f>-I521*0.5</f>
        <v>0</v>
      </c>
      <c r="K521" s="291">
        <f>SUM(K518:K520)</f>
        <v>0</v>
      </c>
      <c r="L521" s="570"/>
      <c r="M521" s="169">
        <f>SUM(M518:M520)</f>
        <v>0</v>
      </c>
    </row>
    <row r="522" spans="2:15" x14ac:dyDescent="0.25">
      <c r="O522" s="167"/>
    </row>
    <row r="523" spans="2:15" ht="13" x14ac:dyDescent="0.25">
      <c r="B523" s="281" t="s">
        <v>172</v>
      </c>
      <c r="F523" s="1000">
        <v>2021</v>
      </c>
      <c r="O523" s="167"/>
    </row>
    <row r="524" spans="2:15" x14ac:dyDescent="0.25">
      <c r="O524" s="167"/>
    </row>
    <row r="525" spans="2:15" ht="78" customHeight="1" x14ac:dyDescent="0.25">
      <c r="B525" s="1231" t="s">
        <v>173</v>
      </c>
      <c r="C525" s="1232"/>
      <c r="D525" s="1232"/>
      <c r="E525" s="1233"/>
      <c r="F525" s="282"/>
      <c r="G525" s="166" t="str">
        <f>"Nog af te bouwen regulatoir saldo einde "&amp;F523-1</f>
        <v>Nog af te bouwen regulatoir saldo einde 2020</v>
      </c>
      <c r="H525" s="166" t="str">
        <f>"50% van het oorspronkelijk regulatoir saldo door te rekenen volgens de tariefmethodologie in het boekjaar "&amp;F523</f>
        <v>50% van het oorspronkelijk regulatoir saldo door te rekenen volgens de tariefmethodologie in het boekjaar 2021</v>
      </c>
      <c r="I525" s="166" t="str">
        <f>"Nog af te bouwen regulatoir saldo einde "&amp;F523</f>
        <v>Nog af te bouwen regulatoir saldo einde 2021</v>
      </c>
      <c r="J525" s="212"/>
      <c r="O525" s="167"/>
    </row>
    <row r="526" spans="2:15" ht="13" x14ac:dyDescent="0.25">
      <c r="B526" s="1228">
        <v>2017</v>
      </c>
      <c r="C526" s="1229"/>
      <c r="D526" s="1229"/>
      <c r="E526" s="1230"/>
      <c r="F526" s="283"/>
      <c r="G526" s="566">
        <f>+M518</f>
        <v>0</v>
      </c>
      <c r="H526" s="566">
        <f>-G526*0.5</f>
        <v>0</v>
      </c>
      <c r="I526" s="566">
        <f>+G526+H526</f>
        <v>0</v>
      </c>
      <c r="J526" s="212"/>
      <c r="O526" s="167"/>
    </row>
    <row r="527" spans="2:15" ht="13" x14ac:dyDescent="0.25">
      <c r="B527" s="1228">
        <v>2018</v>
      </c>
      <c r="C527" s="1229"/>
      <c r="D527" s="1229"/>
      <c r="E527" s="1230"/>
      <c r="F527" s="283"/>
      <c r="G527" s="566">
        <f t="shared" ref="G527:G528" si="74">+M519</f>
        <v>0</v>
      </c>
      <c r="H527" s="566">
        <f t="shared" ref="H527:H529" si="75">-G527*0.5</f>
        <v>0</v>
      </c>
      <c r="I527" s="566">
        <f t="shared" ref="I527:I529" si="76">+G527+H527</f>
        <v>0</v>
      </c>
      <c r="J527" s="212"/>
      <c r="O527" s="167"/>
    </row>
    <row r="528" spans="2:15" ht="13" x14ac:dyDescent="0.25">
      <c r="B528" s="1228">
        <v>2019</v>
      </c>
      <c r="C528" s="1229"/>
      <c r="D528" s="1229">
        <v>2016</v>
      </c>
      <c r="E528" s="1230"/>
      <c r="F528" s="283"/>
      <c r="G528" s="566">
        <f t="shared" si="74"/>
        <v>0</v>
      </c>
      <c r="H528" s="566">
        <f t="shared" si="75"/>
        <v>0</v>
      </c>
      <c r="I528" s="566">
        <f t="shared" si="76"/>
        <v>0</v>
      </c>
      <c r="J528" s="212"/>
      <c r="O528" s="167"/>
    </row>
    <row r="529" spans="2:15" ht="13" x14ac:dyDescent="0.25">
      <c r="B529" s="1228">
        <v>2020</v>
      </c>
      <c r="C529" s="1229"/>
      <c r="D529" s="1229"/>
      <c r="E529" s="1230"/>
      <c r="F529" s="283"/>
      <c r="G529" s="566">
        <f>J160</f>
        <v>0</v>
      </c>
      <c r="H529" s="566">
        <f t="shared" si="75"/>
        <v>0</v>
      </c>
      <c r="I529" s="566">
        <f t="shared" si="76"/>
        <v>0</v>
      </c>
      <c r="J529" s="212"/>
      <c r="O529" s="167"/>
    </row>
    <row r="530" spans="2:15" s="281" customFormat="1" ht="13" x14ac:dyDescent="0.25">
      <c r="G530" s="169">
        <f>SUM(G526:G529)</f>
        <v>0</v>
      </c>
      <c r="H530" s="169">
        <f>SUM(H526:H529)</f>
        <v>0</v>
      </c>
      <c r="I530" s="169">
        <f>SUM(I526:I529)</f>
        <v>0</v>
      </c>
    </row>
    <row r="531" spans="2:15" x14ac:dyDescent="0.25">
      <c r="G531" s="221"/>
      <c r="H531" s="221"/>
      <c r="I531" s="221"/>
      <c r="O531" s="167"/>
    </row>
    <row r="532" spans="2:15" ht="13" x14ac:dyDescent="0.25">
      <c r="B532" s="847" t="s">
        <v>172</v>
      </c>
      <c r="C532" s="842"/>
      <c r="D532" s="842"/>
      <c r="E532" s="842"/>
      <c r="F532" s="1004">
        <v>2022</v>
      </c>
      <c r="G532" s="842"/>
      <c r="H532" s="842"/>
      <c r="I532" s="842"/>
      <c r="O532" s="167"/>
    </row>
    <row r="533" spans="2:15" x14ac:dyDescent="0.25">
      <c r="B533" s="842"/>
      <c r="C533" s="842"/>
      <c r="D533" s="842"/>
      <c r="E533" s="842"/>
      <c r="F533" s="842"/>
      <c r="G533" s="842"/>
      <c r="H533" s="842"/>
      <c r="I533" s="842"/>
      <c r="O533" s="167"/>
    </row>
    <row r="534" spans="2:15" ht="78" customHeight="1" x14ac:dyDescent="0.25">
      <c r="B534" s="1237" t="s">
        <v>173</v>
      </c>
      <c r="C534" s="1238"/>
      <c r="D534" s="1238"/>
      <c r="E534" s="1239"/>
      <c r="F534" s="848"/>
      <c r="G534" s="837" t="str">
        <f>"Nog af te bouwen regulatoir saldo einde "&amp;F532-1</f>
        <v>Nog af te bouwen regulatoir saldo einde 2021</v>
      </c>
      <c r="H534" s="837" t="str">
        <f>"50% van het oorspronkelijk regulatoir saldo door te rekenen volgens de tariefmethodologie in het boekjaar "&amp;F532</f>
        <v>50% van het oorspronkelijk regulatoir saldo door te rekenen volgens de tariefmethodologie in het boekjaar 2022</v>
      </c>
      <c r="I534" s="837" t="str">
        <f>"Nog af te bouwen regulatoir saldo einde "&amp;F532</f>
        <v>Nog af te bouwen regulatoir saldo einde 2022</v>
      </c>
      <c r="J534" s="212"/>
      <c r="O534" s="167"/>
    </row>
    <row r="535" spans="2:15" ht="13" x14ac:dyDescent="0.25">
      <c r="B535" s="1234">
        <v>2017</v>
      </c>
      <c r="C535" s="1235"/>
      <c r="D535" s="1235">
        <v>2016</v>
      </c>
      <c r="E535" s="1236"/>
      <c r="F535" s="341"/>
      <c r="G535" s="568">
        <f>+I526</f>
        <v>0</v>
      </c>
      <c r="H535" s="568">
        <f>-G526*0.5</f>
        <v>0</v>
      </c>
      <c r="I535" s="568">
        <f t="shared" ref="I535:I539" si="77">+G535+H535</f>
        <v>0</v>
      </c>
      <c r="J535" s="212"/>
      <c r="O535" s="167"/>
    </row>
    <row r="536" spans="2:15" ht="13" x14ac:dyDescent="0.25">
      <c r="B536" s="1234">
        <v>2018</v>
      </c>
      <c r="C536" s="1235"/>
      <c r="D536" s="1235"/>
      <c r="E536" s="1236"/>
      <c r="F536" s="341"/>
      <c r="G536" s="568">
        <f t="shared" ref="G536:G538" si="78">+I527</f>
        <v>0</v>
      </c>
      <c r="H536" s="568">
        <f t="shared" ref="H536:H538" si="79">-G527*0.5</f>
        <v>0</v>
      </c>
      <c r="I536" s="568">
        <f t="shared" si="77"/>
        <v>0</v>
      </c>
      <c r="J536" s="212"/>
      <c r="O536" s="167"/>
    </row>
    <row r="537" spans="2:15" ht="13" x14ac:dyDescent="0.25">
      <c r="B537" s="1234">
        <v>2019</v>
      </c>
      <c r="C537" s="1235"/>
      <c r="D537" s="1235"/>
      <c r="E537" s="1236"/>
      <c r="F537" s="341"/>
      <c r="G537" s="568">
        <f t="shared" si="78"/>
        <v>0</v>
      </c>
      <c r="H537" s="568">
        <f t="shared" si="79"/>
        <v>0</v>
      </c>
      <c r="I537" s="568">
        <f t="shared" si="77"/>
        <v>0</v>
      </c>
      <c r="J537" s="212"/>
      <c r="O537" s="167"/>
    </row>
    <row r="538" spans="2:15" ht="13" x14ac:dyDescent="0.25">
      <c r="B538" s="1234">
        <v>2020</v>
      </c>
      <c r="C538" s="1235"/>
      <c r="D538" s="1235"/>
      <c r="E538" s="1236"/>
      <c r="F538" s="341"/>
      <c r="G538" s="568">
        <f t="shared" si="78"/>
        <v>0</v>
      </c>
      <c r="H538" s="568">
        <f t="shared" si="79"/>
        <v>0</v>
      </c>
      <c r="I538" s="568">
        <f t="shared" si="77"/>
        <v>0</v>
      </c>
      <c r="J538" s="212"/>
      <c r="O538" s="167"/>
    </row>
    <row r="539" spans="2:15" ht="13" x14ac:dyDescent="0.25">
      <c r="B539" s="1234">
        <v>2021</v>
      </c>
      <c r="C539" s="1235"/>
      <c r="D539" s="1235"/>
      <c r="E539" s="1236"/>
      <c r="F539" s="341"/>
      <c r="G539" s="568">
        <f>K161</f>
        <v>0</v>
      </c>
      <c r="H539" s="568">
        <f t="shared" ref="H539" si="80">-G539*0.5</f>
        <v>0</v>
      </c>
      <c r="I539" s="568">
        <f t="shared" si="77"/>
        <v>0</v>
      </c>
      <c r="J539" s="212"/>
      <c r="O539" s="167"/>
    </row>
    <row r="540" spans="2:15" s="281" customFormat="1" ht="13" x14ac:dyDescent="0.25">
      <c r="B540" s="847"/>
      <c r="C540" s="847"/>
      <c r="D540" s="847"/>
      <c r="E540" s="847"/>
      <c r="F540" s="847"/>
      <c r="G540" s="856">
        <f>SUM(G535:G539)</f>
        <v>0</v>
      </c>
      <c r="H540" s="856">
        <f>SUM(H535:H539)</f>
        <v>0</v>
      </c>
      <c r="I540" s="856">
        <f>SUM(I535:I539)</f>
        <v>0</v>
      </c>
    </row>
    <row r="541" spans="2:15" x14ac:dyDescent="0.25">
      <c r="B541" s="842"/>
      <c r="C541" s="842"/>
      <c r="D541" s="842"/>
      <c r="E541" s="842"/>
      <c r="F541" s="842"/>
      <c r="G541" s="842"/>
      <c r="H541" s="842"/>
      <c r="I541" s="842"/>
      <c r="O541" s="167"/>
    </row>
    <row r="542" spans="2:15" ht="13" x14ac:dyDescent="0.25">
      <c r="B542" s="847" t="s">
        <v>172</v>
      </c>
      <c r="C542" s="842"/>
      <c r="D542" s="842"/>
      <c r="E542" s="842"/>
      <c r="F542" s="1004">
        <v>2023</v>
      </c>
      <c r="G542" s="842"/>
      <c r="H542" s="842"/>
      <c r="I542" s="842"/>
      <c r="O542" s="167"/>
    </row>
    <row r="543" spans="2:15" x14ac:dyDescent="0.25">
      <c r="B543" s="842"/>
      <c r="C543" s="842"/>
      <c r="D543" s="842"/>
      <c r="E543" s="842"/>
      <c r="F543" s="842"/>
      <c r="G543" s="842"/>
      <c r="H543" s="842"/>
      <c r="I543" s="842"/>
      <c r="O543" s="167"/>
    </row>
    <row r="544" spans="2:15" ht="78" customHeight="1" x14ac:dyDescent="0.25">
      <c r="B544" s="1237" t="s">
        <v>173</v>
      </c>
      <c r="C544" s="1238"/>
      <c r="D544" s="1238"/>
      <c r="E544" s="1239"/>
      <c r="F544" s="848"/>
      <c r="G544" s="837" t="str">
        <f>"Nog af te bouwen regulatoir saldo einde "&amp;F542-1</f>
        <v>Nog af te bouwen regulatoir saldo einde 2022</v>
      </c>
      <c r="H544" s="837" t="str">
        <f>"50% van het oorspronkelijk regulatoir saldo door te rekenen volgens de tariefmethodologie in het boekjaar "&amp;F542</f>
        <v>50% van het oorspronkelijk regulatoir saldo door te rekenen volgens de tariefmethodologie in het boekjaar 2023</v>
      </c>
      <c r="I544" s="837" t="str">
        <f>"Nog af te bouwen regulatoir saldo einde "&amp;F542</f>
        <v>Nog af te bouwen regulatoir saldo einde 2023</v>
      </c>
      <c r="J544" s="212"/>
      <c r="O544" s="167"/>
    </row>
    <row r="545" spans="2:15" ht="13" x14ac:dyDescent="0.25">
      <c r="B545" s="1234">
        <v>2021</v>
      </c>
      <c r="C545" s="1235"/>
      <c r="D545" s="1235"/>
      <c r="E545" s="1236"/>
      <c r="F545" s="341"/>
      <c r="G545" s="568">
        <f>+I539</f>
        <v>0</v>
      </c>
      <c r="H545" s="568">
        <f>-G539*0.5</f>
        <v>0</v>
      </c>
      <c r="I545" s="568">
        <f t="shared" ref="I545:I546" si="81">+G545+H545</f>
        <v>0</v>
      </c>
      <c r="J545" s="212"/>
      <c r="O545" s="167"/>
    </row>
    <row r="546" spans="2:15" ht="13" x14ac:dyDescent="0.25">
      <c r="B546" s="1234">
        <v>2022</v>
      </c>
      <c r="C546" s="1235"/>
      <c r="D546" s="1235"/>
      <c r="E546" s="1236"/>
      <c r="F546" s="341"/>
      <c r="G546" s="568">
        <f>L162</f>
        <v>0</v>
      </c>
      <c r="H546" s="568">
        <f t="shared" ref="H546" si="82">-G546*0.5</f>
        <v>0</v>
      </c>
      <c r="I546" s="568">
        <f t="shared" si="81"/>
        <v>0</v>
      </c>
      <c r="J546" s="212"/>
      <c r="O546" s="167"/>
    </row>
    <row r="547" spans="2:15" s="281" customFormat="1" ht="13" x14ac:dyDescent="0.25">
      <c r="B547" s="847"/>
      <c r="C547" s="847"/>
      <c r="D547" s="847"/>
      <c r="E547" s="847"/>
      <c r="F547" s="847"/>
      <c r="G547" s="856">
        <f>SUM(G545:G546)</f>
        <v>0</v>
      </c>
      <c r="H547" s="856">
        <f>SUM(H545:H546)</f>
        <v>0</v>
      </c>
      <c r="I547" s="856">
        <f>SUM(I545:I546)</f>
        <v>0</v>
      </c>
    </row>
    <row r="548" spans="2:15" x14ac:dyDescent="0.25">
      <c r="B548" s="842"/>
      <c r="C548" s="842"/>
      <c r="D548" s="842"/>
      <c r="E548" s="842"/>
      <c r="F548" s="842"/>
      <c r="G548" s="842"/>
      <c r="H548" s="842"/>
      <c r="I548" s="842"/>
      <c r="O548" s="167"/>
    </row>
    <row r="549" spans="2:15" ht="13" x14ac:dyDescent="0.25">
      <c r="B549" s="847" t="s">
        <v>172</v>
      </c>
      <c r="C549" s="842"/>
      <c r="D549" s="842"/>
      <c r="E549" s="842"/>
      <c r="F549" s="1004">
        <v>2024</v>
      </c>
      <c r="G549" s="842"/>
      <c r="H549" s="842"/>
      <c r="I549" s="842"/>
      <c r="O549" s="167"/>
    </row>
    <row r="550" spans="2:15" x14ac:dyDescent="0.25">
      <c r="B550" s="842"/>
      <c r="C550" s="842"/>
      <c r="D550" s="842"/>
      <c r="E550" s="842"/>
      <c r="F550" s="842"/>
      <c r="G550" s="842"/>
      <c r="H550" s="842"/>
      <c r="I550" s="842"/>
      <c r="O550" s="167"/>
    </row>
    <row r="551" spans="2:15" ht="78" customHeight="1" x14ac:dyDescent="0.25">
      <c r="B551" s="1237" t="s">
        <v>173</v>
      </c>
      <c r="C551" s="1238"/>
      <c r="D551" s="1238"/>
      <c r="E551" s="1239"/>
      <c r="F551" s="848"/>
      <c r="G551" s="837" t="str">
        <f>"Nog af te bouwen regulatoir saldo einde "&amp;F549-1</f>
        <v>Nog af te bouwen regulatoir saldo einde 2023</v>
      </c>
      <c r="H551" s="837" t="str">
        <f>"50% van het oorspronkelijk regulatoir saldo door te rekenen volgens de tariefmethodologie in het boekjaar "&amp;F549</f>
        <v>50% van het oorspronkelijk regulatoir saldo door te rekenen volgens de tariefmethodologie in het boekjaar 2024</v>
      </c>
      <c r="I551" s="837" t="str">
        <f>"Nog af te bouwen regulatoir saldo einde "&amp;F549</f>
        <v>Nog af te bouwen regulatoir saldo einde 2024</v>
      </c>
      <c r="J551" s="212"/>
      <c r="O551" s="167"/>
    </row>
    <row r="552" spans="2:15" ht="13" x14ac:dyDescent="0.25">
      <c r="B552" s="1234">
        <v>2022</v>
      </c>
      <c r="C552" s="1235"/>
      <c r="D552" s="1235"/>
      <c r="E552" s="1236"/>
      <c r="F552" s="341"/>
      <c r="G552" s="568">
        <f>+I546</f>
        <v>0</v>
      </c>
      <c r="H552" s="568">
        <f>-G546*0.5</f>
        <v>0</v>
      </c>
      <c r="I552" s="568">
        <f t="shared" ref="I552:I553" si="83">+G552+H552</f>
        <v>0</v>
      </c>
      <c r="J552" s="212"/>
      <c r="O552" s="167"/>
    </row>
    <row r="553" spans="2:15" ht="13" x14ac:dyDescent="0.25">
      <c r="B553" s="1234">
        <v>2023</v>
      </c>
      <c r="C553" s="1235"/>
      <c r="D553" s="1235"/>
      <c r="E553" s="1236"/>
      <c r="F553" s="341"/>
      <c r="G553" s="568">
        <f>+M163</f>
        <v>0</v>
      </c>
      <c r="H553" s="568">
        <f t="shared" ref="H553" si="84">-G553*0.5</f>
        <v>0</v>
      </c>
      <c r="I553" s="568">
        <f t="shared" si="83"/>
        <v>0</v>
      </c>
      <c r="J553" s="212"/>
      <c r="O553" s="167"/>
    </row>
    <row r="554" spans="2:15" s="281" customFormat="1" ht="13" x14ac:dyDescent="0.25">
      <c r="B554" s="847"/>
      <c r="C554" s="847"/>
      <c r="D554" s="847"/>
      <c r="E554" s="847"/>
      <c r="F554" s="847"/>
      <c r="G554" s="856">
        <f>SUM(G552:G553)</f>
        <v>0</v>
      </c>
      <c r="H554" s="856">
        <f>SUM(H552:H553)</f>
        <v>0</v>
      </c>
      <c r="I554" s="856">
        <f>SUM(I552:I553)</f>
        <v>0</v>
      </c>
    </row>
    <row r="555" spans="2:15" ht="13" x14ac:dyDescent="0.25">
      <c r="B555" s="281" t="str">
        <f>+B501</f>
        <v>Het tarief voor de compensatie van de netverliezen</v>
      </c>
      <c r="C555" s="224"/>
      <c r="D555" s="224"/>
      <c r="E555" s="224"/>
      <c r="O555" s="167"/>
    </row>
    <row r="556" spans="2:15" ht="13" x14ac:dyDescent="0.25">
      <c r="B556" s="281" t="s">
        <v>174</v>
      </c>
      <c r="C556" s="224"/>
      <c r="D556" s="224"/>
      <c r="E556" s="224"/>
      <c r="O556" s="167"/>
    </row>
    <row r="557" spans="2:15" ht="13" x14ac:dyDescent="0.25">
      <c r="B557" s="281"/>
      <c r="C557" s="224"/>
      <c r="D557" s="224"/>
      <c r="E557" s="224"/>
      <c r="O557" s="167"/>
    </row>
    <row r="558" spans="2:15" ht="13" x14ac:dyDescent="0.25">
      <c r="B558" s="283">
        <f>F523</f>
        <v>2021</v>
      </c>
      <c r="C558" s="287">
        <f>+H530</f>
        <v>0</v>
      </c>
      <c r="D558" s="224"/>
      <c r="E558" s="224"/>
      <c r="O558" s="167"/>
    </row>
    <row r="559" spans="2:15" ht="13" x14ac:dyDescent="0.25">
      <c r="B559" s="341">
        <v>2022</v>
      </c>
      <c r="C559" s="342">
        <f>+H540</f>
        <v>0</v>
      </c>
      <c r="D559" s="224"/>
      <c r="E559" s="224"/>
      <c r="O559" s="167"/>
    </row>
    <row r="560" spans="2:15" ht="13" x14ac:dyDescent="0.25">
      <c r="B560" s="341">
        <v>2023</v>
      </c>
      <c r="C560" s="342">
        <f>+H547</f>
        <v>0</v>
      </c>
      <c r="D560" s="224"/>
      <c r="E560" s="224"/>
      <c r="O560" s="167"/>
    </row>
    <row r="561" spans="2:16" ht="13" x14ac:dyDescent="0.25">
      <c r="B561" s="341">
        <v>2024</v>
      </c>
      <c r="C561" s="342">
        <f>+H554</f>
        <v>0</v>
      </c>
      <c r="D561" s="224"/>
      <c r="E561" s="224"/>
      <c r="O561" s="167"/>
    </row>
    <row r="562" spans="2:16" x14ac:dyDescent="0.25">
      <c r="O562" s="167"/>
    </row>
    <row r="563" spans="2:16" x14ac:dyDescent="0.25">
      <c r="O563" s="167"/>
    </row>
    <row r="564" spans="2:16" ht="13" x14ac:dyDescent="0.25">
      <c r="B564" s="326" t="s">
        <v>68</v>
      </c>
      <c r="C564" s="327"/>
      <c r="D564" s="327"/>
      <c r="E564" s="327"/>
      <c r="F564" s="328"/>
      <c r="G564" s="328"/>
      <c r="H564" s="328"/>
      <c r="I564" s="328"/>
      <c r="J564" s="328"/>
      <c r="K564" s="328"/>
      <c r="L564" s="328"/>
      <c r="M564" s="328"/>
      <c r="N564" s="328"/>
      <c r="O564" s="329"/>
      <c r="P564" s="328"/>
    </row>
    <row r="565" spans="2:16" x14ac:dyDescent="0.25">
      <c r="O565" s="212"/>
    </row>
    <row r="566" spans="2:16" ht="13" x14ac:dyDescent="0.25">
      <c r="B566" s="281" t="s">
        <v>172</v>
      </c>
      <c r="F566" s="1000">
        <v>2018</v>
      </c>
      <c r="O566" s="212"/>
    </row>
    <row r="567" spans="2:16" x14ac:dyDescent="0.25">
      <c r="O567" s="167"/>
    </row>
    <row r="568" spans="2:16" s="220" customFormat="1" ht="107.15" customHeight="1" x14ac:dyDescent="0.25">
      <c r="B568" s="1231" t="s">
        <v>173</v>
      </c>
      <c r="C568" s="1232"/>
      <c r="D568" s="1232"/>
      <c r="E568" s="1233"/>
      <c r="F568" s="804"/>
      <c r="G568" s="166" t="str">
        <f>"Nog af te bouwen regulatoir saldo einde "&amp;F566-1</f>
        <v>Nog af te bouwen regulatoir saldo einde 2017</v>
      </c>
      <c r="H568" s="166" t="str">
        <f>"Afbouw oudste openstaande regulatoir saldo vanaf boekjaar "&amp;F566-2&amp;" en vroeger, door aanwending van compensatie met regulatoir saldo ontstaan over boekjaar "&amp;F566-1</f>
        <v>Afbouw oudste openstaande regulatoir saldo vanaf boekjaar 2016 en vroeger, door aanwending van compensatie met regulatoir saldo ontstaan over boekjaar 2017</v>
      </c>
      <c r="I568" s="166" t="str">
        <f>"Nog af te bouwen regulatoir saldo na compensatie einde "&amp;F566-1</f>
        <v>Nog af te bouwen regulatoir saldo na compensatie einde 2017</v>
      </c>
      <c r="J568" s="166" t="str">
        <f>"Aanwending van 50% van het geaccumuleerd regulatoir saldo door te rekenen volgens de tariefmethodologie in het boekjaar "&amp;F566</f>
        <v>Aanwending van 50% van het geaccumuleerd regulatoir saldo door te rekenen volgens de tariefmethodologie in het boekjaar 2018</v>
      </c>
      <c r="K568" s="166" t="str">
        <f>"Nog af te bouwen regulatoir saldo einde "&amp;F566</f>
        <v>Nog af te bouwen regulatoir saldo einde 2018</v>
      </c>
      <c r="L568" s="228"/>
      <c r="M568" s="228"/>
      <c r="N568" s="228"/>
    </row>
    <row r="569" spans="2:16" ht="13" x14ac:dyDescent="0.25">
      <c r="B569" s="1228">
        <v>2017</v>
      </c>
      <c r="C569" s="1229"/>
      <c r="D569" s="1229"/>
      <c r="E569" s="1230"/>
      <c r="F569" s="283"/>
      <c r="G569" s="566">
        <f>+G166</f>
        <v>0</v>
      </c>
      <c r="H569" s="566">
        <v>0</v>
      </c>
      <c r="I569" s="566">
        <f>+G569+H569</f>
        <v>0</v>
      </c>
      <c r="J569" s="1010">
        <f>-I569*0.5</f>
        <v>0</v>
      </c>
      <c r="K569" s="1032">
        <f>+J569+G569</f>
        <v>0</v>
      </c>
      <c r="L569" s="1002"/>
      <c r="M569" s="1002"/>
      <c r="N569" s="1002"/>
      <c r="O569" s="167"/>
    </row>
    <row r="570" spans="2:16" x14ac:dyDescent="0.25">
      <c r="O570" s="167"/>
    </row>
    <row r="571" spans="2:16" ht="13" x14ac:dyDescent="0.25">
      <c r="B571" s="281" t="s">
        <v>172</v>
      </c>
      <c r="F571" s="1000">
        <v>2019</v>
      </c>
      <c r="O571" s="212"/>
    </row>
    <row r="572" spans="2:16" x14ac:dyDescent="0.25">
      <c r="O572" s="212"/>
    </row>
    <row r="573" spans="2:16" s="220" customFormat="1" ht="107.15" customHeight="1" x14ac:dyDescent="0.25">
      <c r="B573" s="1231" t="s">
        <v>173</v>
      </c>
      <c r="C573" s="1232"/>
      <c r="D573" s="1232"/>
      <c r="E573" s="1233"/>
      <c r="F573" s="804"/>
      <c r="G573" s="166" t="str">
        <f>"Nog af te bouwen regulatoir saldo einde "&amp;F571-1</f>
        <v>Nog af te bouwen regulatoir saldo einde 2018</v>
      </c>
      <c r="H573" s="166" t="str">
        <f>"Afbouw oudste openstaande regulatoir saldo vanaf boekjaar "&amp;F571-2&amp;" en vroeger, door aanwending van compensatie met regulatoir saldo ontstaan over boekjaar "&amp;F571-1</f>
        <v>Afbouw oudste openstaande regulatoir saldo vanaf boekjaar 2017 en vroeger, door aanwending van compensatie met regulatoir saldo ontstaan over boekjaar 2018</v>
      </c>
      <c r="I573" s="166" t="str">
        <f>"Nog af te bouwen regulatoir saldo na compensatie einde "&amp;F571-1</f>
        <v>Nog af te bouwen regulatoir saldo na compensatie einde 2018</v>
      </c>
      <c r="J573" s="166" t="str">
        <f>"Aanwending van 50% van het geaccumuleerd regulatoir saldo door te rekenen volgens de tariefmethodologie in het boekjaar "&amp;F571</f>
        <v>Aanwending van 50% van het geaccumuleerd regulatoir saldo door te rekenen volgens de tariefmethodologie in het boekjaar 2019</v>
      </c>
      <c r="K573" s="166" t="str">
        <f>"Aanwending van 50% van het geaccumuleerd regulatoir saldo door te rekenen volgens de tariefmethodologie in het boekjaar "&amp;F571</f>
        <v>Aanwending van 50% van het geaccumuleerd regulatoir saldo door te rekenen volgens de tariefmethodologie in het boekjaar 2019</v>
      </c>
      <c r="L573" s="166" t="str">
        <f>"Totale afbouw over "&amp;F571</f>
        <v>Totale afbouw over 2019</v>
      </c>
      <c r="M573" s="166" t="str">
        <f>"Nog af te bouwen regulatoir saldo einde "&amp;F571</f>
        <v>Nog af te bouwen regulatoir saldo einde 2019</v>
      </c>
      <c r="N573" s="564"/>
    </row>
    <row r="574" spans="2:16" ht="13" x14ac:dyDescent="0.25">
      <c r="B574" s="1228">
        <v>2017</v>
      </c>
      <c r="C574" s="1229"/>
      <c r="D574" s="1229"/>
      <c r="E574" s="1230"/>
      <c r="F574" s="283"/>
      <c r="G574" s="566">
        <f>K569</f>
        <v>0</v>
      </c>
      <c r="H574" s="566">
        <f>IF(SIGN(G575*K569)&lt;0,IF(G574&lt;&gt;0,-SIGN(G574)*MIN(ABS(G575),ABS(G574)),0),0)</f>
        <v>0</v>
      </c>
      <c r="I574" s="566">
        <f>+G574+H574</f>
        <v>0</v>
      </c>
      <c r="J574" s="1033"/>
      <c r="K574" s="1010">
        <f>-MIN(ABS(I574),ABS(J576))*SIGN(I574)</f>
        <v>0</v>
      </c>
      <c r="L574" s="1003">
        <f>+K574+H574</f>
        <v>0</v>
      </c>
      <c r="M574" s="566">
        <f>+I574+K574</f>
        <v>0</v>
      </c>
      <c r="N574" s="212"/>
      <c r="O574" s="167"/>
    </row>
    <row r="575" spans="2:16" ht="13" x14ac:dyDescent="0.25">
      <c r="B575" s="1228">
        <v>2018</v>
      </c>
      <c r="C575" s="1229"/>
      <c r="D575" s="1229"/>
      <c r="E575" s="1230"/>
      <c r="F575" s="283"/>
      <c r="G575" s="566">
        <f>+H167</f>
        <v>0</v>
      </c>
      <c r="H575" s="1003">
        <f>IF(SIGN(G575*K569)&lt;0,-H574,0)</f>
        <v>0</v>
      </c>
      <c r="I575" s="566">
        <f>+G575+H575</f>
        <v>0</v>
      </c>
      <c r="J575" s="1033"/>
      <c r="K575" s="1010">
        <f>-MIN(ABS(I575),ABS(J576-K574))*SIGN(I575)</f>
        <v>0</v>
      </c>
      <c r="L575" s="1003">
        <f>+K575+H575</f>
        <v>0</v>
      </c>
      <c r="M575" s="566">
        <f>+I575+K575</f>
        <v>0</v>
      </c>
      <c r="N575" s="212"/>
      <c r="O575" s="167"/>
    </row>
    <row r="576" spans="2:16" s="281" customFormat="1" ht="13" x14ac:dyDescent="0.3">
      <c r="G576" s="169">
        <f>SUM(G574:G575)</f>
        <v>0</v>
      </c>
      <c r="H576" s="169">
        <f>SUM(H574:H575)</f>
        <v>0</v>
      </c>
      <c r="I576" s="169">
        <f>SUM(I574:I575)</f>
        <v>0</v>
      </c>
      <c r="J576" s="291">
        <f>-I576*0.5</f>
        <v>0</v>
      </c>
      <c r="K576" s="291">
        <f>SUM(K574:K575)</f>
        <v>0</v>
      </c>
      <c r="L576" s="570"/>
      <c r="M576" s="169">
        <f>SUM(M574:M575)</f>
        <v>0</v>
      </c>
    </row>
    <row r="577" spans="2:15" x14ac:dyDescent="0.25">
      <c r="O577" s="167"/>
    </row>
    <row r="578" spans="2:15" ht="13" x14ac:dyDescent="0.25">
      <c r="B578" s="281" t="s">
        <v>172</v>
      </c>
      <c r="F578" s="1000">
        <v>2020</v>
      </c>
      <c r="O578" s="167"/>
    </row>
    <row r="579" spans="2:15" x14ac:dyDescent="0.25">
      <c r="O579" s="167"/>
    </row>
    <row r="580" spans="2:15" s="220" customFormat="1" ht="107.15" customHeight="1" x14ac:dyDescent="0.25">
      <c r="B580" s="1231" t="s">
        <v>173</v>
      </c>
      <c r="C580" s="1232"/>
      <c r="D580" s="1232"/>
      <c r="E580" s="1233"/>
      <c r="F580" s="804"/>
      <c r="G580" s="166" t="str">
        <f>"Nog af te bouwen regulatoir saldo einde "&amp;F578-1</f>
        <v>Nog af te bouwen regulatoir saldo einde 2019</v>
      </c>
      <c r="H580" s="166" t="str">
        <f>"Afbouw oudste openstaande regulatoir saldo vanaf boekjaar "&amp;F578-2&amp;" en vroeger, door aanwending van compensatie met regulatoir saldo ontstaan over boekjaar "&amp;F578-1</f>
        <v>Afbouw oudste openstaande regulatoir saldo vanaf boekjaar 2018 en vroeger, door aanwending van compensatie met regulatoir saldo ontstaan over boekjaar 2019</v>
      </c>
      <c r="I580" s="166" t="str">
        <f>"Nog af te bouwen regulatoir saldo na compensatie einde "&amp;F578-1</f>
        <v>Nog af te bouwen regulatoir saldo na compensatie einde 2019</v>
      </c>
      <c r="J580" s="166" t="str">
        <f>"Aanwending van 50% van het geaccumuleerd regulatoir saldo door te rekenen volgens de tariefmethodologie in het boekjaar "&amp;F578</f>
        <v>Aanwending van 50% van het geaccumuleerd regulatoir saldo door te rekenen volgens de tariefmethodologie in het boekjaar 2020</v>
      </c>
      <c r="K580" s="166" t="str">
        <f>"Aanwending van 50% van het geaccumuleerd regulatoir saldo door te rekenen volgens de tariefmethodologie in het boekjaar "&amp;F578</f>
        <v>Aanwending van 50% van het geaccumuleerd regulatoir saldo door te rekenen volgens de tariefmethodologie in het boekjaar 2020</v>
      </c>
      <c r="L580" s="166" t="str">
        <f>"Totale afbouw over "&amp;F578</f>
        <v>Totale afbouw over 2020</v>
      </c>
      <c r="M580" s="166" t="str">
        <f>"Nog af te bouwen regulatoir saldo einde "&amp;F578</f>
        <v>Nog af te bouwen regulatoir saldo einde 2020</v>
      </c>
      <c r="N580" s="564"/>
    </row>
    <row r="581" spans="2:15" ht="13" x14ac:dyDescent="0.25">
      <c r="B581" s="1228">
        <v>2017</v>
      </c>
      <c r="C581" s="1229"/>
      <c r="D581" s="1229"/>
      <c r="E581" s="1230"/>
      <c r="F581" s="283"/>
      <c r="G581" s="566">
        <f>+M574</f>
        <v>0</v>
      </c>
      <c r="H581" s="1003">
        <f>IF(SIGN(G583*M576)&lt;0,IF(G581&lt;&gt;0,-SIGN(G581)*MIN(ABS(G583),ABS(G581)),0),0)</f>
        <v>0</v>
      </c>
      <c r="I581" s="566">
        <f>+G581+H581</f>
        <v>0</v>
      </c>
      <c r="J581" s="1033"/>
      <c r="K581" s="1010">
        <f>-MIN(ABS(I581),ABS(J584))*SIGN(I581)</f>
        <v>0</v>
      </c>
      <c r="L581" s="1003">
        <f>+K581+H581</f>
        <v>0</v>
      </c>
      <c r="M581" s="566">
        <f>+I581+K581</f>
        <v>0</v>
      </c>
      <c r="N581" s="212"/>
      <c r="O581" s="167"/>
    </row>
    <row r="582" spans="2:15" ht="13" x14ac:dyDescent="0.25">
      <c r="B582" s="1228">
        <v>2018</v>
      </c>
      <c r="C582" s="1229"/>
      <c r="D582" s="1229">
        <v>2016</v>
      </c>
      <c r="E582" s="1230"/>
      <c r="F582" s="283"/>
      <c r="G582" s="566">
        <f>+M575</f>
        <v>0</v>
      </c>
      <c r="H582" s="1003">
        <f>IF(SIGN(G583*M576)&lt;0,IF(G582&lt;&gt;0,-SIGN(G582)*MIN(ABS(G583-H581),ABS(G582)),0),0)</f>
        <v>0</v>
      </c>
      <c r="I582" s="566">
        <f>+G582+H582</f>
        <v>0</v>
      </c>
      <c r="J582" s="1033"/>
      <c r="K582" s="1010">
        <f>-MIN(ABS(I582),ABS(J584-K581))*SIGN(I582)</f>
        <v>0</v>
      </c>
      <c r="L582" s="1003">
        <f>+K582+H582</f>
        <v>0</v>
      </c>
      <c r="M582" s="566">
        <f>+I582+K582</f>
        <v>0</v>
      </c>
      <c r="N582" s="212"/>
      <c r="O582" s="167"/>
    </row>
    <row r="583" spans="2:15" ht="13" x14ac:dyDescent="0.25">
      <c r="B583" s="1228">
        <v>2019</v>
      </c>
      <c r="C583" s="1229"/>
      <c r="D583" s="1229"/>
      <c r="E583" s="1230"/>
      <c r="F583" s="283"/>
      <c r="G583" s="566">
        <f>I168</f>
        <v>0</v>
      </c>
      <c r="H583" s="1003">
        <f>IF(SIGN(G583*M576)&lt;0,-SUM(H581:H582),0)</f>
        <v>0</v>
      </c>
      <c r="I583" s="566">
        <f>+G583+H583</f>
        <v>0</v>
      </c>
      <c r="J583" s="1033"/>
      <c r="K583" s="1010">
        <f>-MIN(ABS(I583),ABS(J584-K581-K582))*SIGN(I583)</f>
        <v>0</v>
      </c>
      <c r="L583" s="1003">
        <f>+K583+H583</f>
        <v>0</v>
      </c>
      <c r="M583" s="566">
        <f>+I583+K583</f>
        <v>0</v>
      </c>
      <c r="N583" s="212"/>
      <c r="O583" s="167"/>
    </row>
    <row r="584" spans="2:15" s="281" customFormat="1" ht="13" x14ac:dyDescent="0.3">
      <c r="G584" s="169">
        <f>SUM(G581:G583)</f>
        <v>0</v>
      </c>
      <c r="H584" s="169">
        <f>SUM(H581:H583)</f>
        <v>0</v>
      </c>
      <c r="I584" s="169">
        <f>SUM(I581:I583)</f>
        <v>0</v>
      </c>
      <c r="J584" s="291">
        <f>-I584*0.5</f>
        <v>0</v>
      </c>
      <c r="K584" s="291">
        <f>SUM(K581:K583)</f>
        <v>0</v>
      </c>
      <c r="L584" s="570"/>
      <c r="M584" s="169">
        <f>SUM(M581:M583)</f>
        <v>0</v>
      </c>
    </row>
    <row r="585" spans="2:15" x14ac:dyDescent="0.25">
      <c r="O585" s="167"/>
    </row>
    <row r="586" spans="2:15" ht="13" x14ac:dyDescent="0.25">
      <c r="B586" s="281" t="s">
        <v>172</v>
      </c>
      <c r="F586" s="1000">
        <v>2021</v>
      </c>
      <c r="O586" s="167"/>
    </row>
    <row r="587" spans="2:15" x14ac:dyDescent="0.25">
      <c r="O587" s="167"/>
    </row>
    <row r="588" spans="2:15" ht="78" customHeight="1" x14ac:dyDescent="0.25">
      <c r="B588" s="1231" t="s">
        <v>173</v>
      </c>
      <c r="C588" s="1232"/>
      <c r="D588" s="1232"/>
      <c r="E588" s="1233"/>
      <c r="F588" s="282"/>
      <c r="G588" s="166" t="str">
        <f>"Nog af te bouwen regulatoir saldo einde "&amp;F586-1</f>
        <v>Nog af te bouwen regulatoir saldo einde 2020</v>
      </c>
      <c r="H588" s="166" t="str">
        <f>"50% van het oorspronkelijk regulatoir saldo door te rekenen volgens de tariefmethodologie in het boekjaar "&amp;F586</f>
        <v>50% van het oorspronkelijk regulatoir saldo door te rekenen volgens de tariefmethodologie in het boekjaar 2021</v>
      </c>
      <c r="I588" s="166" t="str">
        <f>"Nog af te bouwen regulatoir saldo einde "&amp;F586</f>
        <v>Nog af te bouwen regulatoir saldo einde 2021</v>
      </c>
      <c r="J588" s="212"/>
      <c r="O588" s="167"/>
    </row>
    <row r="589" spans="2:15" ht="13" x14ac:dyDescent="0.25">
      <c r="B589" s="1228">
        <v>2017</v>
      </c>
      <c r="C589" s="1229"/>
      <c r="D589" s="1229"/>
      <c r="E589" s="1230"/>
      <c r="F589" s="283"/>
      <c r="G589" s="566">
        <f>+M581</f>
        <v>0</v>
      </c>
      <c r="H589" s="566">
        <f>-G589*0.5</f>
        <v>0</v>
      </c>
      <c r="I589" s="566">
        <f>+G589+H589</f>
        <v>0</v>
      </c>
      <c r="J589" s="212"/>
      <c r="O589" s="167"/>
    </row>
    <row r="590" spans="2:15" ht="13" x14ac:dyDescent="0.25">
      <c r="B590" s="1228">
        <v>2018</v>
      </c>
      <c r="C590" s="1229"/>
      <c r="D590" s="1229"/>
      <c r="E590" s="1230"/>
      <c r="F590" s="283"/>
      <c r="G590" s="566">
        <f t="shared" ref="G590:G591" si="85">+M582</f>
        <v>0</v>
      </c>
      <c r="H590" s="566">
        <f t="shared" ref="H590:H592" si="86">-G590*0.5</f>
        <v>0</v>
      </c>
      <c r="I590" s="566">
        <f t="shared" ref="I590:I592" si="87">+G590+H590</f>
        <v>0</v>
      </c>
      <c r="J590" s="212"/>
      <c r="O590" s="167"/>
    </row>
    <row r="591" spans="2:15" ht="13" x14ac:dyDescent="0.25">
      <c r="B591" s="1228">
        <v>2019</v>
      </c>
      <c r="C591" s="1229"/>
      <c r="D591" s="1229">
        <v>2016</v>
      </c>
      <c r="E591" s="1230"/>
      <c r="F591" s="283"/>
      <c r="G591" s="566">
        <f t="shared" si="85"/>
        <v>0</v>
      </c>
      <c r="H591" s="566">
        <f t="shared" si="86"/>
        <v>0</v>
      </c>
      <c r="I591" s="566">
        <f t="shared" si="87"/>
        <v>0</v>
      </c>
      <c r="J591" s="212"/>
      <c r="O591" s="167"/>
    </row>
    <row r="592" spans="2:15" ht="13" x14ac:dyDescent="0.25">
      <c r="B592" s="1228">
        <v>2020</v>
      </c>
      <c r="C592" s="1229"/>
      <c r="D592" s="1229"/>
      <c r="E592" s="1230"/>
      <c r="F592" s="283"/>
      <c r="G592" s="566">
        <f>J169</f>
        <v>0</v>
      </c>
      <c r="H592" s="566">
        <f t="shared" si="86"/>
        <v>0</v>
      </c>
      <c r="I592" s="566">
        <f t="shared" si="87"/>
        <v>0</v>
      </c>
      <c r="J592" s="212"/>
      <c r="O592" s="167"/>
    </row>
    <row r="593" spans="2:15" s="281" customFormat="1" ht="13" x14ac:dyDescent="0.25">
      <c r="G593" s="169">
        <f>SUM(G589:G592)</f>
        <v>0</v>
      </c>
      <c r="H593" s="169">
        <f>SUM(H589:H592)</f>
        <v>0</v>
      </c>
      <c r="I593" s="169">
        <f>SUM(I589:I592)</f>
        <v>0</v>
      </c>
    </row>
    <row r="594" spans="2:15" x14ac:dyDescent="0.25">
      <c r="G594" s="221"/>
      <c r="H594" s="221"/>
      <c r="I594" s="221"/>
      <c r="O594" s="167"/>
    </row>
    <row r="595" spans="2:15" ht="13" x14ac:dyDescent="0.25">
      <c r="B595" s="847" t="s">
        <v>172</v>
      </c>
      <c r="C595" s="842"/>
      <c r="D595" s="842"/>
      <c r="E595" s="842"/>
      <c r="F595" s="1004">
        <v>2022</v>
      </c>
      <c r="G595" s="842"/>
      <c r="H595" s="842"/>
      <c r="I595" s="842"/>
      <c r="O595" s="167"/>
    </row>
    <row r="596" spans="2:15" x14ac:dyDescent="0.25">
      <c r="B596" s="842"/>
      <c r="C596" s="842"/>
      <c r="D596" s="842"/>
      <c r="E596" s="842"/>
      <c r="F596" s="842"/>
      <c r="G596" s="842"/>
      <c r="H596" s="842"/>
      <c r="I596" s="842"/>
      <c r="O596" s="167"/>
    </row>
    <row r="597" spans="2:15" ht="78" customHeight="1" x14ac:dyDescent="0.25">
      <c r="B597" s="1237" t="s">
        <v>173</v>
      </c>
      <c r="C597" s="1238"/>
      <c r="D597" s="1238"/>
      <c r="E597" s="1239"/>
      <c r="F597" s="848"/>
      <c r="G597" s="837" t="str">
        <f>"Nog af te bouwen regulatoir saldo einde "&amp;F595-1</f>
        <v>Nog af te bouwen regulatoir saldo einde 2021</v>
      </c>
      <c r="H597" s="837" t="str">
        <f>"50% van het oorspronkelijk regulatoir saldo door te rekenen volgens de tariefmethodologie in het boekjaar "&amp;F595</f>
        <v>50% van het oorspronkelijk regulatoir saldo door te rekenen volgens de tariefmethodologie in het boekjaar 2022</v>
      </c>
      <c r="I597" s="837" t="str">
        <f>"Nog af te bouwen regulatoir saldo einde "&amp;F595</f>
        <v>Nog af te bouwen regulatoir saldo einde 2022</v>
      </c>
      <c r="J597" s="212"/>
      <c r="O597" s="167"/>
    </row>
    <row r="598" spans="2:15" ht="13" x14ac:dyDescent="0.25">
      <c r="B598" s="1234">
        <v>2017</v>
      </c>
      <c r="C598" s="1235"/>
      <c r="D598" s="1235">
        <v>2016</v>
      </c>
      <c r="E598" s="1236"/>
      <c r="F598" s="341"/>
      <c r="G598" s="568">
        <f>+I589</f>
        <v>0</v>
      </c>
      <c r="H598" s="568">
        <f>-G589*0.5</f>
        <v>0</v>
      </c>
      <c r="I598" s="568">
        <f t="shared" ref="I598:I602" si="88">+G598+H598</f>
        <v>0</v>
      </c>
      <c r="J598" s="212"/>
      <c r="O598" s="167"/>
    </row>
    <row r="599" spans="2:15" ht="13" x14ac:dyDescent="0.25">
      <c r="B599" s="1234">
        <v>2018</v>
      </c>
      <c r="C599" s="1235"/>
      <c r="D599" s="1235"/>
      <c r="E599" s="1236"/>
      <c r="F599" s="341"/>
      <c r="G599" s="568">
        <f t="shared" ref="G599:G601" si="89">+I590</f>
        <v>0</v>
      </c>
      <c r="H599" s="568">
        <f t="shared" ref="H599:H601" si="90">-G590*0.5</f>
        <v>0</v>
      </c>
      <c r="I599" s="568">
        <f t="shared" si="88"/>
        <v>0</v>
      </c>
      <c r="J599" s="212"/>
      <c r="O599" s="167"/>
    </row>
    <row r="600" spans="2:15" ht="13" x14ac:dyDescent="0.25">
      <c r="B600" s="1234">
        <v>2019</v>
      </c>
      <c r="C600" s="1235"/>
      <c r="D600" s="1235"/>
      <c r="E600" s="1236"/>
      <c r="F600" s="341"/>
      <c r="G600" s="568">
        <f t="shared" si="89"/>
        <v>0</v>
      </c>
      <c r="H600" s="568">
        <f t="shared" si="90"/>
        <v>0</v>
      </c>
      <c r="I600" s="568">
        <f t="shared" si="88"/>
        <v>0</v>
      </c>
      <c r="J600" s="212"/>
      <c r="O600" s="167"/>
    </row>
    <row r="601" spans="2:15" ht="13" x14ac:dyDescent="0.25">
      <c r="B601" s="1234">
        <v>2020</v>
      </c>
      <c r="C601" s="1235"/>
      <c r="D601" s="1235"/>
      <c r="E601" s="1236"/>
      <c r="F601" s="341"/>
      <c r="G601" s="568">
        <f t="shared" si="89"/>
        <v>0</v>
      </c>
      <c r="H601" s="568">
        <f t="shared" si="90"/>
        <v>0</v>
      </c>
      <c r="I601" s="568">
        <f t="shared" si="88"/>
        <v>0</v>
      </c>
      <c r="J601" s="212"/>
      <c r="O601" s="167"/>
    </row>
    <row r="602" spans="2:15" ht="13" x14ac:dyDescent="0.25">
      <c r="B602" s="1234">
        <v>2021</v>
      </c>
      <c r="C602" s="1235"/>
      <c r="D602" s="1235"/>
      <c r="E602" s="1236"/>
      <c r="F602" s="341"/>
      <c r="G602" s="568">
        <f>K170</f>
        <v>0</v>
      </c>
      <c r="H602" s="568">
        <f t="shared" ref="H602" si="91">-G602*0.5</f>
        <v>0</v>
      </c>
      <c r="I602" s="568">
        <f t="shared" si="88"/>
        <v>0</v>
      </c>
      <c r="J602" s="212"/>
      <c r="O602" s="167"/>
    </row>
    <row r="603" spans="2:15" s="281" customFormat="1" ht="13" x14ac:dyDescent="0.25">
      <c r="B603" s="847"/>
      <c r="C603" s="847"/>
      <c r="D603" s="847"/>
      <c r="E603" s="847"/>
      <c r="F603" s="847"/>
      <c r="G603" s="856">
        <f>SUM(G598:G602)</f>
        <v>0</v>
      </c>
      <c r="H603" s="856">
        <f>SUM(H598:H602)</f>
        <v>0</v>
      </c>
      <c r="I603" s="856">
        <f>SUM(I598:I602)</f>
        <v>0</v>
      </c>
    </row>
    <row r="604" spans="2:15" x14ac:dyDescent="0.25">
      <c r="B604" s="842"/>
      <c r="C604" s="842"/>
      <c r="D604" s="842"/>
      <c r="E604" s="842"/>
      <c r="F604" s="842"/>
      <c r="G604" s="842"/>
      <c r="H604" s="842"/>
      <c r="I604" s="842"/>
      <c r="O604" s="167"/>
    </row>
    <row r="605" spans="2:15" ht="13" x14ac:dyDescent="0.25">
      <c r="B605" s="847" t="s">
        <v>172</v>
      </c>
      <c r="C605" s="842"/>
      <c r="D605" s="842"/>
      <c r="E605" s="842"/>
      <c r="F605" s="1004">
        <v>2023</v>
      </c>
      <c r="G605" s="842"/>
      <c r="H605" s="842"/>
      <c r="I605" s="842"/>
      <c r="O605" s="167"/>
    </row>
    <row r="606" spans="2:15" x14ac:dyDescent="0.25">
      <c r="B606" s="842"/>
      <c r="C606" s="842"/>
      <c r="D606" s="842"/>
      <c r="E606" s="842"/>
      <c r="F606" s="842"/>
      <c r="G606" s="842"/>
      <c r="H606" s="842"/>
      <c r="I606" s="842"/>
      <c r="O606" s="167"/>
    </row>
    <row r="607" spans="2:15" ht="78" customHeight="1" x14ac:dyDescent="0.25">
      <c r="B607" s="1237" t="s">
        <v>173</v>
      </c>
      <c r="C607" s="1238"/>
      <c r="D607" s="1238"/>
      <c r="E607" s="1239"/>
      <c r="F607" s="848"/>
      <c r="G607" s="837" t="str">
        <f>"Nog af te bouwen regulatoir saldo einde "&amp;F605-1</f>
        <v>Nog af te bouwen regulatoir saldo einde 2022</v>
      </c>
      <c r="H607" s="837" t="str">
        <f>"50% van het oorspronkelijk regulatoir saldo door te rekenen volgens de tariefmethodologie in het boekjaar "&amp;F605</f>
        <v>50% van het oorspronkelijk regulatoir saldo door te rekenen volgens de tariefmethodologie in het boekjaar 2023</v>
      </c>
      <c r="I607" s="837" t="str">
        <f>"Nog af te bouwen regulatoir saldo einde "&amp;F605</f>
        <v>Nog af te bouwen regulatoir saldo einde 2023</v>
      </c>
      <c r="J607" s="212"/>
      <c r="O607" s="167"/>
    </row>
    <row r="608" spans="2:15" ht="13" x14ac:dyDescent="0.25">
      <c r="B608" s="1234">
        <v>2021</v>
      </c>
      <c r="C608" s="1235"/>
      <c r="D608" s="1235"/>
      <c r="E608" s="1236"/>
      <c r="F608" s="341"/>
      <c r="G608" s="568">
        <f>+I602</f>
        <v>0</v>
      </c>
      <c r="H608" s="568">
        <f>-G602*0.5</f>
        <v>0</v>
      </c>
      <c r="I608" s="568">
        <f t="shared" ref="I608:I609" si="92">+G608+H608</f>
        <v>0</v>
      </c>
      <c r="J608" s="212"/>
      <c r="O608" s="167"/>
    </row>
    <row r="609" spans="2:15" ht="13" x14ac:dyDescent="0.25">
      <c r="B609" s="1234">
        <v>2022</v>
      </c>
      <c r="C609" s="1235"/>
      <c r="D609" s="1235"/>
      <c r="E609" s="1236"/>
      <c r="F609" s="341"/>
      <c r="G609" s="568">
        <f>L171</f>
        <v>0</v>
      </c>
      <c r="H609" s="568">
        <f t="shared" ref="H609" si="93">-G609*0.5</f>
        <v>0</v>
      </c>
      <c r="I609" s="568">
        <f t="shared" si="92"/>
        <v>0</v>
      </c>
      <c r="J609" s="212"/>
      <c r="O609" s="167"/>
    </row>
    <row r="610" spans="2:15" s="281" customFormat="1" ht="13" x14ac:dyDescent="0.25">
      <c r="B610" s="847"/>
      <c r="C610" s="847"/>
      <c r="D610" s="847"/>
      <c r="E610" s="847"/>
      <c r="F610" s="847"/>
      <c r="G610" s="856">
        <f>SUM(G608:G609)</f>
        <v>0</v>
      </c>
      <c r="H610" s="856">
        <f>SUM(H608:H609)</f>
        <v>0</v>
      </c>
      <c r="I610" s="856">
        <f>SUM(I608:I609)</f>
        <v>0</v>
      </c>
    </row>
    <row r="611" spans="2:15" x14ac:dyDescent="0.25">
      <c r="B611" s="842"/>
      <c r="C611" s="842"/>
      <c r="D611" s="842"/>
      <c r="E611" s="842"/>
      <c r="F611" s="842"/>
      <c r="G611" s="842"/>
      <c r="H611" s="842"/>
      <c r="I611" s="842"/>
      <c r="O611" s="167"/>
    </row>
    <row r="612" spans="2:15" ht="13" x14ac:dyDescent="0.25">
      <c r="B612" s="847" t="s">
        <v>172</v>
      </c>
      <c r="C612" s="842"/>
      <c r="D612" s="842"/>
      <c r="E612" s="842"/>
      <c r="F612" s="1004">
        <v>2024</v>
      </c>
      <c r="G612" s="842"/>
      <c r="H612" s="842"/>
      <c r="I612" s="842"/>
      <c r="O612" s="167"/>
    </row>
    <row r="613" spans="2:15" x14ac:dyDescent="0.25">
      <c r="B613" s="842"/>
      <c r="C613" s="842"/>
      <c r="D613" s="842"/>
      <c r="E613" s="842"/>
      <c r="F613" s="842"/>
      <c r="G613" s="842"/>
      <c r="H613" s="842"/>
      <c r="I613" s="842"/>
      <c r="O613" s="167"/>
    </row>
    <row r="614" spans="2:15" ht="78" customHeight="1" x14ac:dyDescent="0.25">
      <c r="B614" s="1237" t="s">
        <v>173</v>
      </c>
      <c r="C614" s="1238"/>
      <c r="D614" s="1238"/>
      <c r="E614" s="1239"/>
      <c r="F614" s="848"/>
      <c r="G614" s="837" t="str">
        <f>"Nog af te bouwen regulatoir saldo einde "&amp;F612-1</f>
        <v>Nog af te bouwen regulatoir saldo einde 2023</v>
      </c>
      <c r="H614" s="837" t="str">
        <f>"50% van het oorspronkelijk regulatoir saldo door te rekenen volgens de tariefmethodologie in het boekjaar "&amp;F612</f>
        <v>50% van het oorspronkelijk regulatoir saldo door te rekenen volgens de tariefmethodologie in het boekjaar 2024</v>
      </c>
      <c r="I614" s="837" t="str">
        <f>"Nog af te bouwen regulatoir saldo einde "&amp;F612</f>
        <v>Nog af te bouwen regulatoir saldo einde 2024</v>
      </c>
      <c r="J614" s="212"/>
      <c r="O614" s="167"/>
    </row>
    <row r="615" spans="2:15" ht="13" x14ac:dyDescent="0.25">
      <c r="B615" s="1234">
        <v>2022</v>
      </c>
      <c r="C615" s="1235"/>
      <c r="D615" s="1235"/>
      <c r="E615" s="1236"/>
      <c r="F615" s="341"/>
      <c r="G615" s="568">
        <f>+I609</f>
        <v>0</v>
      </c>
      <c r="H615" s="568">
        <f>-G609*0.5</f>
        <v>0</v>
      </c>
      <c r="I615" s="568">
        <f t="shared" ref="I615:I616" si="94">+G615+H615</f>
        <v>0</v>
      </c>
      <c r="J615" s="212"/>
      <c r="O615" s="167"/>
    </row>
    <row r="616" spans="2:15" ht="13" x14ac:dyDescent="0.25">
      <c r="B616" s="1234">
        <v>2023</v>
      </c>
      <c r="C616" s="1235"/>
      <c r="D616" s="1235"/>
      <c r="E616" s="1236"/>
      <c r="F616" s="341"/>
      <c r="G616" s="568">
        <f>+M172</f>
        <v>0</v>
      </c>
      <c r="H616" s="568">
        <f t="shared" ref="H616" si="95">-G616*0.5</f>
        <v>0</v>
      </c>
      <c r="I616" s="568">
        <f t="shared" si="94"/>
        <v>0</v>
      </c>
      <c r="J616" s="212"/>
      <c r="O616" s="167"/>
    </row>
    <row r="617" spans="2:15" s="281" customFormat="1" ht="13" x14ac:dyDescent="0.25">
      <c r="B617" s="847"/>
      <c r="C617" s="847"/>
      <c r="D617" s="847"/>
      <c r="E617" s="847"/>
      <c r="F617" s="847"/>
      <c r="G617" s="856">
        <f>SUM(G615:G616)</f>
        <v>0</v>
      </c>
      <c r="H617" s="856">
        <f>SUM(H615:H616)</f>
        <v>0</v>
      </c>
      <c r="I617" s="856">
        <f>SUM(I615:I616)</f>
        <v>0</v>
      </c>
    </row>
    <row r="618" spans="2:15" ht="13" x14ac:dyDescent="0.25">
      <c r="B618" s="281" t="str">
        <f>+B564</f>
        <v>De tariefposten in verband met de belastingen, heffingen, toeslagen, bijdragen en retributies</v>
      </c>
      <c r="O618" s="167"/>
    </row>
    <row r="619" spans="2:15" ht="13" x14ac:dyDescent="0.25">
      <c r="B619" s="281" t="s">
        <v>174</v>
      </c>
      <c r="C619" s="224"/>
      <c r="D619" s="224"/>
      <c r="E619" s="224"/>
      <c r="O619" s="167"/>
    </row>
    <row r="620" spans="2:15" ht="13" x14ac:dyDescent="0.25">
      <c r="B620" s="281"/>
      <c r="C620" s="224"/>
      <c r="D620" s="224"/>
      <c r="E620" s="224"/>
      <c r="O620" s="167"/>
    </row>
    <row r="621" spans="2:15" ht="13" x14ac:dyDescent="0.25">
      <c r="B621" s="283">
        <f>F586</f>
        <v>2021</v>
      </c>
      <c r="C621" s="287">
        <f>+H593</f>
        <v>0</v>
      </c>
      <c r="D621" s="224"/>
      <c r="E621" s="224"/>
      <c r="O621" s="167"/>
    </row>
    <row r="622" spans="2:15" ht="13" x14ac:dyDescent="0.25">
      <c r="B622" s="341">
        <v>2022</v>
      </c>
      <c r="C622" s="342">
        <f>+H603</f>
        <v>0</v>
      </c>
      <c r="D622" s="224"/>
      <c r="E622" s="224"/>
      <c r="O622" s="167"/>
    </row>
    <row r="623" spans="2:15" ht="13" x14ac:dyDescent="0.25">
      <c r="B623" s="341">
        <v>2023</v>
      </c>
      <c r="C623" s="342">
        <f>+H610</f>
        <v>0</v>
      </c>
      <c r="D623" s="224"/>
      <c r="E623" s="224"/>
      <c r="O623" s="167"/>
    </row>
    <row r="624" spans="2:15" ht="13" x14ac:dyDescent="0.25">
      <c r="B624" s="341">
        <v>2024</v>
      </c>
      <c r="C624" s="342">
        <f>+H617</f>
        <v>0</v>
      </c>
      <c r="D624" s="224"/>
      <c r="E624" s="224"/>
      <c r="O624" s="167"/>
    </row>
    <row r="625" spans="15:15" x14ac:dyDescent="0.25">
      <c r="O625" s="167"/>
    </row>
    <row r="626" spans="15:15" x14ac:dyDescent="0.25">
      <c r="O626" s="167"/>
    </row>
  </sheetData>
  <sheetProtection algorithmName="SHA-512" hashValue="rxMrxbmP38X1pnYTcqpe9EOxZQCGegoWEFSQe7vF+2z/xDl+Tq7C52yQaxyPrrTN69heZkZaiRxXS36lQesUWw==" saltValue="BWB2Crs9pIYUceFL5JrkKw==" spinCount="100000" sheet="1" objects="1" scenarios="1"/>
  <mergeCells count="344">
    <mergeCell ref="B615:E615"/>
    <mergeCell ref="B616:E616"/>
    <mergeCell ref="B614:E614"/>
    <mergeCell ref="B529:E529"/>
    <mergeCell ref="B536:E536"/>
    <mergeCell ref="B537:E537"/>
    <mergeCell ref="B538:E538"/>
    <mergeCell ref="B539:E539"/>
    <mergeCell ref="B545:E545"/>
    <mergeCell ref="B608:E608"/>
    <mergeCell ref="B609:E609"/>
    <mergeCell ref="B598:E598"/>
    <mergeCell ref="B599:E599"/>
    <mergeCell ref="B600:E600"/>
    <mergeCell ref="B601:E601"/>
    <mergeCell ref="B602:E602"/>
    <mergeCell ref="B607:E607"/>
    <mergeCell ref="B588:E588"/>
    <mergeCell ref="B589:E589"/>
    <mergeCell ref="B590:E590"/>
    <mergeCell ref="B591:E591"/>
    <mergeCell ref="B592:E592"/>
    <mergeCell ref="B597:E597"/>
    <mergeCell ref="B574:E574"/>
    <mergeCell ref="B511:E511"/>
    <mergeCell ref="B512:E512"/>
    <mergeCell ref="B517:E517"/>
    <mergeCell ref="B518:E518"/>
    <mergeCell ref="B519:E519"/>
    <mergeCell ref="B528:E528"/>
    <mergeCell ref="B433:E433"/>
    <mergeCell ref="B434:E434"/>
    <mergeCell ref="B435:E435"/>
    <mergeCell ref="B440:E440"/>
    <mergeCell ref="B441:E441"/>
    <mergeCell ref="B442:E442"/>
    <mergeCell ref="B457:E457"/>
    <mergeCell ref="B458:E458"/>
    <mergeCell ref="B505:E505"/>
    <mergeCell ref="B506:E506"/>
    <mergeCell ref="B510:E510"/>
    <mergeCell ref="B486:E486"/>
    <mergeCell ref="B487:E487"/>
    <mergeCell ref="B488:E488"/>
    <mergeCell ref="B489:E489"/>
    <mergeCell ref="B490:E490"/>
    <mergeCell ref="B472:E472"/>
    <mergeCell ref="B477:E477"/>
    <mergeCell ref="B423:E423"/>
    <mergeCell ref="B424:E424"/>
    <mergeCell ref="B425:E425"/>
    <mergeCell ref="B426:E426"/>
    <mergeCell ref="B427:E427"/>
    <mergeCell ref="B428:E428"/>
    <mergeCell ref="B409:E409"/>
    <mergeCell ref="B414:E414"/>
    <mergeCell ref="B415:E415"/>
    <mergeCell ref="B416:E416"/>
    <mergeCell ref="B417:E417"/>
    <mergeCell ref="B418:E418"/>
    <mergeCell ref="B283:E283"/>
    <mergeCell ref="B288:E288"/>
    <mergeCell ref="B309:E309"/>
    <mergeCell ref="B314:E314"/>
    <mergeCell ref="B315:E315"/>
    <mergeCell ref="B316:E316"/>
    <mergeCell ref="B331:E331"/>
    <mergeCell ref="B332:E332"/>
    <mergeCell ref="B299:E299"/>
    <mergeCell ref="B300:E300"/>
    <mergeCell ref="B301:E301"/>
    <mergeCell ref="B302:E302"/>
    <mergeCell ref="B307:E307"/>
    <mergeCell ref="B308:E308"/>
    <mergeCell ref="B575:E575"/>
    <mergeCell ref="B580:E580"/>
    <mergeCell ref="B581:E581"/>
    <mergeCell ref="B582:E582"/>
    <mergeCell ref="B583:E583"/>
    <mergeCell ref="B568:E568"/>
    <mergeCell ref="B569:E569"/>
    <mergeCell ref="B573:E573"/>
    <mergeCell ref="B552:E552"/>
    <mergeCell ref="B553:E553"/>
    <mergeCell ref="B544:E544"/>
    <mergeCell ref="B551:E551"/>
    <mergeCell ref="B546:E546"/>
    <mergeCell ref="B534:E534"/>
    <mergeCell ref="B535:E535"/>
    <mergeCell ref="B520:E520"/>
    <mergeCell ref="B525:E525"/>
    <mergeCell ref="B526:E526"/>
    <mergeCell ref="B527:E527"/>
    <mergeCell ref="B478:E478"/>
    <mergeCell ref="B479:E479"/>
    <mergeCell ref="B480:E480"/>
    <mergeCell ref="B481:E481"/>
    <mergeCell ref="B462:E462"/>
    <mergeCell ref="B463:E463"/>
    <mergeCell ref="B464:E464"/>
    <mergeCell ref="B469:E469"/>
    <mergeCell ref="B470:E470"/>
    <mergeCell ref="B471:E471"/>
    <mergeCell ref="B395:E395"/>
    <mergeCell ref="B400:E400"/>
    <mergeCell ref="B401:E401"/>
    <mergeCell ref="B399:E399"/>
    <mergeCell ref="B406:E406"/>
    <mergeCell ref="B407:E407"/>
    <mergeCell ref="B408:E408"/>
    <mergeCell ref="B394:E394"/>
    <mergeCell ref="B337:E337"/>
    <mergeCell ref="B338:E338"/>
    <mergeCell ref="B345:E345"/>
    <mergeCell ref="B346:E346"/>
    <mergeCell ref="B370:E370"/>
    <mergeCell ref="B371:E371"/>
    <mergeCell ref="B372:E372"/>
    <mergeCell ref="B379:E379"/>
    <mergeCell ref="B377:E377"/>
    <mergeCell ref="B378:E378"/>
    <mergeCell ref="B360:E360"/>
    <mergeCell ref="B361:E361"/>
    <mergeCell ref="B362:E362"/>
    <mergeCell ref="B363:E363"/>
    <mergeCell ref="B364:E364"/>
    <mergeCell ref="B365:E365"/>
    <mergeCell ref="B351:E351"/>
    <mergeCell ref="B352:E352"/>
    <mergeCell ref="B353:E353"/>
    <mergeCell ref="B354:E354"/>
    <mergeCell ref="B355:E355"/>
    <mergeCell ref="B336:E336"/>
    <mergeCell ref="B343:E343"/>
    <mergeCell ref="B344:E344"/>
    <mergeCell ref="B252:E252"/>
    <mergeCell ref="B253:E253"/>
    <mergeCell ref="B268:E268"/>
    <mergeCell ref="B269:E269"/>
    <mergeCell ref="B273:E273"/>
    <mergeCell ref="B274:E274"/>
    <mergeCell ref="B289:E289"/>
    <mergeCell ref="B290:E290"/>
    <mergeCell ref="B291:E291"/>
    <mergeCell ref="B292:E292"/>
    <mergeCell ref="B297:E297"/>
    <mergeCell ref="B298:E298"/>
    <mergeCell ref="B275:E275"/>
    <mergeCell ref="B280:E280"/>
    <mergeCell ref="B281:E281"/>
    <mergeCell ref="B282:E282"/>
    <mergeCell ref="B238:E238"/>
    <mergeCell ref="B239:E239"/>
    <mergeCell ref="B244:E244"/>
    <mergeCell ref="B245:E245"/>
    <mergeCell ref="B246:E246"/>
    <mergeCell ref="B251:E251"/>
    <mergeCell ref="B229:E229"/>
    <mergeCell ref="B234:E234"/>
    <mergeCell ref="B235:E235"/>
    <mergeCell ref="B236:E236"/>
    <mergeCell ref="B225:E225"/>
    <mergeCell ref="B226:E226"/>
    <mergeCell ref="B227:E227"/>
    <mergeCell ref="B228:E228"/>
    <mergeCell ref="B237:E237"/>
    <mergeCell ref="B219:E219"/>
    <mergeCell ref="B220:E220"/>
    <mergeCell ref="B206:E206"/>
    <mergeCell ref="B210:E210"/>
    <mergeCell ref="B211:E211"/>
    <mergeCell ref="B212:E212"/>
    <mergeCell ref="B217:E217"/>
    <mergeCell ref="B218:E218"/>
    <mergeCell ref="B195:E195"/>
    <mergeCell ref="B196:E196"/>
    <mergeCell ref="B198:E198"/>
    <mergeCell ref="B205:E205"/>
    <mergeCell ref="B185:E185"/>
    <mergeCell ref="B190:E190"/>
    <mergeCell ref="B192:E192"/>
    <mergeCell ref="B193:E193"/>
    <mergeCell ref="B194:E194"/>
    <mergeCell ref="B181:E181"/>
    <mergeCell ref="B182:E182"/>
    <mergeCell ref="B183:E183"/>
    <mergeCell ref="B184:E184"/>
    <mergeCell ref="B176:E176"/>
    <mergeCell ref="B177:E177"/>
    <mergeCell ref="B178:E178"/>
    <mergeCell ref="B179:E179"/>
    <mergeCell ref="B180:E180"/>
    <mergeCell ref="B169:E169"/>
    <mergeCell ref="B170:E170"/>
    <mergeCell ref="B171:E171"/>
    <mergeCell ref="B172:E172"/>
    <mergeCell ref="B173:E173"/>
    <mergeCell ref="B165:E165"/>
    <mergeCell ref="B166:E166"/>
    <mergeCell ref="B167:E167"/>
    <mergeCell ref="B168:E168"/>
    <mergeCell ref="B164:E164"/>
    <mergeCell ref="B158:E158"/>
    <mergeCell ref="B159:E159"/>
    <mergeCell ref="B160:E160"/>
    <mergeCell ref="B161:E161"/>
    <mergeCell ref="B162:E162"/>
    <mergeCell ref="B163:E163"/>
    <mergeCell ref="B154:E154"/>
    <mergeCell ref="B155:E155"/>
    <mergeCell ref="B156:E156"/>
    <mergeCell ref="B157:E157"/>
    <mergeCell ref="B148:E148"/>
    <mergeCell ref="B149:E149"/>
    <mergeCell ref="B150:E150"/>
    <mergeCell ref="B151:E151"/>
    <mergeCell ref="B152:E152"/>
    <mergeCell ref="B153:E153"/>
    <mergeCell ref="B144:E144"/>
    <mergeCell ref="B145:E145"/>
    <mergeCell ref="B146:E146"/>
    <mergeCell ref="B147:E147"/>
    <mergeCell ref="B138:E138"/>
    <mergeCell ref="B139:E139"/>
    <mergeCell ref="B140:E140"/>
    <mergeCell ref="B141:E141"/>
    <mergeCell ref="B142:E142"/>
    <mergeCell ref="B143:E143"/>
    <mergeCell ref="B134:E134"/>
    <mergeCell ref="B135:E135"/>
    <mergeCell ref="B136:E136"/>
    <mergeCell ref="B137:E137"/>
    <mergeCell ref="B129:E129"/>
    <mergeCell ref="B130:E130"/>
    <mergeCell ref="B131:E131"/>
    <mergeCell ref="B132:E132"/>
    <mergeCell ref="B133:E133"/>
    <mergeCell ref="B124:E124"/>
    <mergeCell ref="B125:E125"/>
    <mergeCell ref="B126:E126"/>
    <mergeCell ref="B127:E127"/>
    <mergeCell ref="B128:E128"/>
    <mergeCell ref="B120:E120"/>
    <mergeCell ref="B121:E121"/>
    <mergeCell ref="B122:E122"/>
    <mergeCell ref="B123:E123"/>
    <mergeCell ref="B114:E114"/>
    <mergeCell ref="B115:E115"/>
    <mergeCell ref="B116:E116"/>
    <mergeCell ref="B117:E117"/>
    <mergeCell ref="B118:E118"/>
    <mergeCell ref="B119:E119"/>
    <mergeCell ref="B105:E105"/>
    <mergeCell ref="B109:E109"/>
    <mergeCell ref="B111:E111"/>
    <mergeCell ref="B112:E112"/>
    <mergeCell ref="B113:E113"/>
    <mergeCell ref="B100:E100"/>
    <mergeCell ref="B101:E101"/>
    <mergeCell ref="B102:E102"/>
    <mergeCell ref="B103:E103"/>
    <mergeCell ref="B104:E104"/>
    <mergeCell ref="B94:E94"/>
    <mergeCell ref="B96:E96"/>
    <mergeCell ref="B97:E97"/>
    <mergeCell ref="B98:E98"/>
    <mergeCell ref="B99:E99"/>
    <mergeCell ref="B88:E88"/>
    <mergeCell ref="B89:E89"/>
    <mergeCell ref="B90:E90"/>
    <mergeCell ref="B91:E91"/>
    <mergeCell ref="B92:E92"/>
    <mergeCell ref="B84:E84"/>
    <mergeCell ref="B85:E85"/>
    <mergeCell ref="B86:E86"/>
    <mergeCell ref="B87:E87"/>
    <mergeCell ref="B83:E83"/>
    <mergeCell ref="B77:E77"/>
    <mergeCell ref="B78:E78"/>
    <mergeCell ref="B79:E79"/>
    <mergeCell ref="B80:E80"/>
    <mergeCell ref="B81:E81"/>
    <mergeCell ref="B82:E82"/>
    <mergeCell ref="B73:E73"/>
    <mergeCell ref="B74:E74"/>
    <mergeCell ref="B75:E75"/>
    <mergeCell ref="B76:E76"/>
    <mergeCell ref="B67:E67"/>
    <mergeCell ref="B68:E68"/>
    <mergeCell ref="B69:E69"/>
    <mergeCell ref="B70:E70"/>
    <mergeCell ref="B71:E71"/>
    <mergeCell ref="B72:E72"/>
    <mergeCell ref="B63:E63"/>
    <mergeCell ref="B64:E64"/>
    <mergeCell ref="B65:E65"/>
    <mergeCell ref="B66:E66"/>
    <mergeCell ref="B57:E57"/>
    <mergeCell ref="B58:E58"/>
    <mergeCell ref="B59:E59"/>
    <mergeCell ref="B60:E60"/>
    <mergeCell ref="B61:E61"/>
    <mergeCell ref="B62:E62"/>
    <mergeCell ref="B53:E53"/>
    <mergeCell ref="B54:E54"/>
    <mergeCell ref="B55:E55"/>
    <mergeCell ref="B56:E56"/>
    <mergeCell ref="B48:E48"/>
    <mergeCell ref="B49:E49"/>
    <mergeCell ref="B50:E50"/>
    <mergeCell ref="B51:E51"/>
    <mergeCell ref="B52:E52"/>
    <mergeCell ref="B43:E43"/>
    <mergeCell ref="B44:E44"/>
    <mergeCell ref="B45:E45"/>
    <mergeCell ref="B46:E46"/>
    <mergeCell ref="B47:E47"/>
    <mergeCell ref="B39:E39"/>
    <mergeCell ref="B40:E40"/>
    <mergeCell ref="B41:E41"/>
    <mergeCell ref="B42:E42"/>
    <mergeCell ref="B33:E33"/>
    <mergeCell ref="B34:E34"/>
    <mergeCell ref="B35:E35"/>
    <mergeCell ref="B36:E36"/>
    <mergeCell ref="B37:E37"/>
    <mergeCell ref="B38:E38"/>
    <mergeCell ref="B23:E23"/>
    <mergeCell ref="B24:E24"/>
    <mergeCell ref="B28:E28"/>
    <mergeCell ref="B30:E30"/>
    <mergeCell ref="B31:E31"/>
    <mergeCell ref="B32:E32"/>
    <mergeCell ref="B17:E17"/>
    <mergeCell ref="B18:E18"/>
    <mergeCell ref="B19:E19"/>
    <mergeCell ref="B20:E20"/>
    <mergeCell ref="B21:E21"/>
    <mergeCell ref="A1:J1"/>
    <mergeCell ref="B4:E4"/>
    <mergeCell ref="B7:E7"/>
    <mergeCell ref="B13:E13"/>
    <mergeCell ref="B15:E15"/>
    <mergeCell ref="B16:E16"/>
  </mergeCells>
  <conditionalFormatting sqref="B19:N20 P19:P20 B66:N83 P66:P83 B147:N164 P147:P164 B453:F453 B455:F455 B457:K458 B460:F460 B462:M465 B469:M473 B467:F467 B475:F475 B477:I482 B484:F484 B486:I491 B493:F493 B495:C498 B501:E501 B503:F503 B505:K506 B508:F508 B510:M513 B515:F515 B517:M521 B523:F523 B525:I530 B532:F532 B534:I540 B542:F542 B544:I547 B549:F549 B551:I554 B556:F556 B558:C561 B195:G195">
    <cfRule type="expression" dxfId="32" priority="3">
      <formula>$B$7="gas"</formula>
    </cfRule>
  </conditionalFormatting>
  <conditionalFormatting sqref="B555:F555">
    <cfRule type="expression" dxfId="31" priority="2">
      <formula>$B$7="gas"</formula>
    </cfRule>
  </conditionalFormatting>
  <conditionalFormatting sqref="B492:F492">
    <cfRule type="expression" dxfId="30" priority="1">
      <formula>$B$7="gas"</formula>
    </cfRule>
  </conditionalFormatting>
  <pageMargins left="0.70866141732283472" right="0.70866141732283472" top="0.74803149606299213" bottom="0.74803149606299213" header="0.31496062992125984" footer="0.31496062992125984"/>
  <pageSetup paperSize="8" scale="27" fitToWidth="2" fitToHeight="2" orientation="portrait" r:id="rId1"/>
  <rowBreaks count="1" manualBreakCount="1">
    <brk id="105"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8">
    <pageSetUpPr fitToPage="1"/>
  </sheetPr>
  <dimension ref="A1:O112"/>
  <sheetViews>
    <sheetView zoomScale="80" zoomScaleNormal="80" zoomScaleSheetLayoutView="80" workbookViewId="0">
      <selection activeCell="G57" sqref="G57"/>
    </sheetView>
  </sheetViews>
  <sheetFormatPr defaultColWidth="11.453125" defaultRowHeight="12.5" x14ac:dyDescent="0.25"/>
  <cols>
    <col min="1" max="1" width="25.453125" style="178" customWidth="1"/>
    <col min="2" max="2" width="14.26953125" style="178" customWidth="1"/>
    <col min="3" max="6" width="20.7265625" style="178" customWidth="1"/>
    <col min="7" max="7" width="29.26953125" style="178" customWidth="1"/>
    <col min="8" max="8" width="22.54296875" style="178" customWidth="1"/>
    <col min="9" max="10" width="20.7265625" style="178" customWidth="1"/>
    <col min="11" max="11" width="20.26953125" style="178" customWidth="1"/>
    <col min="12" max="12" width="20.7265625" style="178" customWidth="1"/>
    <col min="13" max="13" width="5.1796875" style="178" customWidth="1"/>
    <col min="14" max="14" width="20.7265625" style="178" customWidth="1"/>
    <col min="15" max="15" width="28.7265625" style="178" bestFit="1" customWidth="1"/>
    <col min="16" max="16" width="14" style="178" customWidth="1"/>
    <col min="17" max="17" width="29.1796875" style="178" customWidth="1"/>
    <col min="18" max="18" width="12.26953125" style="178" bestFit="1" customWidth="1"/>
    <col min="19" max="16384" width="11.453125" style="178"/>
  </cols>
  <sheetData>
    <row r="1" spans="1:15" ht="21.75" customHeight="1" thickBot="1" x14ac:dyDescent="0.3">
      <c r="A1" s="1274" t="s">
        <v>137</v>
      </c>
      <c r="B1" s="1275"/>
      <c r="C1" s="1275"/>
      <c r="D1" s="1275"/>
      <c r="E1" s="1275"/>
      <c r="F1" s="1275"/>
      <c r="G1" s="1275"/>
      <c r="H1" s="1275"/>
      <c r="I1" s="1275"/>
      <c r="J1" s="1275"/>
      <c r="K1" s="1275"/>
      <c r="L1" s="1276"/>
      <c r="M1" s="220"/>
      <c r="N1" s="167"/>
      <c r="O1" s="229"/>
    </row>
    <row r="2" spans="1:15" x14ac:dyDescent="0.25">
      <c r="A2" s="233"/>
      <c r="B2" s="233"/>
      <c r="C2" s="233"/>
      <c r="D2" s="233"/>
      <c r="E2" s="233"/>
      <c r="F2" s="233"/>
      <c r="G2" s="233"/>
      <c r="H2" s="233"/>
      <c r="I2" s="233"/>
      <c r="J2" s="233"/>
      <c r="K2" s="233"/>
      <c r="L2" s="233"/>
      <c r="M2" s="220"/>
      <c r="N2" s="167"/>
      <c r="O2" s="233"/>
    </row>
    <row r="3" spans="1:15" ht="13" thickBot="1" x14ac:dyDescent="0.3">
      <c r="A3" s="233"/>
      <c r="B3" s="233"/>
      <c r="C3" s="233"/>
      <c r="D3" s="233"/>
      <c r="E3" s="233"/>
      <c r="F3" s="233"/>
      <c r="G3" s="233"/>
      <c r="H3" s="233"/>
      <c r="I3" s="233"/>
      <c r="J3" s="233"/>
      <c r="K3" s="233"/>
      <c r="L3" s="233"/>
      <c r="M3" s="220"/>
      <c r="N3" s="167"/>
      <c r="O3" s="233"/>
    </row>
    <row r="4" spans="1:15" ht="20.149999999999999" customHeight="1" thickBot="1" x14ac:dyDescent="0.3">
      <c r="A4" s="1217" t="s">
        <v>361</v>
      </c>
      <c r="B4" s="1218"/>
      <c r="C4" s="1218"/>
      <c r="D4" s="1218"/>
      <c r="E4" s="1218"/>
      <c r="F4" s="1218"/>
      <c r="G4" s="1218"/>
      <c r="H4" s="1218"/>
      <c r="I4" s="1218"/>
      <c r="J4" s="1218"/>
      <c r="K4" s="1218"/>
      <c r="L4" s="1218"/>
      <c r="M4" s="1218"/>
      <c r="N4" s="1219"/>
    </row>
    <row r="5" spans="1:15" ht="13" thickBot="1" x14ac:dyDescent="0.3"/>
    <row r="6" spans="1:15" ht="17" thickBot="1" x14ac:dyDescent="0.3">
      <c r="C6" s="1220" t="s">
        <v>30</v>
      </c>
      <c r="D6" s="1221"/>
      <c r="E6" s="1221"/>
      <c r="F6" s="1221"/>
      <c r="G6" s="1221"/>
      <c r="H6" s="1221"/>
      <c r="I6" s="1221"/>
      <c r="J6" s="1222"/>
    </row>
    <row r="7" spans="1:15" ht="13.5" thickBot="1" x14ac:dyDescent="0.3">
      <c r="C7" s="334">
        <v>2017</v>
      </c>
      <c r="D7" s="335">
        <f>+C7+1</f>
        <v>2018</v>
      </c>
      <c r="E7" s="335">
        <f>+D7+1</f>
        <v>2019</v>
      </c>
      <c r="F7" s="335">
        <f t="shared" ref="F7:J7" si="0">+E7+1</f>
        <v>2020</v>
      </c>
      <c r="G7" s="335">
        <f t="shared" si="0"/>
        <v>2021</v>
      </c>
      <c r="H7" s="850">
        <f t="shared" si="0"/>
        <v>2022</v>
      </c>
      <c r="I7" s="850">
        <f t="shared" si="0"/>
        <v>2023</v>
      </c>
      <c r="J7" s="850">
        <f t="shared" si="0"/>
        <v>2024</v>
      </c>
    </row>
    <row r="8" spans="1:15" x14ac:dyDescent="0.25">
      <c r="C8" s="986">
        <v>0</v>
      </c>
      <c r="D8" s="986">
        <v>0</v>
      </c>
      <c r="E8" s="986">
        <v>0</v>
      </c>
      <c r="F8" s="986">
        <v>0</v>
      </c>
      <c r="G8" s="986">
        <v>0</v>
      </c>
      <c r="H8" s="851">
        <v>0</v>
      </c>
      <c r="I8" s="851">
        <v>0</v>
      </c>
      <c r="J8" s="851">
        <v>0</v>
      </c>
    </row>
    <row r="9" spans="1:15" ht="13" x14ac:dyDescent="0.25">
      <c r="C9" s="241" t="s">
        <v>161</v>
      </c>
      <c r="J9" s="242"/>
    </row>
    <row r="10" spans="1:15" ht="13" x14ac:dyDescent="0.25">
      <c r="C10" s="241" t="s">
        <v>76</v>
      </c>
      <c r="F10" s="1034" t="str">
        <f>+'T9 - Overzicht'!B6&amp;":"</f>
        <v>2021:</v>
      </c>
      <c r="G10" s="1035">
        <f>+IF('T9 - Overzicht'!C6="ex-ante",0,IF('T9 - Overzicht'!C6="ex-post",'T9 - Overzicht'!C26,"FOUT"))</f>
        <v>0</v>
      </c>
    </row>
    <row r="11" spans="1:15" x14ac:dyDescent="0.25">
      <c r="C11" s="244"/>
    </row>
    <row r="12" spans="1:15" ht="13" thickBot="1" x14ac:dyDescent="0.3">
      <c r="C12" s="244"/>
    </row>
    <row r="13" spans="1:15" ht="20.25" customHeight="1" thickBot="1" x14ac:dyDescent="0.3">
      <c r="A13" s="1217" t="s">
        <v>18</v>
      </c>
      <c r="B13" s="1218"/>
      <c r="C13" s="1218"/>
      <c r="D13" s="1218"/>
      <c r="E13" s="1218"/>
      <c r="F13" s="1218"/>
      <c r="G13" s="1218"/>
      <c r="H13" s="1218"/>
      <c r="I13" s="1218"/>
      <c r="J13" s="1218"/>
      <c r="K13" s="1218"/>
      <c r="L13" s="1218"/>
      <c r="M13" s="1218"/>
      <c r="N13" s="1219"/>
    </row>
    <row r="15" spans="1:15" ht="13" x14ac:dyDescent="0.25">
      <c r="C15" s="241" t="s">
        <v>75</v>
      </c>
    </row>
    <row r="16" spans="1:15" ht="13" x14ac:dyDescent="0.25">
      <c r="C16" s="241" t="s">
        <v>76</v>
      </c>
    </row>
    <row r="17" spans="1:14" ht="16.5" x14ac:dyDescent="0.25">
      <c r="C17" s="1210" t="s">
        <v>19</v>
      </c>
      <c r="D17" s="1211"/>
      <c r="E17" s="1211"/>
      <c r="F17" s="1211"/>
      <c r="G17" s="1211"/>
      <c r="H17" s="1211"/>
      <c r="I17" s="1211"/>
      <c r="J17" s="1212"/>
      <c r="L17" s="245" t="s">
        <v>20</v>
      </c>
    </row>
    <row r="18" spans="1:14" ht="13.5" thickBot="1" x14ac:dyDescent="0.3">
      <c r="A18" s="1213"/>
      <c r="B18" s="1213"/>
      <c r="C18" s="246">
        <f>C7</f>
        <v>2017</v>
      </c>
      <c r="D18" s="247">
        <f>D7</f>
        <v>2018</v>
      </c>
      <c r="E18" s="247">
        <f>E7</f>
        <v>2019</v>
      </c>
      <c r="F18" s="247">
        <f t="shared" ref="F18:G18" si="1">F7</f>
        <v>2020</v>
      </c>
      <c r="G18" s="247">
        <f t="shared" si="1"/>
        <v>2021</v>
      </c>
      <c r="H18" s="809">
        <f>H7</f>
        <v>2022</v>
      </c>
      <c r="I18" s="809">
        <f>I7</f>
        <v>2023</v>
      </c>
      <c r="J18" s="809">
        <f>J7</f>
        <v>2024</v>
      </c>
      <c r="L18" s="248"/>
    </row>
    <row r="19" spans="1:14" ht="13" thickBot="1" x14ac:dyDescent="0.3">
      <c r="A19" s="1204" t="s">
        <v>21</v>
      </c>
      <c r="B19" s="249">
        <f>C7</f>
        <v>2017</v>
      </c>
      <c r="C19" s="1027">
        <v>0</v>
      </c>
      <c r="D19" s="250"/>
      <c r="E19" s="250"/>
      <c r="F19" s="250"/>
      <c r="G19" s="250"/>
      <c r="H19" s="810"/>
      <c r="I19" s="810"/>
      <c r="J19" s="811"/>
      <c r="K19" s="252"/>
      <c r="L19" s="253">
        <f t="shared" ref="L19:L26" si="2">SUM(C19:J19)</f>
        <v>0</v>
      </c>
    </row>
    <row r="20" spans="1:14" ht="13" thickBot="1" x14ac:dyDescent="0.3">
      <c r="A20" s="1289"/>
      <c r="B20" s="254">
        <f>D7</f>
        <v>2018</v>
      </c>
      <c r="C20" s="336">
        <f>+C$8-C19</f>
        <v>0</v>
      </c>
      <c r="D20" s="989">
        <v>0</v>
      </c>
      <c r="E20" s="256"/>
      <c r="F20" s="259"/>
      <c r="G20" s="259"/>
      <c r="H20" s="815"/>
      <c r="I20" s="815"/>
      <c r="J20" s="813"/>
      <c r="K20" s="252"/>
      <c r="L20" s="253">
        <f t="shared" si="2"/>
        <v>0</v>
      </c>
    </row>
    <row r="21" spans="1:14" ht="13" thickBot="1" x14ac:dyDescent="0.3">
      <c r="A21" s="1289"/>
      <c r="B21" s="254">
        <f>E7</f>
        <v>2019</v>
      </c>
      <c r="C21" s="258"/>
      <c r="D21" s="336">
        <f>+D$8-D20</f>
        <v>0</v>
      </c>
      <c r="E21" s="1027">
        <v>0</v>
      </c>
      <c r="F21" s="259"/>
      <c r="G21" s="259"/>
      <c r="H21" s="815"/>
      <c r="I21" s="815"/>
      <c r="J21" s="813"/>
      <c r="K21" s="252"/>
      <c r="L21" s="253">
        <f t="shared" si="2"/>
        <v>0</v>
      </c>
    </row>
    <row r="22" spans="1:14" ht="13" thickBot="1" x14ac:dyDescent="0.3">
      <c r="A22" s="1289"/>
      <c r="B22" s="254">
        <f>+F7</f>
        <v>2020</v>
      </c>
      <c r="C22" s="258"/>
      <c r="D22" s="259"/>
      <c r="E22" s="336">
        <f>+E$8-E21</f>
        <v>0</v>
      </c>
      <c r="F22" s="1027">
        <v>0</v>
      </c>
      <c r="G22" s="259"/>
      <c r="H22" s="815"/>
      <c r="I22" s="815"/>
      <c r="J22" s="813"/>
      <c r="K22" s="252"/>
      <c r="L22" s="253">
        <f t="shared" si="2"/>
        <v>0</v>
      </c>
    </row>
    <row r="23" spans="1:14" ht="13" thickBot="1" x14ac:dyDescent="0.3">
      <c r="A23" s="1289"/>
      <c r="B23" s="254">
        <f>+G7</f>
        <v>2021</v>
      </c>
      <c r="C23" s="258"/>
      <c r="D23" s="259"/>
      <c r="E23" s="259"/>
      <c r="F23" s="336">
        <f>+F$8-F22</f>
        <v>0</v>
      </c>
      <c r="G23" s="1027">
        <v>0</v>
      </c>
      <c r="H23" s="815"/>
      <c r="I23" s="815"/>
      <c r="J23" s="813"/>
      <c r="K23" s="252"/>
      <c r="L23" s="253">
        <f t="shared" si="2"/>
        <v>0</v>
      </c>
    </row>
    <row r="24" spans="1:14" ht="13" thickBot="1" x14ac:dyDescent="0.3">
      <c r="A24" s="1289"/>
      <c r="B24" s="868">
        <f>+H7</f>
        <v>2022</v>
      </c>
      <c r="C24" s="869"/>
      <c r="D24" s="815"/>
      <c r="E24" s="815"/>
      <c r="F24" s="815"/>
      <c r="G24" s="852">
        <f>+G$8-G23</f>
        <v>0</v>
      </c>
      <c r="H24" s="861">
        <v>0</v>
      </c>
      <c r="I24" s="815"/>
      <c r="J24" s="813"/>
      <c r="K24" s="826"/>
      <c r="L24" s="827">
        <f t="shared" si="2"/>
        <v>0</v>
      </c>
    </row>
    <row r="25" spans="1:14" ht="13" thickBot="1" x14ac:dyDescent="0.3">
      <c r="A25" s="1289"/>
      <c r="B25" s="868">
        <f>+I7</f>
        <v>2023</v>
      </c>
      <c r="C25" s="869"/>
      <c r="D25" s="815"/>
      <c r="E25" s="815"/>
      <c r="F25" s="815"/>
      <c r="G25" s="815"/>
      <c r="H25" s="852">
        <f>+H$8-H24</f>
        <v>0</v>
      </c>
      <c r="I25" s="861">
        <v>0</v>
      </c>
      <c r="J25" s="813"/>
      <c r="K25" s="826"/>
      <c r="L25" s="827">
        <f t="shared" si="2"/>
        <v>0</v>
      </c>
    </row>
    <row r="26" spans="1:14" ht="13" thickBot="1" x14ac:dyDescent="0.3">
      <c r="A26" s="1289"/>
      <c r="B26" s="868">
        <f>J7</f>
        <v>2024</v>
      </c>
      <c r="C26" s="869"/>
      <c r="D26" s="812"/>
      <c r="E26" s="815"/>
      <c r="F26" s="815"/>
      <c r="G26" s="815"/>
      <c r="H26" s="815"/>
      <c r="I26" s="852">
        <f>+I$8-I25</f>
        <v>0</v>
      </c>
      <c r="J26" s="862">
        <v>0</v>
      </c>
      <c r="K26" s="826"/>
      <c r="L26" s="827">
        <f t="shared" si="2"/>
        <v>0</v>
      </c>
    </row>
    <row r="27" spans="1:14" s="264" customFormat="1" ht="15.5" x14ac:dyDescent="0.25">
      <c r="A27" s="1290"/>
      <c r="B27" s="331" t="s">
        <v>22</v>
      </c>
      <c r="C27" s="261">
        <f>SUM(C19:C26)</f>
        <v>0</v>
      </c>
      <c r="D27" s="261">
        <f>SUM(D19:D26)</f>
        <v>0</v>
      </c>
      <c r="E27" s="261">
        <f>SUM(E19:E26)</f>
        <v>0</v>
      </c>
      <c r="F27" s="261">
        <f>SUM(F19:F26)</f>
        <v>0</v>
      </c>
      <c r="G27" s="261">
        <f>SUM(G19:G26)</f>
        <v>0</v>
      </c>
      <c r="H27" s="816">
        <f t="shared" ref="H27:J27" si="3">SUM(H19:H26)</f>
        <v>0</v>
      </c>
      <c r="I27" s="816">
        <f t="shared" si="3"/>
        <v>0</v>
      </c>
      <c r="J27" s="863">
        <f t="shared" si="3"/>
        <v>0</v>
      </c>
      <c r="K27" s="262"/>
      <c r="L27" s="263">
        <f>SUM(L19:L26)</f>
        <v>0</v>
      </c>
    </row>
    <row r="28" spans="1:14" s="243" customFormat="1" ht="13" x14ac:dyDescent="0.25">
      <c r="A28" s="266" t="s">
        <v>34</v>
      </c>
      <c r="C28" s="267">
        <f>+C27+C42</f>
        <v>0</v>
      </c>
      <c r="D28" s="267">
        <f>+D27+D42</f>
        <v>0</v>
      </c>
      <c r="E28" s="267">
        <f>+E27+E42</f>
        <v>0</v>
      </c>
      <c r="F28" s="267">
        <f>+F27+F42</f>
        <v>0</v>
      </c>
      <c r="G28" s="267">
        <f>+G27+G42</f>
        <v>0</v>
      </c>
      <c r="H28" s="818">
        <f t="shared" ref="H28:J28" si="4">+H27+H42</f>
        <v>0</v>
      </c>
      <c r="I28" s="818">
        <f t="shared" si="4"/>
        <v>0</v>
      </c>
      <c r="J28" s="818">
        <f t="shared" si="4"/>
        <v>0</v>
      </c>
      <c r="K28" s="267"/>
      <c r="L28" s="267">
        <f>+L27+L42</f>
        <v>0</v>
      </c>
      <c r="M28" s="267"/>
    </row>
    <row r="29" spans="1:14" s="243" customFormat="1" ht="13" x14ac:dyDescent="0.25">
      <c r="C29" s="267"/>
      <c r="D29" s="267"/>
      <c r="E29" s="267"/>
      <c r="F29" s="267"/>
      <c r="G29" s="267"/>
      <c r="H29" s="267"/>
      <c r="I29" s="267"/>
      <c r="J29" s="267"/>
    </row>
    <row r="30" spans="1:14" s="243" customFormat="1" ht="13" x14ac:dyDescent="0.25">
      <c r="C30" s="241" t="s">
        <v>162</v>
      </c>
      <c r="D30" s="267"/>
      <c r="E30" s="267"/>
      <c r="F30" s="267"/>
      <c r="G30" s="267"/>
      <c r="H30" s="267"/>
      <c r="I30" s="267"/>
      <c r="J30" s="267"/>
      <c r="K30" s="267"/>
      <c r="L30" s="267"/>
    </row>
    <row r="31" spans="1:14" ht="13" x14ac:dyDescent="0.25">
      <c r="C31" s="241" t="s">
        <v>163</v>
      </c>
    </row>
    <row r="32" spans="1:14" ht="16.5" x14ac:dyDescent="0.25">
      <c r="C32" s="1201" t="s">
        <v>19</v>
      </c>
      <c r="D32" s="1202"/>
      <c r="E32" s="1202"/>
      <c r="F32" s="1202"/>
      <c r="G32" s="1202"/>
      <c r="H32" s="1202"/>
      <c r="I32" s="1202"/>
      <c r="J32" s="1203"/>
      <c r="L32" s="245" t="s">
        <v>20</v>
      </c>
      <c r="N32" s="245" t="s">
        <v>20</v>
      </c>
    </row>
    <row r="33" spans="1:15" x14ac:dyDescent="0.25">
      <c r="C33" s="247">
        <f t="shared" ref="C33:J33" si="5">+C18</f>
        <v>2017</v>
      </c>
      <c r="D33" s="247">
        <f t="shared" si="5"/>
        <v>2018</v>
      </c>
      <c r="E33" s="247">
        <f t="shared" si="5"/>
        <v>2019</v>
      </c>
      <c r="F33" s="247">
        <f t="shared" si="5"/>
        <v>2020</v>
      </c>
      <c r="G33" s="247">
        <f t="shared" si="5"/>
        <v>2021</v>
      </c>
      <c r="H33" s="809">
        <f t="shared" si="5"/>
        <v>2022</v>
      </c>
      <c r="I33" s="809">
        <f t="shared" si="5"/>
        <v>2023</v>
      </c>
      <c r="J33" s="809">
        <f t="shared" si="5"/>
        <v>2024</v>
      </c>
      <c r="L33" s="248" t="s">
        <v>23</v>
      </c>
      <c r="N33" s="248" t="s">
        <v>24</v>
      </c>
    </row>
    <row r="34" spans="1:15" ht="12.75" customHeight="1" x14ac:dyDescent="0.25">
      <c r="A34" s="1214" t="s">
        <v>113</v>
      </c>
      <c r="B34" s="269">
        <f t="shared" ref="B34:B41" si="6">+B19</f>
        <v>2017</v>
      </c>
      <c r="C34" s="563"/>
      <c r="D34" s="270"/>
      <c r="E34" s="270"/>
      <c r="F34" s="270"/>
      <c r="G34" s="270"/>
      <c r="H34" s="819"/>
      <c r="I34" s="819"/>
      <c r="J34" s="821"/>
      <c r="K34" s="252"/>
      <c r="L34" s="253">
        <f t="shared" ref="L34:L41" si="7">SUM(C34:J34)</f>
        <v>0</v>
      </c>
      <c r="M34" s="252"/>
      <c r="N34" s="272">
        <f t="shared" ref="N34:N41" si="8">SUM(L19,L34)</f>
        <v>0</v>
      </c>
    </row>
    <row r="35" spans="1:15" ht="12.75" customHeight="1" x14ac:dyDescent="0.25">
      <c r="A35" s="1215"/>
      <c r="B35" s="273">
        <f t="shared" si="6"/>
        <v>2018</v>
      </c>
      <c r="C35" s="563"/>
      <c r="D35" s="270"/>
      <c r="E35" s="270"/>
      <c r="F35" s="270"/>
      <c r="G35" s="270"/>
      <c r="H35" s="819"/>
      <c r="I35" s="819"/>
      <c r="J35" s="821"/>
      <c r="K35" s="252"/>
      <c r="L35" s="253">
        <f t="shared" si="7"/>
        <v>0</v>
      </c>
      <c r="M35" s="252"/>
      <c r="N35" s="272">
        <f t="shared" si="8"/>
        <v>0</v>
      </c>
    </row>
    <row r="36" spans="1:15" ht="12.75" customHeight="1" x14ac:dyDescent="0.25">
      <c r="A36" s="1215" t="s">
        <v>25</v>
      </c>
      <c r="B36" s="273">
        <f t="shared" si="6"/>
        <v>2019</v>
      </c>
      <c r="C36" s="255">
        <f>+I66</f>
        <v>0</v>
      </c>
      <c r="D36" s="270"/>
      <c r="E36" s="270"/>
      <c r="F36" s="270"/>
      <c r="G36" s="270"/>
      <c r="H36" s="819"/>
      <c r="I36" s="819"/>
      <c r="J36" s="821"/>
      <c r="K36" s="252"/>
      <c r="L36" s="253">
        <f t="shared" si="7"/>
        <v>0</v>
      </c>
      <c r="M36" s="252"/>
      <c r="N36" s="272">
        <f t="shared" si="8"/>
        <v>0</v>
      </c>
    </row>
    <row r="37" spans="1:15" ht="12.75" customHeight="1" x14ac:dyDescent="0.25">
      <c r="A37" s="1215"/>
      <c r="B37" s="273">
        <f t="shared" si="6"/>
        <v>2020</v>
      </c>
      <c r="C37" s="255">
        <f>+K71</f>
        <v>0</v>
      </c>
      <c r="D37" s="255">
        <f>+K72</f>
        <v>0</v>
      </c>
      <c r="E37" s="270"/>
      <c r="F37" s="270"/>
      <c r="G37" s="270"/>
      <c r="H37" s="819"/>
      <c r="I37" s="819"/>
      <c r="J37" s="821"/>
      <c r="K37" s="252"/>
      <c r="L37" s="253">
        <f t="shared" si="7"/>
        <v>0</v>
      </c>
      <c r="M37" s="252"/>
      <c r="N37" s="272">
        <f t="shared" si="8"/>
        <v>0</v>
      </c>
    </row>
    <row r="38" spans="1:15" ht="12.75" customHeight="1" x14ac:dyDescent="0.25">
      <c r="A38" s="1215"/>
      <c r="B38" s="273">
        <f t="shared" si="6"/>
        <v>2021</v>
      </c>
      <c r="C38" s="255">
        <f>+G78</f>
        <v>0</v>
      </c>
      <c r="D38" s="255">
        <f>+G79</f>
        <v>0</v>
      </c>
      <c r="E38" s="255">
        <f>+G80</f>
        <v>0</v>
      </c>
      <c r="F38" s="270"/>
      <c r="G38" s="270"/>
      <c r="H38" s="819"/>
      <c r="I38" s="819"/>
      <c r="J38" s="821"/>
      <c r="K38" s="252"/>
      <c r="L38" s="253">
        <f t="shared" si="7"/>
        <v>0</v>
      </c>
      <c r="M38" s="252"/>
      <c r="N38" s="272">
        <f t="shared" si="8"/>
        <v>0</v>
      </c>
      <c r="O38" s="244" t="s">
        <v>27</v>
      </c>
    </row>
    <row r="39" spans="1:15" ht="12.75" customHeight="1" x14ac:dyDescent="0.25">
      <c r="A39" s="1215"/>
      <c r="B39" s="875">
        <f t="shared" si="6"/>
        <v>2022</v>
      </c>
      <c r="C39" s="565">
        <f>+G86</f>
        <v>0</v>
      </c>
      <c r="D39" s="565">
        <f>+G87</f>
        <v>0</v>
      </c>
      <c r="E39" s="565">
        <f>+G88</f>
        <v>0</v>
      </c>
      <c r="F39" s="565">
        <f>+G89</f>
        <v>0</v>
      </c>
      <c r="G39" s="819"/>
      <c r="H39" s="819"/>
      <c r="I39" s="819"/>
      <c r="J39" s="821"/>
      <c r="K39" s="826"/>
      <c r="L39" s="827">
        <f t="shared" si="7"/>
        <v>0</v>
      </c>
      <c r="M39" s="826"/>
      <c r="N39" s="854">
        <f t="shared" si="8"/>
        <v>0</v>
      </c>
    </row>
    <row r="40" spans="1:15" ht="12.75" customHeight="1" x14ac:dyDescent="0.25">
      <c r="A40" s="1215"/>
      <c r="B40" s="875">
        <f t="shared" si="6"/>
        <v>2023</v>
      </c>
      <c r="C40" s="819"/>
      <c r="D40" s="819"/>
      <c r="E40" s="819"/>
      <c r="F40" s="565">
        <f>+G95</f>
        <v>0</v>
      </c>
      <c r="G40" s="565">
        <f>+G96</f>
        <v>0</v>
      </c>
      <c r="H40" s="819"/>
      <c r="I40" s="819"/>
      <c r="J40" s="821"/>
      <c r="K40" s="826"/>
      <c r="L40" s="827">
        <f t="shared" si="7"/>
        <v>0</v>
      </c>
      <c r="M40" s="826"/>
      <c r="N40" s="854">
        <f t="shared" si="8"/>
        <v>0</v>
      </c>
    </row>
    <row r="41" spans="1:15" ht="12.75" customHeight="1" x14ac:dyDescent="0.25">
      <c r="A41" s="1215"/>
      <c r="B41" s="875">
        <f t="shared" si="6"/>
        <v>2024</v>
      </c>
      <c r="C41" s="819"/>
      <c r="D41" s="819"/>
      <c r="E41" s="819"/>
      <c r="F41" s="819"/>
      <c r="G41" s="565">
        <f>+G102</f>
        <v>0</v>
      </c>
      <c r="H41" s="565">
        <f>+G103</f>
        <v>0</v>
      </c>
      <c r="I41" s="819"/>
      <c r="J41" s="821"/>
      <c r="K41" s="826"/>
      <c r="L41" s="827">
        <f t="shared" si="7"/>
        <v>0</v>
      </c>
      <c r="M41" s="826"/>
      <c r="N41" s="854">
        <f t="shared" si="8"/>
        <v>0</v>
      </c>
      <c r="O41" s="244"/>
    </row>
    <row r="42" spans="1:15" s="264" customFormat="1" ht="16.5" customHeight="1" x14ac:dyDescent="0.25">
      <c r="A42" s="1273"/>
      <c r="B42" s="331" t="s">
        <v>22</v>
      </c>
      <c r="C42" s="275">
        <f>SUM(C34:C41)</f>
        <v>0</v>
      </c>
      <c r="D42" s="275">
        <f>SUM(D34:D41)</f>
        <v>0</v>
      </c>
      <c r="E42" s="275">
        <f>SUM(E34:E41)</f>
        <v>0</v>
      </c>
      <c r="F42" s="275">
        <f>SUM(F34:F41)</f>
        <v>0</v>
      </c>
      <c r="G42" s="275">
        <f>SUM(G34:G41)</f>
        <v>0</v>
      </c>
      <c r="H42" s="865">
        <f t="shared" ref="H42:I42" si="9">SUM(H34:H41)</f>
        <v>0</v>
      </c>
      <c r="I42" s="865">
        <f t="shared" si="9"/>
        <v>0</v>
      </c>
      <c r="J42" s="865">
        <f>SUM(J34:J41)</f>
        <v>0</v>
      </c>
      <c r="K42" s="252"/>
      <c r="L42" s="263">
        <f>SUM(L34:L41)</f>
        <v>0</v>
      </c>
      <c r="M42" s="262"/>
      <c r="N42" s="263">
        <f>SUM(N34:N41)</f>
        <v>0</v>
      </c>
    </row>
    <row r="43" spans="1:15" x14ac:dyDescent="0.25">
      <c r="K43" s="252"/>
    </row>
    <row r="44" spans="1:15" ht="13" thickBot="1" x14ac:dyDescent="0.3">
      <c r="K44" s="252"/>
    </row>
    <row r="45" spans="1:15" ht="21.75" customHeight="1" thickBot="1" x14ac:dyDescent="0.3">
      <c r="A45" s="1217" t="s">
        <v>175</v>
      </c>
      <c r="B45" s="1218"/>
      <c r="C45" s="1218"/>
      <c r="D45" s="1218"/>
      <c r="E45" s="1218"/>
      <c r="F45" s="1218"/>
      <c r="G45" s="1218"/>
      <c r="H45" s="1218"/>
      <c r="I45" s="1218"/>
      <c r="J45" s="1218"/>
      <c r="K45" s="1218"/>
      <c r="L45" s="1218"/>
      <c r="M45" s="1218"/>
      <c r="N45" s="1219"/>
    </row>
    <row r="47" spans="1:15" ht="13" x14ac:dyDescent="0.25">
      <c r="C47" s="241" t="s">
        <v>164</v>
      </c>
    </row>
    <row r="48" spans="1:15" ht="13" x14ac:dyDescent="0.25">
      <c r="C48" s="241" t="s">
        <v>29</v>
      </c>
    </row>
    <row r="49" spans="1:15" ht="16.5" x14ac:dyDescent="0.25">
      <c r="C49" s="1210" t="s">
        <v>19</v>
      </c>
      <c r="D49" s="1211"/>
      <c r="E49" s="1211"/>
      <c r="F49" s="1211"/>
      <c r="G49" s="1211"/>
      <c r="H49" s="1211"/>
      <c r="I49" s="1211"/>
      <c r="J49" s="1212"/>
    </row>
    <row r="50" spans="1:15" x14ac:dyDescent="0.25">
      <c r="C50" s="247">
        <f>+C33</f>
        <v>2017</v>
      </c>
      <c r="D50" s="247">
        <f>+D33</f>
        <v>2018</v>
      </c>
      <c r="E50" s="247">
        <f>+E33</f>
        <v>2019</v>
      </c>
      <c r="F50" s="247">
        <f>+F33</f>
        <v>2020</v>
      </c>
      <c r="G50" s="247">
        <f>+G33</f>
        <v>2021</v>
      </c>
      <c r="H50" s="809">
        <f t="shared" ref="H50:I50" si="10">+H33</f>
        <v>2022</v>
      </c>
      <c r="I50" s="809">
        <f t="shared" si="10"/>
        <v>2023</v>
      </c>
      <c r="J50" s="809">
        <f>+J33</f>
        <v>2024</v>
      </c>
      <c r="L50" s="93" t="s">
        <v>20</v>
      </c>
    </row>
    <row r="51" spans="1:15" ht="13.5" customHeight="1" x14ac:dyDescent="0.25">
      <c r="A51" s="1204" t="s">
        <v>167</v>
      </c>
      <c r="B51" s="276">
        <f t="shared" ref="B51:B58" si="11">+B34</f>
        <v>2017</v>
      </c>
      <c r="C51" s="255">
        <f>+C19</f>
        <v>0</v>
      </c>
      <c r="D51" s="277"/>
      <c r="E51" s="270"/>
      <c r="F51" s="270"/>
      <c r="G51" s="270"/>
      <c r="H51" s="819"/>
      <c r="I51" s="819"/>
      <c r="J51" s="821"/>
      <c r="L51" s="278">
        <f t="shared" ref="L51:L58" si="12">SUM(C51:J51)</f>
        <v>0</v>
      </c>
    </row>
    <row r="52" spans="1:15" ht="13.5" customHeight="1" x14ac:dyDescent="0.25">
      <c r="A52" s="1205"/>
      <c r="B52" s="247">
        <f t="shared" si="11"/>
        <v>2018</v>
      </c>
      <c r="C52" s="255">
        <f>+C51+C35+C20</f>
        <v>0</v>
      </c>
      <c r="D52" s="255">
        <f>+D20</f>
        <v>0</v>
      </c>
      <c r="E52" s="279"/>
      <c r="F52" s="279"/>
      <c r="G52" s="279"/>
      <c r="H52" s="823"/>
      <c r="I52" s="823"/>
      <c r="J52" s="824"/>
      <c r="L52" s="278">
        <f t="shared" si="12"/>
        <v>0</v>
      </c>
    </row>
    <row r="53" spans="1:15" ht="13.5" customHeight="1" x14ac:dyDescent="0.25">
      <c r="A53" s="1205"/>
      <c r="B53" s="247">
        <f t="shared" si="11"/>
        <v>2019</v>
      </c>
      <c r="C53" s="255">
        <f>+C52+C36+C21</f>
        <v>0</v>
      </c>
      <c r="D53" s="255">
        <f>+D52+D36+D21</f>
        <v>0</v>
      </c>
      <c r="E53" s="255">
        <f>+E21</f>
        <v>0</v>
      </c>
      <c r="F53" s="270"/>
      <c r="G53" s="270"/>
      <c r="H53" s="819"/>
      <c r="I53" s="819"/>
      <c r="J53" s="824"/>
      <c r="L53" s="278">
        <f t="shared" si="12"/>
        <v>0</v>
      </c>
    </row>
    <row r="54" spans="1:15" ht="13.5" customHeight="1" x14ac:dyDescent="0.25">
      <c r="A54" s="1205"/>
      <c r="B54" s="247">
        <f t="shared" si="11"/>
        <v>2020</v>
      </c>
      <c r="C54" s="255">
        <f>+C53+C37+C22</f>
        <v>0</v>
      </c>
      <c r="D54" s="255">
        <f>+D53+D37+D22</f>
        <v>0</v>
      </c>
      <c r="E54" s="255">
        <f>+E53+E37+E22</f>
        <v>0</v>
      </c>
      <c r="F54" s="255">
        <f>+F22</f>
        <v>0</v>
      </c>
      <c r="G54" s="270"/>
      <c r="H54" s="819"/>
      <c r="I54" s="819"/>
      <c r="J54" s="824"/>
      <c r="L54" s="278">
        <f t="shared" si="12"/>
        <v>0</v>
      </c>
    </row>
    <row r="55" spans="1:15" ht="13.5" customHeight="1" x14ac:dyDescent="0.25">
      <c r="A55" s="1205"/>
      <c r="B55" s="247">
        <f t="shared" si="11"/>
        <v>2021</v>
      </c>
      <c r="C55" s="255">
        <f>+C54+C38+C23</f>
        <v>0</v>
      </c>
      <c r="D55" s="255">
        <f>+D54+D38+D23</f>
        <v>0</v>
      </c>
      <c r="E55" s="255">
        <f>+E54+E38+E23</f>
        <v>0</v>
      </c>
      <c r="F55" s="255">
        <f>+F54+F38+F23</f>
        <v>0</v>
      </c>
      <c r="G55" s="255">
        <f>+G23</f>
        <v>0</v>
      </c>
      <c r="H55" s="819"/>
      <c r="I55" s="819"/>
      <c r="J55" s="824"/>
      <c r="L55" s="278">
        <f t="shared" si="12"/>
        <v>0</v>
      </c>
    </row>
    <row r="56" spans="1:15" ht="13.5" customHeight="1" x14ac:dyDescent="0.25">
      <c r="A56" s="1205"/>
      <c r="B56" s="809">
        <f t="shared" si="11"/>
        <v>2022</v>
      </c>
      <c r="C56" s="565">
        <f>+C55+C39+C24</f>
        <v>0</v>
      </c>
      <c r="D56" s="565">
        <f>+D55+D39+D24</f>
        <v>0</v>
      </c>
      <c r="E56" s="565">
        <f>+E55+E39+E24</f>
        <v>0</v>
      </c>
      <c r="F56" s="565">
        <f>+F55+F39+F24</f>
        <v>0</v>
      </c>
      <c r="G56" s="565">
        <f>+G55+G39+G24</f>
        <v>0</v>
      </c>
      <c r="H56" s="565">
        <f>+H24</f>
        <v>0</v>
      </c>
      <c r="I56" s="819"/>
      <c r="J56" s="824"/>
      <c r="K56" s="830"/>
      <c r="L56" s="831">
        <f t="shared" si="12"/>
        <v>0</v>
      </c>
    </row>
    <row r="57" spans="1:15" ht="13.5" customHeight="1" x14ac:dyDescent="0.25">
      <c r="A57" s="1205"/>
      <c r="B57" s="809">
        <f t="shared" si="11"/>
        <v>2023</v>
      </c>
      <c r="C57" s="872"/>
      <c r="D57" s="819"/>
      <c r="E57" s="819"/>
      <c r="F57" s="565">
        <f>+F56+F40+F25</f>
        <v>0</v>
      </c>
      <c r="G57" s="565">
        <f>+G56+G40+G25</f>
        <v>0</v>
      </c>
      <c r="H57" s="565">
        <f>+H56+H40+H25</f>
        <v>0</v>
      </c>
      <c r="I57" s="565">
        <f>+I25</f>
        <v>0</v>
      </c>
      <c r="J57" s="821"/>
      <c r="K57" s="830"/>
      <c r="L57" s="831">
        <f t="shared" si="12"/>
        <v>0</v>
      </c>
    </row>
    <row r="58" spans="1:15" ht="13.5" customHeight="1" x14ac:dyDescent="0.25">
      <c r="A58" s="1206"/>
      <c r="B58" s="809">
        <f t="shared" si="11"/>
        <v>2024</v>
      </c>
      <c r="C58" s="873"/>
      <c r="D58" s="874"/>
      <c r="E58" s="874"/>
      <c r="F58" s="874"/>
      <c r="G58" s="565">
        <f>+G57+G41+G26</f>
        <v>0</v>
      </c>
      <c r="H58" s="565">
        <f>+H57+H41+H26</f>
        <v>0</v>
      </c>
      <c r="I58" s="565">
        <f>+I57+I41+I26</f>
        <v>0</v>
      </c>
      <c r="J58" s="565">
        <f>+J26</f>
        <v>0</v>
      </c>
      <c r="K58" s="830"/>
      <c r="L58" s="831">
        <f t="shared" si="12"/>
        <v>0</v>
      </c>
    </row>
    <row r="59" spans="1:15" ht="13" x14ac:dyDescent="0.25">
      <c r="C59" s="241"/>
    </row>
    <row r="60" spans="1:15" ht="13.5" thickBot="1" x14ac:dyDescent="0.3">
      <c r="C60" s="241"/>
    </row>
    <row r="61" spans="1:15" ht="22.5" customHeight="1" thickBot="1" x14ac:dyDescent="0.3">
      <c r="A61" s="1217" t="s">
        <v>176</v>
      </c>
      <c r="B61" s="1218"/>
      <c r="C61" s="1218"/>
      <c r="D61" s="1218"/>
      <c r="E61" s="1218"/>
      <c r="F61" s="1218"/>
      <c r="G61" s="1218"/>
      <c r="H61" s="1218"/>
      <c r="I61" s="1218"/>
      <c r="J61" s="1218"/>
      <c r="K61" s="1218"/>
      <c r="L61" s="1218"/>
      <c r="M61" s="1218"/>
      <c r="N61" s="1219"/>
      <c r="O61" s="179"/>
    </row>
    <row r="62" spans="1:15" x14ac:dyDescent="0.25">
      <c r="A62" s="167"/>
      <c r="B62" s="167"/>
      <c r="C62" s="167"/>
      <c r="D62" s="167"/>
      <c r="E62" s="167"/>
      <c r="F62" s="167"/>
      <c r="G62" s="167"/>
      <c r="H62" s="167"/>
      <c r="I62" s="167"/>
      <c r="J62" s="167"/>
      <c r="K62" s="167"/>
      <c r="L62" s="212"/>
      <c r="M62" s="167"/>
    </row>
    <row r="63" spans="1:15" ht="13" x14ac:dyDescent="0.25">
      <c r="A63" s="281" t="s">
        <v>172</v>
      </c>
      <c r="B63" s="167"/>
      <c r="C63" s="167"/>
      <c r="D63" s="167"/>
      <c r="E63" s="1000">
        <v>2019</v>
      </c>
      <c r="F63" s="167"/>
      <c r="G63" s="167"/>
      <c r="H63" s="167"/>
      <c r="I63" s="167"/>
      <c r="J63" s="167"/>
      <c r="K63" s="167"/>
      <c r="L63" s="212"/>
      <c r="M63" s="167"/>
    </row>
    <row r="64" spans="1:15" x14ac:dyDescent="0.25">
      <c r="A64" s="167"/>
      <c r="B64" s="167"/>
      <c r="C64" s="167"/>
      <c r="D64" s="167"/>
      <c r="E64" s="167"/>
      <c r="F64" s="167"/>
      <c r="G64" s="167"/>
      <c r="H64" s="167"/>
      <c r="I64" s="167"/>
      <c r="J64" s="167"/>
      <c r="K64" s="212"/>
      <c r="L64" s="167"/>
      <c r="M64" s="167"/>
    </row>
    <row r="65" spans="1:13" ht="107.15" customHeight="1" x14ac:dyDescent="0.25">
      <c r="A65" s="1231" t="s">
        <v>173</v>
      </c>
      <c r="B65" s="1232"/>
      <c r="C65" s="1232"/>
      <c r="D65" s="1233"/>
      <c r="E65" s="282"/>
      <c r="F65" s="166" t="str">
        <f>"Nog af te bouwen regulatoir saldo einde "&amp;E63-1</f>
        <v>Nog af te bouwen regulatoir saldo einde 2018</v>
      </c>
      <c r="G65" s="166" t="str">
        <f>"Afbouw oudste openstaande regulatoir saldo vanaf boekjaar "&amp;E63-3&amp;" en vroeger, door aanwending van compensatie met regulatoir saldo ontstaan over boekjaar "&amp;E63-2</f>
        <v>Afbouw oudste openstaande regulatoir saldo vanaf boekjaar 2016 en vroeger, door aanwending van compensatie met regulatoir saldo ontstaan over boekjaar 2017</v>
      </c>
      <c r="H65" s="166" t="str">
        <f>"Nog af te bouwen regulatoir saldo na compensatie einde "&amp;E63-1</f>
        <v>Nog af te bouwen regulatoir saldo na compensatie einde 2018</v>
      </c>
      <c r="I65" s="166" t="str">
        <f>"Aanwending van 100% van het regulatoir saldo door te rekenen volgens de tariefmethodologie in het boekjaar "&amp;E63</f>
        <v>Aanwending van 100% van het regulatoir saldo door te rekenen volgens de tariefmethodologie in het boekjaar 2019</v>
      </c>
      <c r="J65" s="166" t="str">
        <f>"Nog af te bouwen regulatoir saldo einde "&amp;E63</f>
        <v>Nog af te bouwen regulatoir saldo einde 2019</v>
      </c>
      <c r="K65" s="212"/>
      <c r="L65" s="167"/>
      <c r="M65" s="167"/>
    </row>
    <row r="66" spans="1:13" ht="13" x14ac:dyDescent="0.25">
      <c r="A66" s="1228">
        <v>2017</v>
      </c>
      <c r="B66" s="1229"/>
      <c r="C66" s="1229"/>
      <c r="D66" s="1230"/>
      <c r="E66" s="283"/>
      <c r="F66" s="177">
        <f>+C19+C20</f>
        <v>0</v>
      </c>
      <c r="G66" s="1036">
        <v>0</v>
      </c>
      <c r="H66" s="177">
        <f>+F66+G66</f>
        <v>0</v>
      </c>
      <c r="I66" s="177">
        <f>-H66*1</f>
        <v>0</v>
      </c>
      <c r="J66" s="1001">
        <f>+I66+F66</f>
        <v>0</v>
      </c>
      <c r="K66" s="212"/>
      <c r="L66" s="167"/>
      <c r="M66" s="167"/>
    </row>
    <row r="67" spans="1:13" x14ac:dyDescent="0.25">
      <c r="A67" s="167"/>
      <c r="B67" s="167"/>
      <c r="C67" s="167"/>
      <c r="D67" s="167"/>
      <c r="E67" s="167"/>
      <c r="F67" s="167"/>
      <c r="G67" s="167"/>
      <c r="H67" s="167"/>
      <c r="I67" s="167"/>
      <c r="J67" s="167"/>
      <c r="K67" s="212"/>
      <c r="L67" s="167"/>
      <c r="M67" s="167"/>
    </row>
    <row r="68" spans="1:13" ht="13" x14ac:dyDescent="0.25">
      <c r="A68" s="281" t="s">
        <v>172</v>
      </c>
      <c r="B68" s="167"/>
      <c r="C68" s="167"/>
      <c r="D68" s="167"/>
      <c r="E68" s="1000">
        <v>2020</v>
      </c>
      <c r="F68" s="167"/>
      <c r="G68" s="167"/>
      <c r="H68" s="167"/>
      <c r="I68" s="167"/>
      <c r="J68" s="167"/>
      <c r="K68" s="167"/>
      <c r="L68" s="212"/>
      <c r="M68" s="167"/>
    </row>
    <row r="69" spans="1:13" x14ac:dyDescent="0.25">
      <c r="A69" s="167"/>
      <c r="B69" s="167"/>
      <c r="C69" s="167"/>
      <c r="D69" s="167"/>
      <c r="E69" s="167"/>
      <c r="F69" s="167"/>
      <c r="G69" s="167"/>
      <c r="H69" s="167"/>
      <c r="I69" s="167"/>
      <c r="J69" s="167"/>
      <c r="K69" s="167"/>
      <c r="L69" s="212"/>
      <c r="M69" s="167"/>
    </row>
    <row r="70" spans="1:13" ht="107.15" customHeight="1" x14ac:dyDescent="0.25">
      <c r="A70" s="1231" t="s">
        <v>173</v>
      </c>
      <c r="B70" s="1232"/>
      <c r="C70" s="1232"/>
      <c r="D70" s="1233"/>
      <c r="E70" s="282"/>
      <c r="F70" s="166" t="str">
        <f>"Nog af te bouwen regulatoir saldo einde "&amp;E68-1</f>
        <v>Nog af te bouwen regulatoir saldo einde 2019</v>
      </c>
      <c r="G70" s="166" t="str">
        <f>"Afbouw oudste openstaande regulatoir saldo vanaf boekjaar "&amp;E68-3&amp;" en vroeger, door aanwending van compensatie met regulatoir saldo ontstaan over boekjaar "&amp;E68-2</f>
        <v>Afbouw oudste openstaande regulatoir saldo vanaf boekjaar 2017 en vroeger, door aanwending van compensatie met regulatoir saldo ontstaan over boekjaar 2018</v>
      </c>
      <c r="H70" s="166" t="str">
        <f>"Nog af te bouwen regulatoir saldo na compensatie einde "&amp;E68-1</f>
        <v>Nog af te bouwen regulatoir saldo na compensatie einde 2019</v>
      </c>
      <c r="I70" s="166" t="str">
        <f>"100% van het regulatoir saldo door te rekenen volgens de tariefmethodologie in het boekjaar "&amp;E68</f>
        <v>100% van het regulatoir saldo door te rekenen volgens de tariefmethodologie in het boekjaar 2020</v>
      </c>
      <c r="J70" s="166" t="str">
        <f>"Aanwending van 100% van het regulatoir saldo door te rekenen volgens de tariefmethodologie in het boekjaar "&amp;E68</f>
        <v>Aanwending van 100% van het regulatoir saldo door te rekenen volgens de tariefmethodologie in het boekjaar 2020</v>
      </c>
      <c r="K70" s="166" t="str">
        <f>"Totale afbouw over "&amp;E68</f>
        <v>Totale afbouw over 2020</v>
      </c>
      <c r="L70" s="166" t="str">
        <f>"Nog af te bouwen regulatoir saldo einde "&amp;E68</f>
        <v>Nog af te bouwen regulatoir saldo einde 2020</v>
      </c>
    </row>
    <row r="71" spans="1:13" ht="13" x14ac:dyDescent="0.25">
      <c r="A71" s="1228">
        <v>2017</v>
      </c>
      <c r="B71" s="1229"/>
      <c r="C71" s="1229"/>
      <c r="D71" s="1230"/>
      <c r="E71" s="283"/>
      <c r="F71" s="177">
        <f>J66</f>
        <v>0</v>
      </c>
      <c r="G71" s="1036">
        <f>IF(SIGN(F72*J66)&lt;0,IF(F71&lt;&gt;0,-SIGN(F71)*MIN(ABS(F72),ABS(F71)),0),0)</f>
        <v>0</v>
      </c>
      <c r="H71" s="177">
        <f>+F71+G71</f>
        <v>0</v>
      </c>
      <c r="I71" s="995"/>
      <c r="J71" s="1036">
        <f>-MIN(ABS(H71),ABS(I73))*SIGN(H71)</f>
        <v>0</v>
      </c>
      <c r="K71" s="1037">
        <f>+J71+G71</f>
        <v>0</v>
      </c>
      <c r="L71" s="177">
        <f>+H71+J71</f>
        <v>0</v>
      </c>
    </row>
    <row r="72" spans="1:13" ht="13" x14ac:dyDescent="0.25">
      <c r="A72" s="1228">
        <v>2018</v>
      </c>
      <c r="B72" s="1229"/>
      <c r="C72" s="1229"/>
      <c r="D72" s="1230"/>
      <c r="E72" s="283"/>
      <c r="F72" s="177">
        <f>+D20+D21</f>
        <v>0</v>
      </c>
      <c r="G72" s="1037">
        <f>IF(SIGN(F72*J66)&lt;0,-G71,0)</f>
        <v>0</v>
      </c>
      <c r="H72" s="177">
        <f>+F72+G72</f>
        <v>0</v>
      </c>
      <c r="I72" s="995"/>
      <c r="J72" s="1036">
        <f>-MIN(ABS(H72),ABS(I73-J71))*SIGN(H72)</f>
        <v>0</v>
      </c>
      <c r="K72" s="1037">
        <f>+J72+G72</f>
        <v>0</v>
      </c>
      <c r="L72" s="177">
        <f>+H72+J72</f>
        <v>0</v>
      </c>
    </row>
    <row r="73" spans="1:13" ht="13" x14ac:dyDescent="0.25">
      <c r="A73" s="281"/>
      <c r="B73" s="281"/>
      <c r="C73" s="281"/>
      <c r="D73" s="281"/>
      <c r="E73" s="281"/>
      <c r="F73" s="284">
        <f>SUM(F71:F72)</f>
        <v>0</v>
      </c>
      <c r="G73" s="284">
        <f>SUM(G71:G72)</f>
        <v>0</v>
      </c>
      <c r="H73" s="284">
        <f>SUM(H71:H72)</f>
        <v>0</v>
      </c>
      <c r="I73" s="284">
        <f>-H73*1</f>
        <v>0</v>
      </c>
      <c r="J73" s="285">
        <f>SUM(J71:J72)</f>
        <v>0</v>
      </c>
      <c r="K73" s="286"/>
      <c r="L73" s="284">
        <f>SUM(L71:L72)</f>
        <v>0</v>
      </c>
    </row>
    <row r="74" spans="1:13" s="167" customFormat="1" x14ac:dyDescent="0.25">
      <c r="H74" s="221"/>
    </row>
    <row r="75" spans="1:13" s="167" customFormat="1" ht="13" x14ac:dyDescent="0.25">
      <c r="A75" s="281" t="s">
        <v>172</v>
      </c>
      <c r="E75" s="1000">
        <v>2021</v>
      </c>
      <c r="G75" s="221"/>
    </row>
    <row r="76" spans="1:13" s="167" customFormat="1" x14ac:dyDescent="0.25">
      <c r="G76" s="221"/>
    </row>
    <row r="77" spans="1:13" s="167" customFormat="1" ht="107.15" customHeight="1" x14ac:dyDescent="0.25">
      <c r="A77" s="1231" t="s">
        <v>173</v>
      </c>
      <c r="B77" s="1232"/>
      <c r="C77" s="1232"/>
      <c r="D77" s="1233"/>
      <c r="E77" s="282"/>
      <c r="F77" s="166" t="str">
        <f>"Nog af te bouwen regulatoir saldo einde "&amp;E75-1</f>
        <v>Nog af te bouwen regulatoir saldo einde 2020</v>
      </c>
      <c r="G77" s="166" t="str">
        <f>"50% van het regulatoir saldo door te rekenen volgens de tariefmethodologie in het boekjaar "&amp;E75</f>
        <v>50% van het regulatoir saldo door te rekenen volgens de tariefmethodologie in het boekjaar 2021</v>
      </c>
      <c r="H77" s="166" t="str">
        <f>"Nog af te bouwen regulatoir saldo einde "&amp;E75</f>
        <v>Nog af te bouwen regulatoir saldo einde 2021</v>
      </c>
      <c r="I77" s="212"/>
    </row>
    <row r="78" spans="1:13" s="167" customFormat="1" ht="13" x14ac:dyDescent="0.25">
      <c r="A78" s="1228">
        <v>2017</v>
      </c>
      <c r="B78" s="1229"/>
      <c r="C78" s="1229">
        <v>2016</v>
      </c>
      <c r="D78" s="1230"/>
      <c r="E78" s="283"/>
      <c r="F78" s="177">
        <f>+L71</f>
        <v>0</v>
      </c>
      <c r="G78" s="566">
        <f t="shared" ref="G78:G80" si="13">-F78*0.5</f>
        <v>0</v>
      </c>
      <c r="H78" s="177">
        <f t="shared" ref="H78:H80" si="14">+F78+G78</f>
        <v>0</v>
      </c>
      <c r="I78" s="212"/>
    </row>
    <row r="79" spans="1:13" s="167" customFormat="1" ht="13" x14ac:dyDescent="0.25">
      <c r="A79" s="1228">
        <v>2018</v>
      </c>
      <c r="B79" s="1229"/>
      <c r="C79" s="1229"/>
      <c r="D79" s="1230"/>
      <c r="E79" s="283"/>
      <c r="F79" s="177">
        <f>+L72</f>
        <v>0</v>
      </c>
      <c r="G79" s="566">
        <f t="shared" si="13"/>
        <v>0</v>
      </c>
      <c r="H79" s="177">
        <f t="shared" si="14"/>
        <v>0</v>
      </c>
      <c r="I79" s="212"/>
    </row>
    <row r="80" spans="1:13" s="167" customFormat="1" ht="13" x14ac:dyDescent="0.25">
      <c r="A80" s="1228">
        <v>2019</v>
      </c>
      <c r="B80" s="1229"/>
      <c r="C80" s="1229"/>
      <c r="D80" s="1230"/>
      <c r="E80" s="283"/>
      <c r="F80" s="177">
        <f>+E21+E22</f>
        <v>0</v>
      </c>
      <c r="G80" s="566">
        <f t="shared" si="13"/>
        <v>0</v>
      </c>
      <c r="H80" s="177">
        <f t="shared" si="14"/>
        <v>0</v>
      </c>
      <c r="I80" s="212"/>
    </row>
    <row r="81" spans="1:9" s="281" customFormat="1" ht="13" x14ac:dyDescent="0.25">
      <c r="F81" s="284">
        <f>SUM(F78:F80)</f>
        <v>0</v>
      </c>
      <c r="G81" s="169">
        <f>SUM(G78:G80)</f>
        <v>0</v>
      </c>
      <c r="H81" s="284">
        <f>SUM(H78:H80)</f>
        <v>0</v>
      </c>
    </row>
    <row r="82" spans="1:9" s="167" customFormat="1" x14ac:dyDescent="0.25">
      <c r="G82" s="221"/>
    </row>
    <row r="83" spans="1:9" s="167" customFormat="1" ht="13" x14ac:dyDescent="0.25">
      <c r="A83" s="847" t="s">
        <v>172</v>
      </c>
      <c r="B83" s="842"/>
      <c r="C83" s="842"/>
      <c r="D83" s="842"/>
      <c r="E83" s="1004">
        <v>2022</v>
      </c>
      <c r="F83" s="842"/>
      <c r="G83" s="855"/>
      <c r="H83" s="842"/>
    </row>
    <row r="84" spans="1:9" s="167" customFormat="1" x14ac:dyDescent="0.25">
      <c r="A84" s="842"/>
      <c r="B84" s="842"/>
      <c r="C84" s="842"/>
      <c r="D84" s="842"/>
      <c r="E84" s="842"/>
      <c r="F84" s="842"/>
      <c r="G84" s="855"/>
      <c r="H84" s="842"/>
    </row>
    <row r="85" spans="1:9" s="167" customFormat="1" ht="107.15" customHeight="1" x14ac:dyDescent="0.25">
      <c r="A85" s="1237" t="s">
        <v>173</v>
      </c>
      <c r="B85" s="1238"/>
      <c r="C85" s="1238"/>
      <c r="D85" s="1239"/>
      <c r="E85" s="848"/>
      <c r="F85" s="837" t="str">
        <f>"Nog af te bouwen regulatoir saldo einde "&amp;E83-1</f>
        <v>Nog af te bouwen regulatoir saldo einde 2021</v>
      </c>
      <c r="G85" s="837" t="str">
        <f>"50% van het regulatoir saldo door te rekenen volgens de tariefmethodologie in het boekjaar "&amp;E83</f>
        <v>50% van het regulatoir saldo door te rekenen volgens de tariefmethodologie in het boekjaar 2022</v>
      </c>
      <c r="H85" s="837" t="str">
        <f>"Nog af te bouwen regulatoir saldo einde "&amp;E83</f>
        <v>Nog af te bouwen regulatoir saldo einde 2022</v>
      </c>
      <c r="I85" s="212"/>
    </row>
    <row r="86" spans="1:9" s="167" customFormat="1" ht="13" x14ac:dyDescent="0.25">
      <c r="A86" s="976">
        <v>2017</v>
      </c>
      <c r="B86" s="977"/>
      <c r="C86" s="977">
        <v>2016</v>
      </c>
      <c r="D86" s="978"/>
      <c r="E86" s="341"/>
      <c r="F86" s="339">
        <f>+H78</f>
        <v>0</v>
      </c>
      <c r="G86" s="568">
        <f>-F78*0.5</f>
        <v>0</v>
      </c>
      <c r="H86" s="339">
        <f t="shared" ref="H86:H89" si="15">+F86+G86</f>
        <v>0</v>
      </c>
      <c r="I86" s="212"/>
    </row>
    <row r="87" spans="1:9" s="167" customFormat="1" ht="13" x14ac:dyDescent="0.25">
      <c r="A87" s="1234">
        <v>2018</v>
      </c>
      <c r="B87" s="1235"/>
      <c r="C87" s="1235"/>
      <c r="D87" s="1236"/>
      <c r="E87" s="341"/>
      <c r="F87" s="339">
        <f>+H79</f>
        <v>0</v>
      </c>
      <c r="G87" s="568">
        <f>-F79*0.5</f>
        <v>0</v>
      </c>
      <c r="H87" s="339">
        <f t="shared" si="15"/>
        <v>0</v>
      </c>
      <c r="I87" s="212"/>
    </row>
    <row r="88" spans="1:9" s="167" customFormat="1" ht="13" x14ac:dyDescent="0.25">
      <c r="A88" s="1234">
        <v>2019</v>
      </c>
      <c r="B88" s="1235"/>
      <c r="C88" s="1235"/>
      <c r="D88" s="1236"/>
      <c r="E88" s="341"/>
      <c r="F88" s="339">
        <f>+H80</f>
        <v>0</v>
      </c>
      <c r="G88" s="568">
        <f>-F80*0.5</f>
        <v>0</v>
      </c>
      <c r="H88" s="339">
        <f t="shared" si="15"/>
        <v>0</v>
      </c>
      <c r="I88" s="212"/>
    </row>
    <row r="89" spans="1:9" s="167" customFormat="1" ht="13" x14ac:dyDescent="0.25">
      <c r="A89" s="1234">
        <v>2020</v>
      </c>
      <c r="B89" s="1235"/>
      <c r="C89" s="1235"/>
      <c r="D89" s="1236"/>
      <c r="E89" s="341"/>
      <c r="F89" s="339">
        <f>+F22+F23</f>
        <v>0</v>
      </c>
      <c r="G89" s="568">
        <f t="shared" ref="G89" si="16">-F89*0.5</f>
        <v>0</v>
      </c>
      <c r="H89" s="339">
        <f t="shared" si="15"/>
        <v>0</v>
      </c>
      <c r="I89" s="212"/>
    </row>
    <row r="90" spans="1:9" s="281" customFormat="1" ht="13" x14ac:dyDescent="0.25">
      <c r="A90" s="847"/>
      <c r="B90" s="847"/>
      <c r="C90" s="847"/>
      <c r="D90" s="847"/>
      <c r="E90" s="847"/>
      <c r="F90" s="849">
        <f>SUM(F86:F89)</f>
        <v>0</v>
      </c>
      <c r="G90" s="856">
        <f>SUM(G86:G89)</f>
        <v>0</v>
      </c>
      <c r="H90" s="849">
        <f>SUM(H86:H89)</f>
        <v>0</v>
      </c>
    </row>
    <row r="91" spans="1:9" s="167" customFormat="1" x14ac:dyDescent="0.25">
      <c r="A91" s="842"/>
      <c r="B91" s="842"/>
      <c r="C91" s="842"/>
      <c r="D91" s="842"/>
      <c r="E91" s="842"/>
      <c r="F91" s="842"/>
      <c r="G91" s="855"/>
      <c r="H91" s="842"/>
    </row>
    <row r="92" spans="1:9" s="167" customFormat="1" ht="13" x14ac:dyDescent="0.25">
      <c r="A92" s="847" t="s">
        <v>172</v>
      </c>
      <c r="B92" s="842"/>
      <c r="C92" s="842"/>
      <c r="D92" s="842"/>
      <c r="E92" s="1004">
        <v>2023</v>
      </c>
      <c r="F92" s="842"/>
      <c r="G92" s="855"/>
      <c r="H92" s="842"/>
    </row>
    <row r="93" spans="1:9" s="167" customFormat="1" x14ac:dyDescent="0.25">
      <c r="A93" s="842"/>
      <c r="B93" s="842"/>
      <c r="C93" s="842"/>
      <c r="D93" s="842"/>
      <c r="E93" s="842"/>
      <c r="F93" s="842"/>
      <c r="G93" s="855"/>
      <c r="H93" s="842"/>
    </row>
    <row r="94" spans="1:9" s="167" customFormat="1" ht="107.15" customHeight="1" x14ac:dyDescent="0.25">
      <c r="A94" s="1237" t="s">
        <v>173</v>
      </c>
      <c r="B94" s="1238"/>
      <c r="C94" s="1238"/>
      <c r="D94" s="1239"/>
      <c r="E94" s="848"/>
      <c r="F94" s="837" t="str">
        <f>"Nog af te bouwen regulatoir saldo einde "&amp;E92-1</f>
        <v>Nog af te bouwen regulatoir saldo einde 2022</v>
      </c>
      <c r="G94" s="837" t="str">
        <f>"50% van het regulatoir saldo door te rekenen volgens de tariefmethodologie in het boekjaar "&amp;E92</f>
        <v>50% van het regulatoir saldo door te rekenen volgens de tariefmethodologie in het boekjaar 2023</v>
      </c>
      <c r="H94" s="837" t="str">
        <f>"Nog af te bouwen regulatoir saldo einde "&amp;E92</f>
        <v>Nog af te bouwen regulatoir saldo einde 2023</v>
      </c>
      <c r="I94" s="212"/>
    </row>
    <row r="95" spans="1:9" s="167" customFormat="1" ht="13" x14ac:dyDescent="0.25">
      <c r="A95" s="1234">
        <v>2020</v>
      </c>
      <c r="B95" s="1235"/>
      <c r="C95" s="1235"/>
      <c r="D95" s="1236"/>
      <c r="E95" s="341"/>
      <c r="F95" s="339">
        <f>+H89</f>
        <v>0</v>
      </c>
      <c r="G95" s="568">
        <f>-F89*0.5</f>
        <v>0</v>
      </c>
      <c r="H95" s="339">
        <f t="shared" ref="H95:H96" si="17">+F95+G95</f>
        <v>0</v>
      </c>
      <c r="I95" s="212"/>
    </row>
    <row r="96" spans="1:9" s="167" customFormat="1" ht="13" x14ac:dyDescent="0.25">
      <c r="A96" s="1234">
        <v>2021</v>
      </c>
      <c r="B96" s="1235"/>
      <c r="C96" s="1235"/>
      <c r="D96" s="1236"/>
      <c r="E96" s="341"/>
      <c r="F96" s="339">
        <f>+G23+G24</f>
        <v>0</v>
      </c>
      <c r="G96" s="568">
        <f t="shared" ref="G96" si="18">-F96*0.5</f>
        <v>0</v>
      </c>
      <c r="H96" s="339">
        <f t="shared" si="17"/>
        <v>0</v>
      </c>
      <c r="I96" s="212"/>
    </row>
    <row r="97" spans="1:13" s="281" customFormat="1" ht="13" x14ac:dyDescent="0.25">
      <c r="A97" s="847"/>
      <c r="B97" s="847"/>
      <c r="C97" s="847"/>
      <c r="D97" s="847"/>
      <c r="E97" s="847"/>
      <c r="F97" s="849">
        <f>SUM(F95:F96)</f>
        <v>0</v>
      </c>
      <c r="G97" s="856">
        <f>SUM(G95:G96)</f>
        <v>0</v>
      </c>
      <c r="H97" s="849">
        <f>SUM(H95:H96)</f>
        <v>0</v>
      </c>
    </row>
    <row r="98" spans="1:13" s="167" customFormat="1" x14ac:dyDescent="0.25">
      <c r="A98" s="842"/>
      <c r="B98" s="842"/>
      <c r="C98" s="842"/>
      <c r="D98" s="842"/>
      <c r="E98" s="842"/>
      <c r="F98" s="842"/>
      <c r="G98" s="855"/>
      <c r="H98" s="842"/>
    </row>
    <row r="99" spans="1:13" s="167" customFormat="1" ht="13" x14ac:dyDescent="0.25">
      <c r="A99" s="847" t="s">
        <v>172</v>
      </c>
      <c r="B99" s="842"/>
      <c r="C99" s="842"/>
      <c r="D99" s="842"/>
      <c r="E99" s="1004">
        <v>2024</v>
      </c>
      <c r="F99" s="842"/>
      <c r="G99" s="855"/>
      <c r="H99" s="842"/>
    </row>
    <row r="100" spans="1:13" s="167" customFormat="1" x14ac:dyDescent="0.25">
      <c r="A100" s="842"/>
      <c r="B100" s="842"/>
      <c r="C100" s="842"/>
      <c r="D100" s="842"/>
      <c r="E100" s="842"/>
      <c r="F100" s="842"/>
      <c r="G100" s="855"/>
      <c r="H100" s="842"/>
    </row>
    <row r="101" spans="1:13" s="167" customFormat="1" ht="107.15" customHeight="1" x14ac:dyDescent="0.25">
      <c r="A101" s="1237" t="s">
        <v>173</v>
      </c>
      <c r="B101" s="1238"/>
      <c r="C101" s="1238"/>
      <c r="D101" s="1239"/>
      <c r="E101" s="848"/>
      <c r="F101" s="837" t="str">
        <f>"Nog af te bouwen regulatoir saldo einde "&amp;E99-1</f>
        <v>Nog af te bouwen regulatoir saldo einde 2023</v>
      </c>
      <c r="G101" s="837" t="str">
        <f>"50% van het regulatoir saldo door te rekenen volgens de tariefmethodologie in het boekjaar "&amp;E99</f>
        <v>50% van het regulatoir saldo door te rekenen volgens de tariefmethodologie in het boekjaar 2024</v>
      </c>
      <c r="H101" s="837" t="str">
        <f>"Nog af te bouwen regulatoir saldo einde "&amp;E99</f>
        <v>Nog af te bouwen regulatoir saldo einde 2024</v>
      </c>
      <c r="I101" s="212"/>
    </row>
    <row r="102" spans="1:13" s="167" customFormat="1" ht="13" x14ac:dyDescent="0.25">
      <c r="A102" s="1234">
        <v>2021</v>
      </c>
      <c r="B102" s="1235"/>
      <c r="C102" s="1235"/>
      <c r="D102" s="1236"/>
      <c r="E102" s="341"/>
      <c r="F102" s="339">
        <f>+H96</f>
        <v>0</v>
      </c>
      <c r="G102" s="568">
        <f>-F96*0.5</f>
        <v>0</v>
      </c>
      <c r="H102" s="339">
        <f t="shared" ref="H102:H103" si="19">+F102+G102</f>
        <v>0</v>
      </c>
      <c r="I102" s="212"/>
    </row>
    <row r="103" spans="1:13" s="167" customFormat="1" ht="13" x14ac:dyDescent="0.25">
      <c r="A103" s="1234">
        <v>2022</v>
      </c>
      <c r="B103" s="1235"/>
      <c r="C103" s="1235"/>
      <c r="D103" s="1236"/>
      <c r="E103" s="341"/>
      <c r="F103" s="339">
        <f>+H24+H25</f>
        <v>0</v>
      </c>
      <c r="G103" s="568">
        <f t="shared" ref="G103" si="20">-F103*0.5</f>
        <v>0</v>
      </c>
      <c r="H103" s="339">
        <f t="shared" si="19"/>
        <v>0</v>
      </c>
      <c r="I103" s="212"/>
    </row>
    <row r="104" spans="1:13" s="281" customFormat="1" ht="13" x14ac:dyDescent="0.25">
      <c r="A104" s="847"/>
      <c r="B104" s="847"/>
      <c r="C104" s="847"/>
      <c r="D104" s="847"/>
      <c r="E104" s="847"/>
      <c r="F104" s="849">
        <f>SUM(F102:F103)</f>
        <v>0</v>
      </c>
      <c r="G104" s="856">
        <f>SUM(G102:G103)</f>
        <v>0</v>
      </c>
      <c r="H104" s="849">
        <f>SUM(H102:H103)</f>
        <v>0</v>
      </c>
    </row>
    <row r="105" spans="1:13" x14ac:dyDescent="0.25">
      <c r="A105" s="167"/>
      <c r="B105" s="167"/>
      <c r="C105" s="167"/>
      <c r="D105" s="167"/>
      <c r="E105" s="167"/>
      <c r="F105" s="167"/>
      <c r="G105" s="167"/>
      <c r="H105" s="167"/>
      <c r="I105" s="167"/>
      <c r="J105" s="167"/>
      <c r="K105" s="209"/>
      <c r="L105" s="167"/>
    </row>
    <row r="106" spans="1:13" x14ac:dyDescent="0.25">
      <c r="A106" s="167"/>
      <c r="B106" s="167"/>
      <c r="C106" s="167"/>
      <c r="D106" s="167"/>
      <c r="E106" s="167"/>
      <c r="F106" s="167"/>
      <c r="G106" s="167"/>
      <c r="H106" s="167"/>
      <c r="I106" s="167"/>
      <c r="J106" s="167"/>
      <c r="K106" s="167"/>
      <c r="L106" s="209"/>
      <c r="M106" s="167"/>
    </row>
    <row r="107" spans="1:13" ht="13" x14ac:dyDescent="0.25">
      <c r="A107" s="281" t="s">
        <v>174</v>
      </c>
      <c r="B107" s="224"/>
      <c r="C107" s="224"/>
      <c r="D107" s="224"/>
      <c r="E107" s="167"/>
      <c r="F107" s="167"/>
      <c r="G107" s="167"/>
      <c r="H107" s="167"/>
      <c r="I107" s="167"/>
      <c r="J107" s="167"/>
      <c r="K107" s="167"/>
      <c r="L107" s="209"/>
      <c r="M107" s="167"/>
    </row>
    <row r="108" spans="1:13" ht="13" x14ac:dyDescent="0.25">
      <c r="A108" s="281"/>
      <c r="B108" s="224"/>
      <c r="C108" s="224"/>
      <c r="D108" s="224"/>
      <c r="E108" s="167"/>
      <c r="F108" s="167"/>
      <c r="G108" s="167"/>
      <c r="H108" s="167"/>
      <c r="I108" s="167"/>
      <c r="J108" s="167"/>
      <c r="K108" s="167"/>
      <c r="L108" s="209"/>
      <c r="M108" s="167"/>
    </row>
    <row r="109" spans="1:13" ht="13" x14ac:dyDescent="0.25">
      <c r="A109" s="283">
        <v>2021</v>
      </c>
      <c r="B109" s="287">
        <f>+G81</f>
        <v>0</v>
      </c>
      <c r="C109" s="224"/>
      <c r="D109" s="224"/>
      <c r="E109" s="167"/>
      <c r="F109" s="167"/>
      <c r="G109" s="167"/>
      <c r="H109" s="167"/>
      <c r="I109" s="167"/>
      <c r="J109" s="167"/>
      <c r="K109" s="167"/>
      <c r="L109" s="209"/>
      <c r="M109" s="167"/>
    </row>
    <row r="110" spans="1:13" ht="13" x14ac:dyDescent="0.25">
      <c r="A110" s="341">
        <v>2022</v>
      </c>
      <c r="B110" s="342">
        <f>+G90</f>
        <v>0</v>
      </c>
      <c r="C110" s="224"/>
      <c r="D110" s="224"/>
      <c r="E110" s="167"/>
      <c r="F110" s="167"/>
      <c r="G110" s="167"/>
      <c r="H110" s="167"/>
      <c r="I110" s="167"/>
      <c r="J110" s="167"/>
      <c r="K110" s="167"/>
      <c r="L110" s="209"/>
      <c r="M110" s="167"/>
    </row>
    <row r="111" spans="1:13" ht="13" x14ac:dyDescent="0.25">
      <c r="A111" s="341">
        <v>2023</v>
      </c>
      <c r="B111" s="342">
        <f>+G97</f>
        <v>0</v>
      </c>
    </row>
    <row r="112" spans="1:13" ht="13" x14ac:dyDescent="0.25">
      <c r="A112" s="341">
        <v>2024</v>
      </c>
      <c r="B112" s="342">
        <f>+G104</f>
        <v>0</v>
      </c>
    </row>
  </sheetData>
  <sheetProtection algorithmName="SHA-512" hashValue="QMmPhzxG3QIPg6MozHGKung6DHvsDWaVcwwcpPE5UMjvmxQzAEayl7mDyutauQ1AqcomjrSgS0OzAOMSpWxG4Q==" saltValue="pG1ua4JNiCNfRbAaQVIfvg==" spinCount="100000" sheet="1" objects="1" scenarios="1"/>
  <mergeCells count="32">
    <mergeCell ref="A96:D96"/>
    <mergeCell ref="A101:D101"/>
    <mergeCell ref="A102:D102"/>
    <mergeCell ref="A103:D103"/>
    <mergeCell ref="A87:D87"/>
    <mergeCell ref="A88:D88"/>
    <mergeCell ref="A89:D89"/>
    <mergeCell ref="A94:D94"/>
    <mergeCell ref="A95:D95"/>
    <mergeCell ref="A80:D80"/>
    <mergeCell ref="A85:D85"/>
    <mergeCell ref="A77:D77"/>
    <mergeCell ref="A78:D78"/>
    <mergeCell ref="A79:D79"/>
    <mergeCell ref="A72:D72"/>
    <mergeCell ref="A51:A58"/>
    <mergeCell ref="A18:B18"/>
    <mergeCell ref="A19:A27"/>
    <mergeCell ref="C32:J32"/>
    <mergeCell ref="A66:D66"/>
    <mergeCell ref="A70:D70"/>
    <mergeCell ref="A34:A42"/>
    <mergeCell ref="C49:J49"/>
    <mergeCell ref="A45:N45"/>
    <mergeCell ref="A61:N61"/>
    <mergeCell ref="A65:D65"/>
    <mergeCell ref="C6:J6"/>
    <mergeCell ref="C17:J17"/>
    <mergeCell ref="A1:L1"/>
    <mergeCell ref="A71:D71"/>
    <mergeCell ref="A13:N13"/>
    <mergeCell ref="A4:N4"/>
  </mergeCells>
  <pageMargins left="0.78740157480314965" right="0.78740157480314965" top="0.98425196850393704" bottom="0.98425196850393704" header="0.51181102362204722" footer="0.51181102362204722"/>
  <pageSetup paperSize="8" scale="92" orientation="landscape" r:id="rId1"/>
  <headerFooter alignWithMargins="0">
    <oddFooter>&amp;CPage &amp;P</oddFooter>
  </headerFooter>
  <ignoredErrors>
    <ignoredError sqref="L33 N33"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445D0-196C-44C7-8439-7ABE89B5AFED}">
  <sheetPr codeName="Blad19">
    <pageSetUpPr fitToPage="1"/>
  </sheetPr>
  <dimension ref="A1:M71"/>
  <sheetViews>
    <sheetView zoomScale="80" zoomScaleNormal="80" zoomScaleSheetLayoutView="80" workbookViewId="0">
      <selection activeCell="H25" sqref="H25"/>
    </sheetView>
  </sheetViews>
  <sheetFormatPr defaultColWidth="11.453125" defaultRowHeight="12.5" x14ac:dyDescent="0.25"/>
  <cols>
    <col min="1" max="1" width="25.453125" style="178" customWidth="1"/>
    <col min="2" max="2" width="14.26953125" style="178" customWidth="1"/>
    <col min="3" max="8" width="20.7265625" style="178" customWidth="1"/>
    <col min="9" max="9" width="20.26953125" style="178" customWidth="1"/>
    <col min="10" max="10" width="20.7265625" style="178" customWidth="1"/>
    <col min="11" max="11" width="28.7265625" style="178" bestFit="1" customWidth="1"/>
    <col min="12" max="12" width="14" style="178" customWidth="1"/>
    <col min="13" max="13" width="29.1796875" style="178" customWidth="1"/>
    <col min="14" max="14" width="12.26953125" style="178" bestFit="1" customWidth="1"/>
    <col min="15" max="16384" width="11.453125" style="178"/>
  </cols>
  <sheetData>
    <row r="1" spans="1:11" ht="21.75" customHeight="1" thickBot="1" x14ac:dyDescent="0.3">
      <c r="A1" s="1274" t="s">
        <v>286</v>
      </c>
      <c r="B1" s="1275"/>
      <c r="C1" s="1275"/>
      <c r="D1" s="1275"/>
      <c r="E1" s="1275"/>
      <c r="F1" s="1275"/>
      <c r="G1" s="1275"/>
      <c r="H1" s="1276"/>
      <c r="I1" s="220"/>
      <c r="J1" s="167"/>
      <c r="K1" s="229"/>
    </row>
    <row r="2" spans="1:11" x14ac:dyDescent="0.25">
      <c r="A2" s="233"/>
      <c r="B2" s="233"/>
      <c r="C2" s="233"/>
      <c r="D2" s="233"/>
      <c r="E2" s="233"/>
      <c r="F2" s="233"/>
      <c r="G2" s="233"/>
      <c r="H2" s="233"/>
      <c r="I2" s="220"/>
      <c r="J2" s="167"/>
      <c r="K2" s="233"/>
    </row>
    <row r="3" spans="1:11" ht="13" thickBot="1" x14ac:dyDescent="0.3">
      <c r="A3" s="233"/>
      <c r="B3" s="233"/>
      <c r="C3" s="233"/>
      <c r="D3" s="233"/>
      <c r="E3" s="233"/>
      <c r="F3" s="233"/>
      <c r="G3" s="233"/>
      <c r="H3" s="233"/>
      <c r="I3" s="220"/>
      <c r="J3" s="167"/>
      <c r="K3" s="233"/>
    </row>
    <row r="4" spans="1:11" ht="20.149999999999999" customHeight="1" thickBot="1" x14ac:dyDescent="0.3">
      <c r="A4" s="1217" t="s">
        <v>287</v>
      </c>
      <c r="B4" s="1218"/>
      <c r="C4" s="1218"/>
      <c r="D4" s="1218"/>
      <c r="E4" s="1218"/>
      <c r="F4" s="1218"/>
      <c r="G4" s="1218"/>
      <c r="H4" s="1218"/>
      <c r="I4" s="1218"/>
      <c r="J4" s="1219"/>
    </row>
    <row r="5" spans="1:11" ht="13" thickBot="1" x14ac:dyDescent="0.3"/>
    <row r="6" spans="1:11" ht="17" thickBot="1" x14ac:dyDescent="0.3">
      <c r="C6" s="1220"/>
      <c r="D6" s="1221"/>
      <c r="E6" s="1221"/>
      <c r="F6" s="1222"/>
    </row>
    <row r="7" spans="1:11" ht="13.5" thickBot="1" x14ac:dyDescent="0.3">
      <c r="C7" s="335">
        <v>2021</v>
      </c>
      <c r="D7" s="850">
        <f t="shared" ref="D7:F7" si="0">+C7+1</f>
        <v>2022</v>
      </c>
      <c r="E7" s="850">
        <f t="shared" si="0"/>
        <v>2023</v>
      </c>
      <c r="F7" s="850">
        <f t="shared" si="0"/>
        <v>2024</v>
      </c>
    </row>
    <row r="8" spans="1:11" x14ac:dyDescent="0.25">
      <c r="C8" s="986">
        <v>0</v>
      </c>
      <c r="D8" s="851">
        <v>0</v>
      </c>
      <c r="E8" s="851">
        <v>0</v>
      </c>
      <c r="F8" s="851">
        <v>0</v>
      </c>
    </row>
    <row r="9" spans="1:11" ht="13" x14ac:dyDescent="0.25">
      <c r="F9" s="242"/>
    </row>
    <row r="10" spans="1:11" ht="13" x14ac:dyDescent="0.25">
      <c r="B10" s="1038" t="str">
        <f>'T9 - Overzicht'!B6&amp;":"</f>
        <v>2021:</v>
      </c>
      <c r="C10" s="1039">
        <f>+IF('T9 - Overzicht'!C6="ex-ante",0,IF('T9 - Overzicht'!C6="ex-post",'T9 - Overzicht'!C38,"FOUT"))</f>
        <v>0</v>
      </c>
    </row>
    <row r="12" spans="1:11" ht="13" thickBot="1" x14ac:dyDescent="0.3"/>
    <row r="13" spans="1:11" ht="20.25" customHeight="1" thickBot="1" x14ac:dyDescent="0.3">
      <c r="A13" s="1217" t="s">
        <v>18</v>
      </c>
      <c r="B13" s="1218"/>
      <c r="C13" s="1218"/>
      <c r="D13" s="1218"/>
      <c r="E13" s="1218"/>
      <c r="F13" s="1218"/>
      <c r="G13" s="1218"/>
      <c r="H13" s="1218"/>
      <c r="I13" s="1218"/>
      <c r="J13" s="1219"/>
    </row>
    <row r="17" spans="1:11" ht="16.5" x14ac:dyDescent="0.25">
      <c r="C17" s="1210" t="s">
        <v>19</v>
      </c>
      <c r="D17" s="1211"/>
      <c r="E17" s="1211"/>
      <c r="F17" s="1212"/>
      <c r="H17" s="245" t="s">
        <v>20</v>
      </c>
    </row>
    <row r="18" spans="1:11" ht="13.5" thickBot="1" x14ac:dyDescent="0.3">
      <c r="A18" s="1213"/>
      <c r="B18" s="1213"/>
      <c r="C18" s="247">
        <f t="shared" ref="C18:E18" si="1">C7</f>
        <v>2021</v>
      </c>
      <c r="D18" s="809">
        <f t="shared" si="1"/>
        <v>2022</v>
      </c>
      <c r="E18" s="809">
        <f t="shared" si="1"/>
        <v>2023</v>
      </c>
      <c r="F18" s="809">
        <f>F7</f>
        <v>2024</v>
      </c>
      <c r="H18" s="248"/>
    </row>
    <row r="19" spans="1:11" ht="13" thickBot="1" x14ac:dyDescent="0.3">
      <c r="A19" s="1337" t="s">
        <v>288</v>
      </c>
      <c r="B19" s="290">
        <f>+C7</f>
        <v>2021</v>
      </c>
      <c r="C19" s="1040">
        <v>0</v>
      </c>
      <c r="D19" s="815"/>
      <c r="E19" s="815"/>
      <c r="F19" s="813"/>
      <c r="G19" s="252"/>
      <c r="H19" s="253">
        <f>SUM(C19:F19)</f>
        <v>0</v>
      </c>
    </row>
    <row r="20" spans="1:11" ht="13" thickBot="1" x14ac:dyDescent="0.3">
      <c r="A20" s="1338"/>
      <c r="B20" s="825">
        <f>+D7</f>
        <v>2022</v>
      </c>
      <c r="C20" s="867">
        <f>+C$8-C19</f>
        <v>0</v>
      </c>
      <c r="D20" s="861">
        <v>0</v>
      </c>
      <c r="E20" s="815"/>
      <c r="F20" s="813"/>
      <c r="G20" s="826"/>
      <c r="H20" s="827">
        <f>SUM(C20:F20)</f>
        <v>0</v>
      </c>
    </row>
    <row r="21" spans="1:11" ht="13" thickBot="1" x14ac:dyDescent="0.3">
      <c r="A21" s="1338"/>
      <c r="B21" s="825">
        <f>+E7</f>
        <v>2023</v>
      </c>
      <c r="C21" s="815"/>
      <c r="D21" s="852">
        <f>+D$8-D20</f>
        <v>0</v>
      </c>
      <c r="E21" s="861">
        <v>0</v>
      </c>
      <c r="F21" s="813"/>
      <c r="G21" s="826"/>
      <c r="H21" s="827">
        <f>SUM(C21:F21)</f>
        <v>0</v>
      </c>
    </row>
    <row r="22" spans="1:11" ht="13" thickBot="1" x14ac:dyDescent="0.3">
      <c r="A22" s="1338"/>
      <c r="B22" s="825">
        <f>F7</f>
        <v>2024</v>
      </c>
      <c r="C22" s="815"/>
      <c r="D22" s="815"/>
      <c r="E22" s="852">
        <f>+E$8-E21</f>
        <v>0</v>
      </c>
      <c r="F22" s="862">
        <v>0</v>
      </c>
      <c r="G22" s="826"/>
      <c r="H22" s="827">
        <f>SUM(C22:F22)</f>
        <v>0</v>
      </c>
    </row>
    <row r="23" spans="1:11" s="264" customFormat="1" ht="15.5" x14ac:dyDescent="0.25">
      <c r="A23" s="1339"/>
      <c r="B23" s="578" t="s">
        <v>22</v>
      </c>
      <c r="C23" s="577">
        <f>SUM(C19:C22)</f>
        <v>0</v>
      </c>
      <c r="D23" s="816">
        <f>SUM(D19:D22)</f>
        <v>0</v>
      </c>
      <c r="E23" s="816">
        <f>SUM(E19:E22)</f>
        <v>0</v>
      </c>
      <c r="F23" s="863">
        <f>SUM(F19:F22)</f>
        <v>0</v>
      </c>
      <c r="G23" s="262"/>
      <c r="H23" s="263">
        <f>SUM(H19:H22)</f>
        <v>0</v>
      </c>
    </row>
    <row r="24" spans="1:11" s="243" customFormat="1" ht="13" x14ac:dyDescent="0.25">
      <c r="A24" s="266" t="s">
        <v>34</v>
      </c>
      <c r="C24" s="267">
        <f>+C23+C34</f>
        <v>0</v>
      </c>
      <c r="D24" s="818">
        <f>+D23+D34</f>
        <v>0</v>
      </c>
      <c r="E24" s="818">
        <f>+E23+E34</f>
        <v>0</v>
      </c>
      <c r="F24" s="818">
        <f>+F23+F34</f>
        <v>0</v>
      </c>
      <c r="G24" s="267"/>
      <c r="H24" s="267">
        <f>+H23+H34</f>
        <v>0</v>
      </c>
      <c r="I24" s="267"/>
    </row>
    <row r="25" spans="1:11" s="243" customFormat="1" ht="13" x14ac:dyDescent="0.25">
      <c r="C25" s="267"/>
      <c r="D25" s="267"/>
      <c r="E25" s="267"/>
      <c r="F25" s="267"/>
    </row>
    <row r="26" spans="1:11" s="243" customFormat="1" ht="13" x14ac:dyDescent="0.25">
      <c r="C26" s="267"/>
      <c r="D26" s="267"/>
      <c r="E26" s="267"/>
      <c r="F26" s="267"/>
      <c r="G26" s="267"/>
      <c r="H26" s="267"/>
    </row>
    <row r="28" spans="1:11" ht="16.5" x14ac:dyDescent="0.25">
      <c r="C28" s="1210" t="s">
        <v>19</v>
      </c>
      <c r="D28" s="1211"/>
      <c r="E28" s="1211"/>
      <c r="F28" s="1212"/>
      <c r="H28" s="245" t="s">
        <v>20</v>
      </c>
      <c r="J28" s="245" t="s">
        <v>20</v>
      </c>
    </row>
    <row r="29" spans="1:11" x14ac:dyDescent="0.25">
      <c r="C29" s="247">
        <f>+C18</f>
        <v>2021</v>
      </c>
      <c r="D29" s="809">
        <f>+D18</f>
        <v>2022</v>
      </c>
      <c r="E29" s="809">
        <f>+E18</f>
        <v>2023</v>
      </c>
      <c r="F29" s="809">
        <f>+F18</f>
        <v>2024</v>
      </c>
      <c r="H29" s="248" t="s">
        <v>23</v>
      </c>
      <c r="J29" s="248" t="s">
        <v>24</v>
      </c>
    </row>
    <row r="30" spans="1:11" ht="12.75" customHeight="1" x14ac:dyDescent="0.25">
      <c r="A30" s="1340" t="s">
        <v>289</v>
      </c>
      <c r="B30" s="273">
        <f>+B19</f>
        <v>2021</v>
      </c>
      <c r="C30" s="270"/>
      <c r="D30" s="819"/>
      <c r="E30" s="819"/>
      <c r="F30" s="821"/>
      <c r="G30" s="252"/>
      <c r="H30" s="253">
        <f>SUM(C30:F30)</f>
        <v>0</v>
      </c>
      <c r="I30" s="252"/>
      <c r="J30" s="272">
        <f>SUM(H19,H30)</f>
        <v>0</v>
      </c>
      <c r="K30" s="179"/>
    </row>
    <row r="31" spans="1:11" ht="12.75" customHeight="1" x14ac:dyDescent="0.25">
      <c r="A31" s="1338"/>
      <c r="B31" s="875">
        <f>+B20</f>
        <v>2022</v>
      </c>
      <c r="C31" s="819"/>
      <c r="D31" s="819"/>
      <c r="E31" s="819"/>
      <c r="F31" s="821"/>
      <c r="G31" s="826"/>
      <c r="H31" s="827">
        <f>SUM(C31:F31)</f>
        <v>0</v>
      </c>
      <c r="I31" s="252"/>
      <c r="J31" s="272">
        <f>SUM(H20,H31)</f>
        <v>0</v>
      </c>
    </row>
    <row r="32" spans="1:11" ht="12.75" customHeight="1" x14ac:dyDescent="0.25">
      <c r="A32" s="1338"/>
      <c r="B32" s="875">
        <f>+B21</f>
        <v>2023</v>
      </c>
      <c r="C32" s="565">
        <f>+G55</f>
        <v>0</v>
      </c>
      <c r="D32" s="819"/>
      <c r="E32" s="819"/>
      <c r="F32" s="821"/>
      <c r="G32" s="826"/>
      <c r="H32" s="827">
        <f>SUM(C32:F32)</f>
        <v>0</v>
      </c>
      <c r="I32" s="252"/>
      <c r="J32" s="272">
        <f>SUM(H21,H32)</f>
        <v>0</v>
      </c>
      <c r="K32" s="244" t="s">
        <v>27</v>
      </c>
    </row>
    <row r="33" spans="1:11" ht="12.75" customHeight="1" x14ac:dyDescent="0.25">
      <c r="A33" s="1338"/>
      <c r="B33" s="875">
        <f>+B22</f>
        <v>2024</v>
      </c>
      <c r="C33" s="565">
        <f>+G61</f>
        <v>0</v>
      </c>
      <c r="D33" s="565">
        <f>+G62</f>
        <v>0</v>
      </c>
      <c r="E33" s="819"/>
      <c r="F33" s="821"/>
      <c r="G33" s="826"/>
      <c r="H33" s="827">
        <f>SUM(C33:F33)</f>
        <v>0</v>
      </c>
      <c r="I33" s="252"/>
      <c r="J33" s="272">
        <f>SUM(H22,H33)</f>
        <v>0</v>
      </c>
      <c r="K33" s="244"/>
    </row>
    <row r="34" spans="1:11" s="264" customFormat="1" ht="16.5" customHeight="1" x14ac:dyDescent="0.25">
      <c r="A34" s="1339"/>
      <c r="B34" s="331" t="s">
        <v>22</v>
      </c>
      <c r="C34" s="275">
        <f>SUM(C30:C33)</f>
        <v>0</v>
      </c>
      <c r="D34" s="865">
        <f>SUM(D30:D33)</f>
        <v>0</v>
      </c>
      <c r="E34" s="865">
        <f>SUM(E30:E33)</f>
        <v>0</v>
      </c>
      <c r="F34" s="865">
        <f>SUM(F30:F33)</f>
        <v>0</v>
      </c>
      <c r="G34" s="252"/>
      <c r="H34" s="263">
        <f>SUM(H30:H33)</f>
        <v>0</v>
      </c>
      <c r="I34" s="262"/>
      <c r="J34" s="263">
        <f>SUM(J30:J33)</f>
        <v>0</v>
      </c>
    </row>
    <row r="35" spans="1:11" x14ac:dyDescent="0.25">
      <c r="G35" s="252"/>
    </row>
    <row r="36" spans="1:11" ht="13" thickBot="1" x14ac:dyDescent="0.3">
      <c r="G36" s="252"/>
    </row>
    <row r="37" spans="1:11" ht="21.75" customHeight="1" thickBot="1" x14ac:dyDescent="0.3">
      <c r="A37" s="1217" t="s">
        <v>175</v>
      </c>
      <c r="B37" s="1218"/>
      <c r="C37" s="1218"/>
      <c r="D37" s="1218"/>
      <c r="E37" s="1218"/>
      <c r="F37" s="1218"/>
      <c r="G37" s="1218"/>
      <c r="H37" s="1218"/>
      <c r="I37" s="1218"/>
      <c r="J37" s="1219"/>
    </row>
    <row r="41" spans="1:11" ht="16.5" x14ac:dyDescent="0.25">
      <c r="C41" s="1210" t="s">
        <v>19</v>
      </c>
      <c r="D41" s="1211"/>
      <c r="E41" s="1211"/>
      <c r="F41" s="1212"/>
    </row>
    <row r="42" spans="1:11" x14ac:dyDescent="0.25">
      <c r="C42" s="247">
        <f>+C29</f>
        <v>2021</v>
      </c>
      <c r="D42" s="809">
        <f>+D29</f>
        <v>2022</v>
      </c>
      <c r="E42" s="809">
        <f>+E29</f>
        <v>2023</v>
      </c>
      <c r="F42" s="809">
        <f>+F29</f>
        <v>2024</v>
      </c>
      <c r="H42" s="93" t="s">
        <v>20</v>
      </c>
    </row>
    <row r="43" spans="1:11" ht="13.5" customHeight="1" x14ac:dyDescent="0.25">
      <c r="A43" s="1337" t="s">
        <v>374</v>
      </c>
      <c r="B43" s="247">
        <f t="shared" ref="B43:B46" si="2">+B30</f>
        <v>2021</v>
      </c>
      <c r="C43" s="255">
        <f>+C19</f>
        <v>0</v>
      </c>
      <c r="D43" s="819"/>
      <c r="E43" s="819"/>
      <c r="F43" s="824"/>
      <c r="H43" s="278">
        <f>SUM(C43:F43)</f>
        <v>0</v>
      </c>
    </row>
    <row r="44" spans="1:11" ht="13.5" customHeight="1" x14ac:dyDescent="0.25">
      <c r="A44" s="1338"/>
      <c r="B44" s="809">
        <f t="shared" si="2"/>
        <v>2022</v>
      </c>
      <c r="C44" s="565">
        <f>+C43+C31+C20</f>
        <v>0</v>
      </c>
      <c r="D44" s="565">
        <f>+D20</f>
        <v>0</v>
      </c>
      <c r="E44" s="819"/>
      <c r="F44" s="824"/>
      <c r="G44" s="830"/>
      <c r="H44" s="831">
        <f>SUM(C44:F44)</f>
        <v>0</v>
      </c>
    </row>
    <row r="45" spans="1:11" ht="13.5" customHeight="1" x14ac:dyDescent="0.25">
      <c r="A45" s="1338"/>
      <c r="B45" s="809">
        <f t="shared" si="2"/>
        <v>2023</v>
      </c>
      <c r="C45" s="565">
        <f>+C44+C32+C21</f>
        <v>0</v>
      </c>
      <c r="D45" s="565">
        <f>+D44+D32+D21</f>
        <v>0</v>
      </c>
      <c r="E45" s="565">
        <f>+E21</f>
        <v>0</v>
      </c>
      <c r="F45" s="821"/>
      <c r="G45" s="830"/>
      <c r="H45" s="831">
        <f>SUM(C45:F45)</f>
        <v>0</v>
      </c>
    </row>
    <row r="46" spans="1:11" ht="13.5" customHeight="1" x14ac:dyDescent="0.25">
      <c r="A46" s="1339"/>
      <c r="B46" s="809">
        <f t="shared" si="2"/>
        <v>2024</v>
      </c>
      <c r="C46" s="565">
        <f>+C45+C33+C22</f>
        <v>0</v>
      </c>
      <c r="D46" s="565">
        <f>+D45+D33+D22</f>
        <v>0</v>
      </c>
      <c r="E46" s="565">
        <f>+E45+E33+E22</f>
        <v>0</v>
      </c>
      <c r="F46" s="565">
        <f>+F22</f>
        <v>0</v>
      </c>
      <c r="G46" s="830"/>
      <c r="H46" s="831">
        <f>SUM(C46:F46)</f>
        <v>0</v>
      </c>
    </row>
    <row r="48" spans="1:11" ht="13" thickBot="1" x14ac:dyDescent="0.3"/>
    <row r="49" spans="1:13" ht="20.25" customHeight="1" thickBot="1" x14ac:dyDescent="0.3">
      <c r="A49" s="1217" t="s">
        <v>176</v>
      </c>
      <c r="B49" s="1218"/>
      <c r="C49" s="1218"/>
      <c r="D49" s="1218"/>
      <c r="E49" s="1218"/>
      <c r="F49" s="1218"/>
      <c r="G49" s="1218"/>
      <c r="H49" s="1218"/>
      <c r="I49" s="1218"/>
      <c r="J49" s="1219"/>
    </row>
    <row r="50" spans="1:13" x14ac:dyDescent="0.25">
      <c r="A50" s="167"/>
      <c r="B50" s="167"/>
      <c r="C50" s="167"/>
      <c r="D50" s="167"/>
      <c r="E50" s="167"/>
      <c r="F50" s="167"/>
      <c r="G50" s="167"/>
      <c r="H50" s="167"/>
      <c r="I50" s="167"/>
      <c r="J50" s="167"/>
      <c r="K50" s="167"/>
      <c r="L50" s="212"/>
      <c r="M50" s="167"/>
    </row>
    <row r="51" spans="1:13" s="167" customFormat="1" x14ac:dyDescent="0.25">
      <c r="G51" s="221"/>
    </row>
    <row r="52" spans="1:13" s="167" customFormat="1" ht="13" x14ac:dyDescent="0.25">
      <c r="A52" s="847" t="s">
        <v>172</v>
      </c>
      <c r="B52" s="842"/>
      <c r="C52" s="842"/>
      <c r="D52" s="842"/>
      <c r="E52" s="1004">
        <v>2023</v>
      </c>
      <c r="F52" s="842"/>
      <c r="G52" s="855"/>
      <c r="H52" s="842"/>
    </row>
    <row r="53" spans="1:13" s="167" customFormat="1" x14ac:dyDescent="0.25">
      <c r="A53" s="842"/>
      <c r="B53" s="842"/>
      <c r="C53" s="842"/>
      <c r="D53" s="842"/>
      <c r="E53" s="842"/>
      <c r="F53" s="842"/>
      <c r="G53" s="855"/>
      <c r="H53" s="842"/>
    </row>
    <row r="54" spans="1:13" s="167" customFormat="1" ht="107.15" customHeight="1" x14ac:dyDescent="0.25">
      <c r="A54" s="1237" t="s">
        <v>173</v>
      </c>
      <c r="B54" s="1238"/>
      <c r="C54" s="1238"/>
      <c r="D54" s="1239"/>
      <c r="E54" s="848"/>
      <c r="F54" s="837" t="str">
        <f>"Nog af te bouwen regulatoir saldo einde "&amp;E52-1</f>
        <v>Nog af te bouwen regulatoir saldo einde 2022</v>
      </c>
      <c r="G54" s="837" t="str">
        <f>"50% van het regulatoir saldo door te rekenen volgens de tariefmethodologie in het boekjaar "&amp;E52</f>
        <v>50% van het regulatoir saldo door te rekenen volgens de tariefmethodologie in het boekjaar 2023</v>
      </c>
      <c r="H54" s="837" t="str">
        <f>"Nog af te bouwen regulatoir saldo einde "&amp;E52</f>
        <v>Nog af te bouwen regulatoir saldo einde 2023</v>
      </c>
      <c r="I54" s="212"/>
    </row>
    <row r="55" spans="1:13" s="167" customFormat="1" ht="13" x14ac:dyDescent="0.25">
      <c r="A55" s="1234">
        <v>2021</v>
      </c>
      <c r="B55" s="1235"/>
      <c r="C55" s="1235"/>
      <c r="D55" s="1236"/>
      <c r="E55" s="341"/>
      <c r="F55" s="339">
        <f>+C19+C20</f>
        <v>0</v>
      </c>
      <c r="G55" s="568">
        <f t="shared" ref="G55" si="3">-F55*0.5</f>
        <v>0</v>
      </c>
      <c r="H55" s="339">
        <f t="shared" ref="H55" si="4">+F55+G55</f>
        <v>0</v>
      </c>
      <c r="I55" s="212"/>
    </row>
    <row r="56" spans="1:13" s="281" customFormat="1" ht="13" x14ac:dyDescent="0.25">
      <c r="A56" s="847"/>
      <c r="B56" s="847"/>
      <c r="C56" s="847"/>
      <c r="D56" s="847"/>
      <c r="E56" s="847"/>
      <c r="F56" s="849">
        <f>SUM(F55:F55)</f>
        <v>0</v>
      </c>
      <c r="G56" s="856">
        <f>SUM(G55:G55)</f>
        <v>0</v>
      </c>
      <c r="H56" s="849">
        <f>SUM(H55:H55)</f>
        <v>0</v>
      </c>
    </row>
    <row r="57" spans="1:13" s="167" customFormat="1" x14ac:dyDescent="0.25">
      <c r="A57" s="842"/>
      <c r="B57" s="842"/>
      <c r="C57" s="842"/>
      <c r="D57" s="842"/>
      <c r="E57" s="842"/>
      <c r="F57" s="842"/>
      <c r="G57" s="855"/>
      <c r="H57" s="842"/>
    </row>
    <row r="58" spans="1:13" s="167" customFormat="1" ht="13" x14ac:dyDescent="0.25">
      <c r="A58" s="847" t="s">
        <v>172</v>
      </c>
      <c r="B58" s="842"/>
      <c r="C58" s="842"/>
      <c r="D58" s="842"/>
      <c r="E58" s="1004">
        <v>2024</v>
      </c>
      <c r="F58" s="842"/>
      <c r="G58" s="855"/>
      <c r="H58" s="842"/>
    </row>
    <row r="59" spans="1:13" s="167" customFormat="1" x14ac:dyDescent="0.25">
      <c r="A59" s="842"/>
      <c r="B59" s="842"/>
      <c r="C59" s="842"/>
      <c r="D59" s="842"/>
      <c r="E59" s="842"/>
      <c r="F59" s="842"/>
      <c r="G59" s="855"/>
      <c r="H59" s="842"/>
    </row>
    <row r="60" spans="1:13" s="167" customFormat="1" ht="107.15" customHeight="1" x14ac:dyDescent="0.25">
      <c r="A60" s="1237" t="s">
        <v>173</v>
      </c>
      <c r="B60" s="1238"/>
      <c r="C60" s="1238"/>
      <c r="D60" s="1239"/>
      <c r="E60" s="848"/>
      <c r="F60" s="837" t="str">
        <f>"Nog af te bouwen regulatoir saldo einde "&amp;E58-1</f>
        <v>Nog af te bouwen regulatoir saldo einde 2023</v>
      </c>
      <c r="G60" s="837" t="str">
        <f>"50% van het regulatoir saldo door te rekenen volgens de tariefmethodologie in het boekjaar "&amp;E58</f>
        <v>50% van het regulatoir saldo door te rekenen volgens de tariefmethodologie in het boekjaar 2024</v>
      </c>
      <c r="H60" s="837" t="str">
        <f>"Nog af te bouwen regulatoir saldo einde "&amp;E58</f>
        <v>Nog af te bouwen regulatoir saldo einde 2024</v>
      </c>
      <c r="I60" s="212"/>
    </row>
    <row r="61" spans="1:13" s="167" customFormat="1" ht="13" x14ac:dyDescent="0.25">
      <c r="A61" s="1234">
        <v>2021</v>
      </c>
      <c r="B61" s="1235"/>
      <c r="C61" s="1235"/>
      <c r="D61" s="1236"/>
      <c r="E61" s="341"/>
      <c r="F61" s="339">
        <f>+H55</f>
        <v>0</v>
      </c>
      <c r="G61" s="568">
        <f>-F55*0.5</f>
        <v>0</v>
      </c>
      <c r="H61" s="339">
        <f t="shared" ref="H61:H62" si="5">+F61+G61</f>
        <v>0</v>
      </c>
      <c r="I61" s="212"/>
    </row>
    <row r="62" spans="1:13" s="167" customFormat="1" ht="13" x14ac:dyDescent="0.25">
      <c r="A62" s="1234">
        <v>2022</v>
      </c>
      <c r="B62" s="1235"/>
      <c r="C62" s="1235"/>
      <c r="D62" s="1236"/>
      <c r="E62" s="341"/>
      <c r="F62" s="339">
        <f>+D20+D21</f>
        <v>0</v>
      </c>
      <c r="G62" s="568">
        <f t="shared" ref="G62" si="6">-F62*0.5</f>
        <v>0</v>
      </c>
      <c r="H62" s="339">
        <f t="shared" si="5"/>
        <v>0</v>
      </c>
      <c r="I62" s="212"/>
    </row>
    <row r="63" spans="1:13" s="281" customFormat="1" ht="13" x14ac:dyDescent="0.25">
      <c r="A63" s="847"/>
      <c r="B63" s="847"/>
      <c r="C63" s="847"/>
      <c r="D63" s="847"/>
      <c r="E63" s="847"/>
      <c r="F63" s="849">
        <f>SUM(F61:F62)</f>
        <v>0</v>
      </c>
      <c r="G63" s="856">
        <f>SUM(G61:G62)</f>
        <v>0</v>
      </c>
      <c r="H63" s="849">
        <f>SUM(H61:H62)</f>
        <v>0</v>
      </c>
    </row>
    <row r="64" spans="1:13" x14ac:dyDescent="0.25">
      <c r="A64" s="167"/>
      <c r="B64" s="167"/>
      <c r="C64" s="167"/>
      <c r="D64" s="167"/>
      <c r="E64" s="167"/>
      <c r="F64" s="167"/>
      <c r="G64" s="167"/>
      <c r="H64" s="167"/>
      <c r="I64" s="167"/>
      <c r="J64" s="167"/>
      <c r="K64" s="209"/>
      <c r="L64" s="167"/>
    </row>
    <row r="65" spans="1:13" x14ac:dyDescent="0.25">
      <c r="A65" s="167"/>
      <c r="B65" s="167"/>
      <c r="C65" s="167"/>
      <c r="D65" s="167"/>
      <c r="E65" s="167"/>
      <c r="F65" s="167"/>
      <c r="G65" s="167"/>
      <c r="H65" s="167"/>
      <c r="I65" s="167"/>
      <c r="J65" s="167"/>
      <c r="K65" s="167"/>
      <c r="L65" s="209"/>
      <c r="M65" s="167"/>
    </row>
    <row r="66" spans="1:13" ht="13" x14ac:dyDescent="0.25">
      <c r="A66" s="281" t="s">
        <v>174</v>
      </c>
      <c r="B66" s="224"/>
      <c r="C66" s="224"/>
      <c r="D66" s="224"/>
      <c r="E66" s="167"/>
      <c r="F66" s="167"/>
      <c r="G66" s="167"/>
      <c r="H66" s="167"/>
      <c r="I66" s="167"/>
      <c r="J66" s="167"/>
      <c r="K66" s="167"/>
      <c r="L66" s="209"/>
      <c r="M66" s="167"/>
    </row>
    <row r="67" spans="1:13" ht="13" x14ac:dyDescent="0.25">
      <c r="A67" s="281"/>
      <c r="B67" s="224"/>
      <c r="C67" s="224"/>
      <c r="D67" s="224"/>
      <c r="E67" s="167"/>
      <c r="F67" s="167"/>
      <c r="G67" s="167"/>
      <c r="H67" s="167"/>
      <c r="I67" s="167"/>
      <c r="J67" s="167"/>
      <c r="K67" s="167"/>
      <c r="L67" s="209"/>
      <c r="M67" s="167"/>
    </row>
    <row r="68" spans="1:13" ht="13" x14ac:dyDescent="0.25">
      <c r="A68" s="341">
        <v>2021</v>
      </c>
      <c r="B68" s="342">
        <v>0</v>
      </c>
      <c r="C68" s="224"/>
      <c r="D68" s="224"/>
      <c r="E68" s="167"/>
      <c r="F68" s="167"/>
      <c r="G68" s="167"/>
      <c r="H68" s="167"/>
      <c r="I68" s="167"/>
      <c r="J68" s="167"/>
      <c r="K68" s="167"/>
      <c r="L68" s="209"/>
      <c r="M68" s="167"/>
    </row>
    <row r="69" spans="1:13" ht="13" x14ac:dyDescent="0.25">
      <c r="A69" s="341">
        <v>2022</v>
      </c>
      <c r="B69" s="342">
        <v>0</v>
      </c>
      <c r="C69" s="224"/>
      <c r="D69" s="224"/>
      <c r="E69" s="167"/>
      <c r="F69" s="167"/>
      <c r="G69" s="167"/>
      <c r="H69" s="167"/>
      <c r="I69" s="167"/>
      <c r="J69" s="167"/>
      <c r="K69" s="167"/>
      <c r="L69" s="209"/>
      <c r="M69" s="167"/>
    </row>
    <row r="70" spans="1:13" ht="13" x14ac:dyDescent="0.25">
      <c r="A70" s="341">
        <v>2023</v>
      </c>
      <c r="B70" s="342">
        <f>+G56</f>
        <v>0</v>
      </c>
    </row>
    <row r="71" spans="1:13" ht="13" x14ac:dyDescent="0.25">
      <c r="A71" s="341">
        <v>2024</v>
      </c>
      <c r="B71" s="342">
        <f>+G63</f>
        <v>0</v>
      </c>
    </row>
  </sheetData>
  <sheetProtection algorithmName="SHA-512" hashValue="TVyUz9gBCklqXov4vEM3AcnU/Zj7K9UxP8NXLQbTKYTArsmi8evc/3IblE83cbyPGgNg4+azinRnEeEHSn6JCQ==" saltValue="Vi4WiPacPEsP54FexC7Btw==" spinCount="100000" sheet="1" objects="1" scenarios="1"/>
  <mergeCells count="18">
    <mergeCell ref="A60:D60"/>
    <mergeCell ref="A61:D61"/>
    <mergeCell ref="A62:D62"/>
    <mergeCell ref="A4:J4"/>
    <mergeCell ref="A54:D54"/>
    <mergeCell ref="A55:D55"/>
    <mergeCell ref="A49:J49"/>
    <mergeCell ref="A19:A23"/>
    <mergeCell ref="C28:F28"/>
    <mergeCell ref="A30:A34"/>
    <mergeCell ref="A37:J37"/>
    <mergeCell ref="C41:F41"/>
    <mergeCell ref="A43:A46"/>
    <mergeCell ref="A1:H1"/>
    <mergeCell ref="C6:F6"/>
    <mergeCell ref="A13:J13"/>
    <mergeCell ref="C17:F17"/>
    <mergeCell ref="A18:B18"/>
  </mergeCells>
  <pageMargins left="0.78740157480314965" right="0.78740157480314965" top="0.98425196850393704" bottom="0.98425196850393704" header="0.51181102362204722" footer="0.51181102362204722"/>
  <pageSetup paperSize="8" scale="92" orientation="landscape" r:id="rId1"/>
  <headerFooter alignWithMargins="0">
    <oddFooter>&amp;CPage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AE8C5-4723-4A05-9272-3E6FCF1421D1}">
  <sheetPr published="0" codeName="Blad20">
    <tabColor theme="6" tint="0.59999389629810485"/>
  </sheetPr>
  <dimension ref="A1"/>
  <sheetViews>
    <sheetView workbookViewId="0">
      <selection activeCell="T40" sqref="T40"/>
    </sheetView>
  </sheetViews>
  <sheetFormatPr defaultColWidth="8.7265625" defaultRowHeight="12.5" x14ac:dyDescent="0.25"/>
  <cols>
    <col min="1" max="16384" width="8.7265625" style="199"/>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BBED-FD5D-4537-A27C-775751CBFDB9}">
  <sheetPr published="0" codeName="Blad3">
    <tabColor theme="6" tint="0.59999389629810485"/>
  </sheetPr>
  <dimension ref="A1"/>
  <sheetViews>
    <sheetView workbookViewId="0">
      <selection activeCell="Q34" sqref="Q34"/>
    </sheetView>
  </sheetViews>
  <sheetFormatPr defaultColWidth="8.7265625" defaultRowHeight="12.5" x14ac:dyDescent="0.25"/>
  <cols>
    <col min="1" max="16384" width="8.7265625" style="199"/>
  </cols>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9BF1B-EEC6-4B5E-AF15-EC56F417B360}">
  <sheetPr>
    <pageSetUpPr fitToPage="1"/>
  </sheetPr>
  <dimension ref="A1:U823"/>
  <sheetViews>
    <sheetView zoomScaleNormal="100" workbookViewId="0">
      <selection activeCell="B24" sqref="B24"/>
    </sheetView>
  </sheetViews>
  <sheetFormatPr defaultColWidth="9.1796875" defaultRowHeight="12.5" x14ac:dyDescent="0.25"/>
  <cols>
    <col min="1" max="1" width="65.1796875" style="1045" customWidth="1"/>
    <col min="2" max="3" width="25.7265625" style="1045" customWidth="1"/>
    <col min="4" max="31" width="9.1796875" style="1045"/>
    <col min="32" max="32" width="13.54296875" style="1045" customWidth="1"/>
    <col min="33" max="16384" width="9.1796875" style="1045"/>
  </cols>
  <sheetData>
    <row r="1" spans="1:21" s="531" customFormat="1" ht="16" thickBot="1" x14ac:dyDescent="0.3">
      <c r="A1" s="1341" t="s">
        <v>414</v>
      </c>
      <c r="B1" s="1342"/>
      <c r="C1" s="1342"/>
      <c r="D1" s="1342"/>
      <c r="E1" s="1342"/>
      <c r="F1" s="1342"/>
      <c r="G1" s="1342"/>
      <c r="H1" s="1342"/>
      <c r="I1" s="1342"/>
      <c r="J1" s="1342"/>
      <c r="K1" s="1342"/>
      <c r="L1" s="1343"/>
      <c r="M1" s="122"/>
      <c r="N1" s="122"/>
      <c r="O1" s="122"/>
      <c r="P1" s="122"/>
      <c r="Q1" s="122"/>
      <c r="R1" s="122"/>
      <c r="S1" s="122"/>
      <c r="T1" s="122"/>
      <c r="U1" s="122"/>
    </row>
    <row r="2" spans="1:21" s="531" customFormat="1" ht="13" thickBot="1" x14ac:dyDescent="0.3">
      <c r="M2" s="122"/>
      <c r="N2" s="122"/>
      <c r="O2" s="122"/>
      <c r="P2" s="122"/>
      <c r="Q2" s="122"/>
      <c r="R2" s="122"/>
      <c r="S2" s="122"/>
      <c r="T2" s="122"/>
      <c r="U2" s="122"/>
    </row>
    <row r="3" spans="1:21" s="531" customFormat="1" ht="13" thickBot="1" x14ac:dyDescent="0.3">
      <c r="A3" s="531" t="s">
        <v>12</v>
      </c>
      <c r="B3" s="1041" t="s">
        <v>13</v>
      </c>
      <c r="C3" s="1042">
        <f>+TITELBLAD!E13</f>
        <v>2021</v>
      </c>
      <c r="M3" s="122"/>
      <c r="N3" s="122"/>
      <c r="O3" s="122"/>
      <c r="P3" s="122"/>
      <c r="Q3" s="122"/>
      <c r="R3" s="122"/>
      <c r="S3" s="122"/>
      <c r="T3" s="122"/>
      <c r="U3" s="122"/>
    </row>
    <row r="4" spans="1:21" s="531" customFormat="1" ht="13" thickBot="1" x14ac:dyDescent="0.3">
      <c r="B4" s="1041" t="s">
        <v>14</v>
      </c>
      <c r="C4" s="1042">
        <f>+TITELBLAD!E14</f>
        <v>2024</v>
      </c>
      <c r="M4" s="122"/>
      <c r="N4" s="122"/>
      <c r="O4" s="122"/>
      <c r="P4" s="122"/>
      <c r="Q4" s="122"/>
      <c r="R4" s="122"/>
      <c r="S4" s="122"/>
      <c r="T4" s="122"/>
      <c r="U4" s="122"/>
    </row>
    <row r="5" spans="1:21" s="531" customFormat="1" ht="13" thickBot="1" x14ac:dyDescent="0.3">
      <c r="B5" s="1041"/>
      <c r="M5" s="122"/>
      <c r="N5" s="122"/>
      <c r="O5" s="122"/>
      <c r="P5" s="122"/>
      <c r="Q5" s="122"/>
      <c r="R5" s="122"/>
      <c r="S5" s="122"/>
      <c r="T5" s="122"/>
      <c r="U5" s="122"/>
    </row>
    <row r="6" spans="1:21" s="531" customFormat="1" ht="13" thickBot="1" x14ac:dyDescent="0.3">
      <c r="A6" s="531" t="s">
        <v>105</v>
      </c>
      <c r="B6" s="1043">
        <f>+TITELBLAD!E16</f>
        <v>2021</v>
      </c>
      <c r="C6" s="1042" t="str">
        <f>+TITELBLAD!F16</f>
        <v>ex-ante</v>
      </c>
      <c r="M6" s="122"/>
      <c r="N6" s="122"/>
      <c r="O6" s="122"/>
      <c r="P6" s="122"/>
      <c r="Q6" s="122"/>
      <c r="R6" s="122"/>
      <c r="S6" s="122"/>
      <c r="T6" s="122"/>
      <c r="U6" s="122"/>
    </row>
    <row r="7" spans="1:21" s="531" customFormat="1" x14ac:dyDescent="0.25">
      <c r="M7" s="122"/>
      <c r="N7" s="122"/>
      <c r="O7" s="122"/>
      <c r="P7" s="122"/>
      <c r="Q7" s="122"/>
      <c r="R7" s="122"/>
      <c r="S7" s="122"/>
      <c r="T7" s="122"/>
      <c r="U7" s="122"/>
    </row>
    <row r="8" spans="1:21" s="531" customFormat="1" x14ac:dyDescent="0.25">
      <c r="M8" s="122"/>
      <c r="N8" s="122"/>
      <c r="O8" s="122"/>
      <c r="P8" s="122"/>
      <c r="Q8" s="122"/>
      <c r="R8" s="122"/>
      <c r="S8" s="122"/>
      <c r="T8" s="122"/>
      <c r="U8" s="122"/>
    </row>
    <row r="9" spans="1:21" s="531" customFormat="1" ht="13" thickBot="1" x14ac:dyDescent="0.3">
      <c r="A9" s="531" t="s">
        <v>15</v>
      </c>
      <c r="M9" s="122"/>
      <c r="N9" s="122"/>
      <c r="O9" s="122"/>
      <c r="P9" s="122"/>
      <c r="Q9" s="122"/>
      <c r="R9" s="122"/>
      <c r="S9" s="122"/>
      <c r="T9" s="122"/>
      <c r="U9" s="122"/>
    </row>
    <row r="10" spans="1:21" ht="13.5" thickBot="1" x14ac:dyDescent="0.3">
      <c r="A10" s="1344" t="str">
        <f>+TITELBLAD!C7</f>
        <v>NAAM DNB</v>
      </c>
      <c r="B10" s="1345"/>
      <c r="C10" s="531"/>
      <c r="D10" s="531"/>
      <c r="E10" s="531"/>
      <c r="F10" s="531"/>
      <c r="G10" s="531"/>
      <c r="H10" s="531"/>
      <c r="I10" s="531"/>
      <c r="J10" s="531"/>
      <c r="K10" s="531"/>
      <c r="L10" s="531"/>
      <c r="M10" s="122"/>
      <c r="N10" s="122"/>
      <c r="O10" s="122"/>
      <c r="P10" s="1044"/>
      <c r="Q10" s="1044"/>
      <c r="R10" s="1044"/>
      <c r="S10" s="1044"/>
      <c r="T10" s="1044"/>
      <c r="U10" s="1044"/>
    </row>
    <row r="11" spans="1:21" s="531" customFormat="1" x14ac:dyDescent="0.25">
      <c r="M11" s="122"/>
      <c r="N11" s="122"/>
      <c r="O11" s="122"/>
      <c r="P11" s="122"/>
      <c r="Q11" s="122"/>
      <c r="R11" s="122"/>
      <c r="S11" s="122"/>
      <c r="T11" s="122"/>
      <c r="U11" s="122"/>
    </row>
    <row r="12" spans="1:21" s="531" customFormat="1" ht="13" thickBot="1" x14ac:dyDescent="0.3">
      <c r="A12" s="531" t="s">
        <v>302</v>
      </c>
      <c r="M12" s="122"/>
      <c r="N12" s="122"/>
      <c r="O12" s="122"/>
      <c r="P12" s="122"/>
      <c r="Q12" s="122"/>
      <c r="R12" s="122"/>
      <c r="S12" s="122"/>
      <c r="T12" s="122"/>
      <c r="U12" s="122"/>
    </row>
    <row r="13" spans="1:21" ht="13.5" thickBot="1" x14ac:dyDescent="0.3">
      <c r="A13" s="1344" t="str">
        <f>+TITELBLAD!C10</f>
        <v>elektriciteit</v>
      </c>
      <c r="B13" s="1345"/>
      <c r="C13" s="531"/>
      <c r="D13" s="531"/>
      <c r="E13" s="531"/>
      <c r="F13" s="531"/>
      <c r="G13" s="531"/>
      <c r="H13" s="531"/>
      <c r="I13" s="531"/>
      <c r="J13" s="531"/>
      <c r="K13" s="531"/>
      <c r="L13" s="531"/>
      <c r="M13" s="122"/>
      <c r="N13" s="122"/>
      <c r="O13" s="122"/>
      <c r="P13" s="1044"/>
      <c r="Q13" s="1044"/>
      <c r="R13" s="1044"/>
      <c r="S13" s="1044"/>
      <c r="T13" s="1044"/>
      <c r="U13" s="1044"/>
    </row>
    <row r="14" spans="1:21" s="531" customFormat="1" x14ac:dyDescent="0.25">
      <c r="M14" s="122"/>
      <c r="N14" s="122"/>
      <c r="O14" s="122"/>
      <c r="P14" s="122"/>
      <c r="Q14" s="122"/>
      <c r="R14" s="122"/>
      <c r="S14" s="122"/>
      <c r="T14" s="122"/>
      <c r="U14" s="122"/>
    </row>
    <row r="15" spans="1:21" s="531" customFormat="1" x14ac:dyDescent="0.25">
      <c r="D15" s="1046"/>
      <c r="M15" s="122"/>
      <c r="N15" s="122"/>
      <c r="O15" s="122"/>
      <c r="P15" s="122"/>
      <c r="Q15" s="122"/>
      <c r="R15" s="122"/>
      <c r="S15" s="122"/>
      <c r="T15" s="122"/>
      <c r="U15" s="122"/>
    </row>
    <row r="16" spans="1:21" s="531" customFormat="1" ht="13" x14ac:dyDescent="0.25">
      <c r="A16" s="1047" t="s">
        <v>425</v>
      </c>
      <c r="D16" s="1046"/>
      <c r="E16" s="1046"/>
      <c r="F16" s="1046"/>
      <c r="M16" s="122"/>
      <c r="N16" s="122"/>
      <c r="O16" s="122"/>
      <c r="P16" s="122"/>
      <c r="Q16" s="122"/>
      <c r="R16" s="122"/>
      <c r="S16" s="122"/>
      <c r="T16" s="122"/>
      <c r="U16" s="122"/>
    </row>
    <row r="17" spans="1:21" s="531" customFormat="1" x14ac:dyDescent="0.25">
      <c r="M17" s="122"/>
      <c r="N17" s="122"/>
      <c r="O17" s="122"/>
      <c r="P17" s="122"/>
      <c r="Q17" s="122"/>
      <c r="R17" s="122"/>
      <c r="S17" s="122"/>
      <c r="T17" s="122"/>
      <c r="U17" s="122"/>
    </row>
    <row r="18" spans="1:21" s="531" customFormat="1" ht="13" x14ac:dyDescent="0.25">
      <c r="B18" s="1048" t="s">
        <v>0</v>
      </c>
      <c r="C18" s="1049" t="s">
        <v>1</v>
      </c>
      <c r="M18" s="122"/>
      <c r="N18" s="122"/>
      <c r="O18" s="122"/>
      <c r="P18" s="122"/>
      <c r="Q18" s="122"/>
      <c r="R18" s="122"/>
      <c r="S18" s="122"/>
      <c r="T18" s="122"/>
      <c r="U18" s="122"/>
    </row>
    <row r="19" spans="1:21" s="531" customFormat="1" ht="13" x14ac:dyDescent="0.25">
      <c r="A19" s="1050" t="s">
        <v>17</v>
      </c>
      <c r="B19" s="1051">
        <f>+B6</f>
        <v>2021</v>
      </c>
      <c r="C19" s="1052">
        <f>+B6</f>
        <v>2021</v>
      </c>
      <c r="M19" s="122"/>
      <c r="N19" s="122"/>
      <c r="O19" s="122"/>
      <c r="P19" s="122"/>
      <c r="Q19" s="122"/>
      <c r="R19" s="122"/>
      <c r="S19" s="122"/>
      <c r="T19" s="122"/>
      <c r="U19" s="122"/>
    </row>
    <row r="20" spans="1:21" s="531" customFormat="1" ht="30.65" customHeight="1" x14ac:dyDescent="0.25">
      <c r="A20" s="1053" t="s">
        <v>293</v>
      </c>
      <c r="B20" s="1054">
        <f>+'T10'!C15</f>
        <v>0</v>
      </c>
      <c r="C20" s="1055">
        <f>+'T10'!D15</f>
        <v>0</v>
      </c>
    </row>
    <row r="21" spans="1:21" s="531" customFormat="1" ht="30.65" customHeight="1" x14ac:dyDescent="0.25">
      <c r="A21" s="1056" t="s">
        <v>431</v>
      </c>
      <c r="B21" s="1054">
        <f>+'T11'!C14</f>
        <v>0</v>
      </c>
      <c r="C21" s="1055">
        <f>+'T11'!D14</f>
        <v>0</v>
      </c>
    </row>
    <row r="22" spans="1:21" s="531" customFormat="1" ht="30.65" customHeight="1" x14ac:dyDescent="0.25">
      <c r="A22" s="1057" t="s">
        <v>294</v>
      </c>
      <c r="B22" s="1054">
        <f>+'T12'!C19</f>
        <v>0</v>
      </c>
      <c r="C22" s="1055">
        <f>+'T12'!D19</f>
        <v>0</v>
      </c>
    </row>
    <row r="23" spans="1:21" s="531" customFormat="1" x14ac:dyDescent="0.25">
      <c r="A23" s="1057"/>
      <c r="B23" s="1054"/>
      <c r="C23" s="1055"/>
    </row>
    <row r="24" spans="1:21" s="531" customFormat="1" ht="30.65" customHeight="1" x14ac:dyDescent="0.25">
      <c r="A24" s="1058" t="s">
        <v>376</v>
      </c>
      <c r="B24" s="1059">
        <f>+SUM(B20:B22)</f>
        <v>0</v>
      </c>
      <c r="C24" s="1060">
        <f>+SUM(C20:C22)</f>
        <v>0</v>
      </c>
    </row>
    <row r="25" spans="1:21" s="531" customFormat="1" x14ac:dyDescent="0.25">
      <c r="A25" s="1057"/>
      <c r="B25" s="1054"/>
      <c r="C25" s="1055"/>
    </row>
    <row r="26" spans="1:21" s="531" customFormat="1" ht="30.65" customHeight="1" x14ac:dyDescent="0.25">
      <c r="A26" s="1346" t="s">
        <v>295</v>
      </c>
      <c r="B26" s="1347"/>
      <c r="C26" s="1060">
        <f>+C24-B24</f>
        <v>0</v>
      </c>
    </row>
    <row r="27" spans="1:21" s="531" customFormat="1" x14ac:dyDescent="0.25">
      <c r="C27" s="300" t="s">
        <v>75</v>
      </c>
    </row>
    <row r="28" spans="1:21" s="531" customFormat="1" x14ac:dyDescent="0.25">
      <c r="C28" s="300" t="s">
        <v>76</v>
      </c>
    </row>
    <row r="29" spans="1:21" s="531" customFormat="1" x14ac:dyDescent="0.25"/>
    <row r="30" spans="1:21" s="531" customFormat="1" x14ac:dyDescent="0.25"/>
    <row r="31" spans="1:21" s="531" customFormat="1" ht="13" x14ac:dyDescent="0.25">
      <c r="B31" s="1048" t="s">
        <v>0</v>
      </c>
      <c r="C31" s="1049" t="s">
        <v>1</v>
      </c>
    </row>
    <row r="32" spans="1:21" s="531" customFormat="1" ht="13" x14ac:dyDescent="0.25">
      <c r="A32" s="1050" t="s">
        <v>17</v>
      </c>
      <c r="B32" s="1051">
        <f>+B19</f>
        <v>2021</v>
      </c>
      <c r="C32" s="1052">
        <f>+C19</f>
        <v>2021</v>
      </c>
    </row>
    <row r="33" spans="1:3" s="531" customFormat="1" ht="30.65" customHeight="1" x14ac:dyDescent="0.25">
      <c r="A33" s="1053" t="s">
        <v>438</v>
      </c>
      <c r="B33" s="1061">
        <f>IF(A13="elektriciteit",T13A!C4+T13B!C4,IF('T9 - Overzicht'!A13="gas",T13C!C4+T13D!C4,"FOUT"))</f>
        <v>0</v>
      </c>
      <c r="C33" s="1062">
        <f>IF(A13="elektriciteit",T13A!D4+T13B!D4,IF('T9 - Overzicht'!A13="gas",T13C!D4+T13D!D4,"FOUT"))</f>
        <v>0</v>
      </c>
    </row>
    <row r="34" spans="1:3" s="531" customFormat="1" ht="30.65" customHeight="1" x14ac:dyDescent="0.25">
      <c r="A34" s="1057" t="s">
        <v>360</v>
      </c>
      <c r="B34" s="1061">
        <f>+'T14'!D34</f>
        <v>0</v>
      </c>
      <c r="C34" s="1062">
        <f>+'T14'!E34</f>
        <v>0</v>
      </c>
    </row>
    <row r="35" spans="1:3" s="531" customFormat="1" x14ac:dyDescent="0.25">
      <c r="A35" s="1057"/>
      <c r="B35" s="1054"/>
      <c r="C35" s="1055"/>
    </row>
    <row r="36" spans="1:3" s="531" customFormat="1" ht="30.65" customHeight="1" x14ac:dyDescent="0.25">
      <c r="A36" s="1058" t="s">
        <v>377</v>
      </c>
      <c r="B36" s="1059">
        <f>+B33+B34</f>
        <v>0</v>
      </c>
      <c r="C36" s="1060">
        <f>+C34+C33</f>
        <v>0</v>
      </c>
    </row>
    <row r="37" spans="1:3" s="531" customFormat="1" x14ac:dyDescent="0.25">
      <c r="A37" s="1057"/>
      <c r="B37" s="1054"/>
      <c r="C37" s="1055"/>
    </row>
    <row r="38" spans="1:3" s="531" customFormat="1" ht="30.65" customHeight="1" x14ac:dyDescent="0.25">
      <c r="A38" s="1346" t="s">
        <v>303</v>
      </c>
      <c r="B38" s="1347"/>
      <c r="C38" s="1060">
        <f>+C36-B36</f>
        <v>0</v>
      </c>
    </row>
    <row r="39" spans="1:3" s="531" customFormat="1" x14ac:dyDescent="0.25">
      <c r="C39" s="300" t="s">
        <v>75</v>
      </c>
    </row>
    <row r="40" spans="1:3" s="531" customFormat="1" x14ac:dyDescent="0.25">
      <c r="C40" s="300" t="s">
        <v>76</v>
      </c>
    </row>
    <row r="41" spans="1:3" s="531" customFormat="1" x14ac:dyDescent="0.25"/>
    <row r="42" spans="1:3" s="531" customFormat="1" x14ac:dyDescent="0.25"/>
    <row r="43" spans="1:3" s="531" customFormat="1" x14ac:dyDescent="0.25"/>
    <row r="44" spans="1:3" s="531" customFormat="1" x14ac:dyDescent="0.25"/>
    <row r="45" spans="1:3" s="531" customFormat="1" x14ac:dyDescent="0.25"/>
    <row r="46" spans="1:3" s="531" customFormat="1" x14ac:dyDescent="0.25"/>
    <row r="47" spans="1:3" s="531" customFormat="1" x14ac:dyDescent="0.25"/>
    <row r="48" spans="1:3" s="531" customFormat="1" x14ac:dyDescent="0.25"/>
    <row r="49" s="531" customFormat="1" x14ac:dyDescent="0.25"/>
    <row r="50" s="531" customFormat="1" x14ac:dyDescent="0.25"/>
    <row r="51" s="531" customFormat="1" x14ac:dyDescent="0.25"/>
    <row r="52" s="531" customFormat="1" x14ac:dyDescent="0.25"/>
    <row r="53" s="531" customFormat="1" x14ac:dyDescent="0.25"/>
    <row r="54" s="531" customFormat="1" x14ac:dyDescent="0.25"/>
    <row r="55" s="531" customFormat="1" x14ac:dyDescent="0.25"/>
    <row r="56" s="531" customFormat="1" x14ac:dyDescent="0.25"/>
    <row r="57" s="531" customFormat="1" x14ac:dyDescent="0.25"/>
    <row r="58" s="531" customFormat="1" x14ac:dyDescent="0.25"/>
    <row r="59" s="531" customFormat="1" x14ac:dyDescent="0.25"/>
    <row r="60" s="531" customFormat="1" x14ac:dyDescent="0.25"/>
    <row r="61" s="531" customFormat="1" x14ac:dyDescent="0.25"/>
    <row r="62" s="531" customFormat="1" x14ac:dyDescent="0.25"/>
    <row r="63" s="531" customFormat="1" x14ac:dyDescent="0.25"/>
    <row r="64" s="531" customFormat="1" x14ac:dyDescent="0.25"/>
    <row r="65" s="531" customFormat="1" x14ac:dyDescent="0.25"/>
    <row r="66" s="531" customFormat="1" x14ac:dyDescent="0.25"/>
    <row r="67" s="531" customFormat="1" x14ac:dyDescent="0.25"/>
    <row r="68" s="531" customFormat="1" x14ac:dyDescent="0.25"/>
    <row r="69" s="531" customFormat="1" x14ac:dyDescent="0.25"/>
    <row r="70" s="531" customFormat="1" x14ac:dyDescent="0.25"/>
    <row r="71" s="531" customFormat="1" x14ac:dyDescent="0.25"/>
    <row r="72" s="531" customFormat="1" x14ac:dyDescent="0.25"/>
    <row r="73" s="531" customFormat="1" x14ac:dyDescent="0.25"/>
    <row r="74" s="531" customFormat="1" x14ac:dyDescent="0.25"/>
    <row r="75" s="531" customFormat="1" x14ac:dyDescent="0.25"/>
    <row r="76" s="531" customFormat="1" x14ac:dyDescent="0.25"/>
    <row r="77" s="531" customFormat="1" x14ac:dyDescent="0.25"/>
    <row r="78" s="531" customFormat="1" x14ac:dyDescent="0.25"/>
    <row r="79" s="531" customFormat="1" x14ac:dyDescent="0.25"/>
    <row r="80" s="531" customFormat="1" x14ac:dyDescent="0.25"/>
    <row r="81" s="531" customFormat="1" x14ac:dyDescent="0.25"/>
    <row r="82" s="531" customFormat="1" x14ac:dyDescent="0.25"/>
    <row r="83" s="531" customFormat="1" x14ac:dyDescent="0.25"/>
    <row r="84" s="531" customFormat="1" x14ac:dyDescent="0.25"/>
    <row r="85" s="531" customFormat="1" x14ac:dyDescent="0.25"/>
    <row r="86" s="531" customFormat="1" x14ac:dyDescent="0.25"/>
    <row r="87" s="531" customFormat="1" x14ac:dyDescent="0.25"/>
    <row r="88" s="531" customFormat="1" x14ac:dyDescent="0.25"/>
    <row r="89" s="531" customFormat="1" x14ac:dyDescent="0.25"/>
    <row r="90" s="531" customFormat="1" x14ac:dyDescent="0.25"/>
    <row r="91" s="531" customFormat="1" x14ac:dyDescent="0.25"/>
    <row r="92" s="531" customFormat="1" x14ac:dyDescent="0.25"/>
    <row r="93" s="531" customFormat="1" x14ac:dyDescent="0.25"/>
    <row r="94" s="531" customFormat="1" x14ac:dyDescent="0.25"/>
    <row r="95" s="531" customFormat="1" x14ac:dyDescent="0.25"/>
    <row r="96" s="531" customFormat="1" x14ac:dyDescent="0.25"/>
    <row r="97" s="531" customFormat="1" x14ac:dyDescent="0.25"/>
    <row r="98" s="531" customFormat="1" x14ac:dyDescent="0.25"/>
    <row r="99" s="531" customFormat="1" x14ac:dyDescent="0.25"/>
    <row r="100" s="531" customFormat="1" x14ac:dyDescent="0.25"/>
    <row r="101" s="531" customFormat="1" x14ac:dyDescent="0.25"/>
    <row r="102" s="531" customFormat="1" x14ac:dyDescent="0.25"/>
    <row r="103" s="531" customFormat="1" x14ac:dyDescent="0.25"/>
    <row r="104" s="531" customFormat="1" x14ac:dyDescent="0.25"/>
    <row r="105" s="531" customFormat="1" x14ac:dyDescent="0.25"/>
    <row r="106" s="531" customFormat="1" x14ac:dyDescent="0.25"/>
    <row r="107" s="531" customFormat="1" x14ac:dyDescent="0.25"/>
    <row r="108" s="531" customFormat="1" x14ac:dyDescent="0.25"/>
    <row r="109" s="531" customFormat="1" x14ac:dyDescent="0.25"/>
    <row r="110" s="531" customFormat="1" x14ac:dyDescent="0.25"/>
    <row r="111" s="531" customFormat="1" x14ac:dyDescent="0.25"/>
    <row r="112" s="531" customFormat="1" x14ac:dyDescent="0.25"/>
    <row r="113" s="531" customFormat="1" x14ac:dyDescent="0.25"/>
    <row r="114" s="531" customFormat="1" x14ac:dyDescent="0.25"/>
    <row r="115" s="531" customFormat="1" x14ac:dyDescent="0.25"/>
    <row r="116" s="531" customFormat="1" x14ac:dyDescent="0.25"/>
    <row r="117" s="531" customFormat="1" x14ac:dyDescent="0.25"/>
    <row r="118" s="531" customFormat="1" x14ac:dyDescent="0.25"/>
    <row r="119" s="531" customFormat="1" x14ac:dyDescent="0.25"/>
    <row r="120" s="531" customFormat="1" x14ac:dyDescent="0.25"/>
    <row r="121" s="531" customFormat="1" x14ac:dyDescent="0.25"/>
    <row r="122" s="531" customFormat="1" x14ac:dyDescent="0.25"/>
    <row r="123" s="531" customFormat="1" x14ac:dyDescent="0.25"/>
    <row r="124" s="531" customFormat="1" x14ac:dyDescent="0.25"/>
    <row r="125" s="531" customFormat="1" x14ac:dyDescent="0.25"/>
    <row r="126" s="531" customFormat="1" x14ac:dyDescent="0.25"/>
    <row r="127" s="531" customFormat="1" x14ac:dyDescent="0.25"/>
    <row r="128" s="531" customFormat="1" x14ac:dyDescent="0.25"/>
    <row r="129" s="531" customFormat="1" x14ac:dyDescent="0.25"/>
    <row r="130" s="531" customFormat="1" x14ac:dyDescent="0.25"/>
    <row r="131" s="531" customFormat="1" x14ac:dyDescent="0.25"/>
    <row r="132" s="531" customFormat="1" x14ac:dyDescent="0.25"/>
    <row r="133" s="531" customFormat="1" x14ac:dyDescent="0.25"/>
    <row r="134" s="531" customFormat="1" x14ac:dyDescent="0.25"/>
    <row r="135" s="531" customFormat="1" x14ac:dyDescent="0.25"/>
    <row r="136" s="531" customFormat="1" x14ac:dyDescent="0.25"/>
    <row r="137" s="531" customFormat="1" x14ac:dyDescent="0.25"/>
    <row r="138" s="531" customFormat="1" x14ac:dyDescent="0.25"/>
    <row r="139" s="531" customFormat="1" x14ac:dyDescent="0.25"/>
    <row r="140" s="531" customFormat="1" x14ac:dyDescent="0.25"/>
    <row r="141" s="531" customFormat="1" x14ac:dyDescent="0.25"/>
    <row r="142" s="531" customFormat="1" x14ac:dyDescent="0.25"/>
    <row r="143" s="531" customFormat="1" x14ac:dyDescent="0.25"/>
    <row r="144" s="531" customFormat="1" x14ac:dyDescent="0.25"/>
    <row r="145" s="531" customFormat="1" x14ac:dyDescent="0.25"/>
    <row r="146" s="531" customFormat="1" x14ac:dyDescent="0.25"/>
    <row r="147" s="531" customFormat="1" x14ac:dyDescent="0.25"/>
    <row r="148" s="531" customFormat="1" x14ac:dyDescent="0.25"/>
    <row r="149" s="531" customFormat="1" x14ac:dyDescent="0.25"/>
    <row r="150" s="531" customFormat="1" x14ac:dyDescent="0.25"/>
    <row r="151" s="531" customFormat="1" x14ac:dyDescent="0.25"/>
    <row r="152" s="531" customFormat="1" x14ac:dyDescent="0.25"/>
    <row r="153" s="531" customFormat="1" x14ac:dyDescent="0.25"/>
    <row r="154" s="531" customFormat="1" x14ac:dyDescent="0.25"/>
    <row r="155" s="531" customFormat="1" x14ac:dyDescent="0.25"/>
    <row r="156" s="531" customFormat="1" x14ac:dyDescent="0.25"/>
    <row r="157" s="531" customFormat="1" x14ac:dyDescent="0.25"/>
    <row r="158" s="531" customFormat="1" x14ac:dyDescent="0.25"/>
    <row r="159" s="531" customFormat="1" x14ac:dyDescent="0.25"/>
    <row r="160" s="531" customFormat="1" x14ac:dyDescent="0.25"/>
    <row r="161" s="531" customFormat="1" x14ac:dyDescent="0.25"/>
    <row r="162" s="531" customFormat="1" x14ac:dyDescent="0.25"/>
    <row r="163" s="531" customFormat="1" x14ac:dyDescent="0.25"/>
    <row r="164" s="531" customFormat="1" x14ac:dyDescent="0.25"/>
    <row r="165" s="531" customFormat="1" x14ac:dyDescent="0.25"/>
    <row r="166" s="531" customFormat="1" x14ac:dyDescent="0.25"/>
    <row r="167" s="531" customFormat="1" x14ac:dyDescent="0.25"/>
    <row r="168" s="531" customFormat="1" x14ac:dyDescent="0.25"/>
    <row r="169" s="531" customFormat="1" x14ac:dyDescent="0.25"/>
    <row r="170" s="531" customFormat="1" x14ac:dyDescent="0.25"/>
    <row r="171" s="531" customFormat="1" x14ac:dyDescent="0.25"/>
    <row r="172" s="531" customFormat="1" x14ac:dyDescent="0.25"/>
    <row r="173" s="531" customFormat="1" x14ac:dyDescent="0.25"/>
    <row r="174" s="531" customFormat="1" x14ac:dyDescent="0.25"/>
    <row r="175" s="531" customFormat="1" x14ac:dyDescent="0.25"/>
    <row r="176" s="531" customFormat="1" x14ac:dyDescent="0.25"/>
    <row r="177" s="531" customFormat="1" x14ac:dyDescent="0.25"/>
    <row r="178" s="531" customFormat="1" x14ac:dyDescent="0.25"/>
    <row r="179" s="531" customFormat="1" x14ac:dyDescent="0.25"/>
    <row r="180" s="531" customFormat="1" x14ac:dyDescent="0.25"/>
    <row r="181" s="531" customFormat="1" x14ac:dyDescent="0.25"/>
    <row r="182" s="531" customFormat="1" x14ac:dyDescent="0.25"/>
    <row r="183" s="531" customFormat="1" x14ac:dyDescent="0.25"/>
    <row r="184" s="531" customFormat="1" x14ac:dyDescent="0.25"/>
    <row r="185" s="531" customFormat="1" x14ac:dyDescent="0.25"/>
    <row r="186" s="531" customFormat="1" x14ac:dyDescent="0.25"/>
    <row r="187" s="531" customFormat="1" x14ac:dyDescent="0.25"/>
    <row r="188" s="531" customFormat="1" x14ac:dyDescent="0.25"/>
    <row r="189" s="531" customFormat="1" x14ac:dyDescent="0.25"/>
    <row r="190" s="531" customFormat="1" x14ac:dyDescent="0.25"/>
    <row r="191" s="531" customFormat="1" x14ac:dyDescent="0.25"/>
    <row r="192" s="531" customFormat="1" x14ac:dyDescent="0.25"/>
    <row r="193" s="531" customFormat="1" x14ac:dyDescent="0.25"/>
    <row r="194" s="531" customFormat="1" x14ac:dyDescent="0.25"/>
    <row r="195" s="531" customFormat="1" x14ac:dyDescent="0.25"/>
    <row r="196" s="531" customFormat="1" x14ac:dyDescent="0.25"/>
    <row r="197" s="531" customFormat="1" x14ac:dyDescent="0.25"/>
    <row r="198" s="531" customFormat="1" x14ac:dyDescent="0.25"/>
    <row r="199" s="531" customFormat="1" x14ac:dyDescent="0.25"/>
    <row r="200" s="531" customFormat="1" x14ac:dyDescent="0.25"/>
    <row r="201" s="531" customFormat="1" x14ac:dyDescent="0.25"/>
    <row r="202" s="531" customFormat="1" x14ac:dyDescent="0.25"/>
    <row r="203" s="531" customFormat="1" x14ac:dyDescent="0.25"/>
    <row r="204" s="531" customFormat="1" x14ac:dyDescent="0.25"/>
    <row r="205" s="531" customFormat="1" x14ac:dyDescent="0.25"/>
    <row r="206" s="531" customFormat="1" x14ac:dyDescent="0.25"/>
    <row r="207" s="531" customFormat="1" x14ac:dyDescent="0.25"/>
    <row r="208" s="531" customFormat="1" x14ac:dyDescent="0.25"/>
    <row r="209" s="531" customFormat="1" x14ac:dyDescent="0.25"/>
    <row r="210" s="531" customFormat="1" x14ac:dyDescent="0.25"/>
    <row r="211" s="531" customFormat="1" x14ac:dyDescent="0.25"/>
    <row r="212" s="531" customFormat="1" x14ac:dyDescent="0.25"/>
    <row r="213" s="531" customFormat="1" x14ac:dyDescent="0.25"/>
    <row r="214" s="531" customFormat="1" x14ac:dyDescent="0.25"/>
    <row r="215" s="531" customFormat="1" x14ac:dyDescent="0.25"/>
    <row r="216" s="531" customFormat="1" x14ac:dyDescent="0.25"/>
    <row r="217" s="531" customFormat="1" x14ac:dyDescent="0.25"/>
    <row r="218" s="531" customFormat="1" x14ac:dyDescent="0.25"/>
    <row r="219" s="531" customFormat="1" x14ac:dyDescent="0.25"/>
    <row r="220" s="531" customFormat="1" x14ac:dyDescent="0.25"/>
    <row r="221" s="531" customFormat="1" x14ac:dyDescent="0.25"/>
    <row r="222" s="531" customFormat="1" x14ac:dyDescent="0.25"/>
    <row r="223" s="531" customFormat="1" x14ac:dyDescent="0.25"/>
    <row r="224" s="531" customFormat="1" x14ac:dyDescent="0.25"/>
    <row r="225" s="531" customFormat="1" x14ac:dyDescent="0.25"/>
    <row r="226" s="531" customFormat="1" x14ac:dyDescent="0.25"/>
    <row r="227" s="531" customFormat="1" x14ac:dyDescent="0.25"/>
    <row r="228" s="531" customFormat="1" x14ac:dyDescent="0.25"/>
    <row r="229" s="531" customFormat="1" x14ac:dyDescent="0.25"/>
    <row r="230" s="531" customFormat="1" x14ac:dyDescent="0.25"/>
    <row r="231" s="531" customFormat="1" x14ac:dyDescent="0.25"/>
    <row r="232" s="531" customFormat="1" x14ac:dyDescent="0.25"/>
    <row r="233" s="531" customFormat="1" x14ac:dyDescent="0.25"/>
    <row r="234" s="531" customFormat="1" x14ac:dyDescent="0.25"/>
    <row r="235" s="531" customFormat="1" x14ac:dyDescent="0.25"/>
    <row r="236" s="531" customFormat="1" x14ac:dyDescent="0.25"/>
    <row r="237" s="531" customFormat="1" x14ac:dyDescent="0.25"/>
    <row r="238" s="531" customFormat="1" x14ac:dyDescent="0.25"/>
    <row r="239" s="531" customFormat="1" x14ac:dyDescent="0.25"/>
    <row r="240" s="531" customFormat="1" x14ac:dyDescent="0.25"/>
    <row r="241" s="531" customFormat="1" x14ac:dyDescent="0.25"/>
    <row r="242" s="531" customFormat="1" x14ac:dyDescent="0.25"/>
    <row r="243" s="531" customFormat="1" x14ac:dyDescent="0.25"/>
    <row r="244" s="531" customFormat="1" x14ac:dyDescent="0.25"/>
    <row r="245" s="531" customFormat="1" x14ac:dyDescent="0.25"/>
    <row r="246" s="531" customFormat="1" x14ac:dyDescent="0.25"/>
    <row r="247" s="531" customFormat="1" x14ac:dyDescent="0.25"/>
    <row r="248" s="531" customFormat="1" x14ac:dyDescent="0.25"/>
    <row r="249" s="531" customFormat="1" x14ac:dyDescent="0.25"/>
    <row r="250" s="531" customFormat="1" x14ac:dyDescent="0.25"/>
    <row r="251" s="531" customFormat="1" x14ac:dyDescent="0.25"/>
    <row r="252" s="531" customFormat="1" x14ac:dyDescent="0.25"/>
    <row r="253" s="531" customFormat="1" x14ac:dyDescent="0.25"/>
    <row r="254" s="531" customFormat="1" x14ac:dyDescent="0.25"/>
    <row r="255" s="531" customFormat="1" x14ac:dyDescent="0.25"/>
    <row r="256" s="531" customFormat="1" x14ac:dyDescent="0.25"/>
    <row r="257" s="531" customFormat="1" x14ac:dyDescent="0.25"/>
    <row r="258" s="531" customFormat="1" x14ac:dyDescent="0.25"/>
    <row r="259" s="531" customFormat="1" x14ac:dyDescent="0.25"/>
    <row r="260" s="531" customFormat="1" x14ac:dyDescent="0.25"/>
    <row r="261" s="531" customFormat="1" x14ac:dyDescent="0.25"/>
    <row r="262" s="531" customFormat="1" x14ac:dyDescent="0.25"/>
    <row r="263" s="531" customFormat="1" x14ac:dyDescent="0.25"/>
    <row r="264" s="531" customFormat="1" x14ac:dyDescent="0.25"/>
    <row r="265" s="531" customFormat="1" x14ac:dyDescent="0.25"/>
    <row r="266" s="531" customFormat="1" x14ac:dyDescent="0.25"/>
    <row r="267" s="531" customFormat="1" x14ac:dyDescent="0.25"/>
    <row r="268" s="531" customFormat="1" x14ac:dyDescent="0.25"/>
    <row r="269" s="531" customFormat="1" x14ac:dyDescent="0.25"/>
    <row r="270" s="531" customFormat="1" x14ac:dyDescent="0.25"/>
    <row r="271" s="531" customFormat="1" x14ac:dyDescent="0.25"/>
    <row r="272" s="531" customFormat="1" x14ac:dyDescent="0.25"/>
    <row r="273" s="531" customFormat="1" x14ac:dyDescent="0.25"/>
    <row r="274" s="531" customFormat="1" x14ac:dyDescent="0.25"/>
    <row r="275" s="531" customFormat="1" x14ac:dyDescent="0.25"/>
    <row r="276" s="531" customFormat="1" x14ac:dyDescent="0.25"/>
    <row r="277" s="531" customFormat="1" x14ac:dyDescent="0.25"/>
    <row r="278" s="531" customFormat="1" x14ac:dyDescent="0.25"/>
    <row r="279" s="531" customFormat="1" x14ac:dyDescent="0.25"/>
    <row r="280" s="531" customFormat="1" x14ac:dyDescent="0.25"/>
    <row r="281" s="531" customFormat="1" x14ac:dyDescent="0.25"/>
    <row r="282" s="531" customFormat="1" x14ac:dyDescent="0.25"/>
    <row r="283" s="531" customFormat="1" x14ac:dyDescent="0.25"/>
    <row r="284" s="531" customFormat="1" x14ac:dyDescent="0.25"/>
    <row r="285" s="531" customFormat="1" x14ac:dyDescent="0.25"/>
    <row r="286" s="531" customFormat="1" x14ac:dyDescent="0.25"/>
    <row r="287" s="531" customFormat="1" x14ac:dyDescent="0.25"/>
    <row r="288" s="531" customFormat="1" x14ac:dyDescent="0.25"/>
    <row r="289" s="531" customFormat="1" x14ac:dyDescent="0.25"/>
    <row r="290" s="531" customFormat="1" x14ac:dyDescent="0.25"/>
    <row r="291" s="531" customFormat="1" x14ac:dyDescent="0.25"/>
    <row r="292" s="531" customFormat="1" x14ac:dyDescent="0.25"/>
    <row r="293" s="531" customFormat="1" x14ac:dyDescent="0.25"/>
    <row r="294" s="531" customFormat="1" x14ac:dyDescent="0.25"/>
    <row r="295" s="531" customFormat="1" x14ac:dyDescent="0.25"/>
    <row r="296" s="531" customFormat="1" x14ac:dyDescent="0.25"/>
    <row r="297" s="531" customFormat="1" x14ac:dyDescent="0.25"/>
    <row r="298" s="531" customFormat="1" x14ac:dyDescent="0.25"/>
    <row r="299" s="531" customFormat="1" x14ac:dyDescent="0.25"/>
    <row r="300" s="531" customFormat="1" x14ac:dyDescent="0.25"/>
    <row r="301" s="531" customFormat="1" x14ac:dyDescent="0.25"/>
    <row r="302" s="531" customFormat="1" x14ac:dyDescent="0.25"/>
    <row r="303" s="531" customFormat="1" x14ac:dyDescent="0.25"/>
    <row r="304" s="531" customFormat="1" x14ac:dyDescent="0.25"/>
    <row r="305" s="531" customFormat="1" x14ac:dyDescent="0.25"/>
    <row r="306" s="531" customFormat="1" x14ac:dyDescent="0.25"/>
    <row r="307" s="531" customFormat="1" x14ac:dyDescent="0.25"/>
    <row r="308" s="531" customFormat="1" x14ac:dyDescent="0.25"/>
    <row r="309" s="531" customFormat="1" x14ac:dyDescent="0.25"/>
    <row r="310" s="531" customFormat="1" x14ac:dyDescent="0.25"/>
    <row r="311" s="531" customFormat="1" x14ac:dyDescent="0.25"/>
    <row r="312" s="531" customFormat="1" x14ac:dyDescent="0.25"/>
    <row r="313" s="531" customFormat="1" x14ac:dyDescent="0.25"/>
    <row r="314" s="531" customFormat="1" x14ac:dyDescent="0.25"/>
    <row r="315" s="531" customFormat="1" x14ac:dyDescent="0.25"/>
    <row r="316" s="531" customFormat="1" x14ac:dyDescent="0.25"/>
    <row r="317" s="531" customFormat="1" x14ac:dyDescent="0.25"/>
    <row r="318" s="531" customFormat="1" x14ac:dyDescent="0.25"/>
    <row r="319" s="531" customFormat="1" x14ac:dyDescent="0.25"/>
    <row r="320" s="531" customFormat="1" x14ac:dyDescent="0.25"/>
    <row r="321" s="531" customFormat="1" x14ac:dyDescent="0.25"/>
    <row r="322" s="531" customFormat="1" x14ac:dyDescent="0.25"/>
    <row r="323" s="531" customFormat="1" x14ac:dyDescent="0.25"/>
    <row r="324" s="531" customFormat="1" x14ac:dyDescent="0.25"/>
    <row r="325" s="531" customFormat="1" x14ac:dyDescent="0.25"/>
    <row r="326" s="531" customFormat="1" x14ac:dyDescent="0.25"/>
    <row r="327" s="531" customFormat="1" x14ac:dyDescent="0.25"/>
    <row r="328" s="531" customFormat="1" x14ac:dyDescent="0.25"/>
    <row r="329" s="531" customFormat="1" x14ac:dyDescent="0.25"/>
    <row r="330" s="531" customFormat="1" x14ac:dyDescent="0.25"/>
    <row r="331" s="531" customFormat="1" x14ac:dyDescent="0.25"/>
    <row r="332" s="531" customFormat="1" x14ac:dyDescent="0.25"/>
    <row r="333" s="531" customFormat="1" x14ac:dyDescent="0.25"/>
    <row r="334" s="531" customFormat="1" x14ac:dyDescent="0.25"/>
    <row r="335" s="531" customFormat="1" x14ac:dyDescent="0.25"/>
    <row r="336" s="531" customFormat="1" x14ac:dyDescent="0.25"/>
    <row r="337" s="531" customFormat="1" x14ac:dyDescent="0.25"/>
    <row r="338" s="531" customFormat="1" x14ac:dyDescent="0.25"/>
    <row r="339" s="531" customFormat="1" x14ac:dyDescent="0.25"/>
    <row r="340" s="531" customFormat="1" x14ac:dyDescent="0.25"/>
    <row r="341" s="531" customFormat="1" x14ac:dyDescent="0.25"/>
    <row r="342" s="531" customFormat="1" x14ac:dyDescent="0.25"/>
    <row r="343" s="531" customFormat="1" x14ac:dyDescent="0.25"/>
    <row r="344" s="531" customFormat="1" x14ac:dyDescent="0.25"/>
    <row r="345" s="531" customFormat="1" x14ac:dyDescent="0.25"/>
    <row r="346" s="531" customFormat="1" x14ac:dyDescent="0.25"/>
    <row r="347" s="531" customFormat="1" x14ac:dyDescent="0.25"/>
    <row r="348" s="531" customFormat="1" x14ac:dyDescent="0.25"/>
    <row r="349" s="531" customFormat="1" x14ac:dyDescent="0.25"/>
    <row r="350" s="531" customFormat="1" x14ac:dyDescent="0.25"/>
    <row r="351" s="531" customFormat="1" x14ac:dyDescent="0.25"/>
    <row r="352" s="531" customFormat="1" x14ac:dyDescent="0.25"/>
    <row r="353" s="531" customFormat="1" x14ac:dyDescent="0.25"/>
    <row r="354" s="531" customFormat="1" x14ac:dyDescent="0.25"/>
    <row r="355" s="531" customFormat="1" x14ac:dyDescent="0.25"/>
    <row r="356" s="531" customFormat="1" x14ac:dyDescent="0.25"/>
    <row r="357" s="531" customFormat="1" x14ac:dyDescent="0.25"/>
    <row r="358" s="531" customFormat="1" x14ac:dyDescent="0.25"/>
    <row r="359" s="531" customFormat="1" x14ac:dyDescent="0.25"/>
    <row r="360" s="531" customFormat="1" x14ac:dyDescent="0.25"/>
    <row r="361" s="531" customFormat="1" x14ac:dyDescent="0.25"/>
    <row r="362" s="531" customFormat="1" x14ac:dyDescent="0.25"/>
    <row r="363" s="531" customFormat="1" x14ac:dyDescent="0.25"/>
    <row r="364" s="531" customFormat="1" x14ac:dyDescent="0.25"/>
    <row r="365" s="531" customFormat="1" x14ac:dyDescent="0.25"/>
    <row r="366" s="531" customFormat="1" x14ac:dyDescent="0.25"/>
    <row r="367" s="531" customFormat="1" x14ac:dyDescent="0.25"/>
    <row r="368" s="531" customFormat="1" x14ac:dyDescent="0.25"/>
    <row r="369" s="531" customFormat="1" x14ac:dyDescent="0.25"/>
    <row r="370" s="531" customFormat="1" x14ac:dyDescent="0.25"/>
    <row r="371" s="531" customFormat="1" x14ac:dyDescent="0.25"/>
    <row r="372" s="531" customFormat="1" x14ac:dyDescent="0.25"/>
    <row r="373" s="531" customFormat="1" x14ac:dyDescent="0.25"/>
    <row r="374" s="531" customFormat="1" x14ac:dyDescent="0.25"/>
    <row r="375" s="531" customFormat="1" x14ac:dyDescent="0.25"/>
    <row r="376" s="531" customFormat="1" x14ac:dyDescent="0.25"/>
    <row r="377" s="531" customFormat="1" x14ac:dyDescent="0.25"/>
    <row r="378" s="531" customFormat="1" x14ac:dyDescent="0.25"/>
    <row r="379" s="531" customFormat="1" x14ac:dyDescent="0.25"/>
    <row r="380" s="531" customFormat="1" x14ac:dyDescent="0.25"/>
    <row r="381" s="531" customFormat="1" x14ac:dyDescent="0.25"/>
    <row r="382" s="531" customFormat="1" x14ac:dyDescent="0.25"/>
    <row r="383" s="531" customFormat="1" x14ac:dyDescent="0.25"/>
    <row r="384" s="531" customFormat="1" x14ac:dyDescent="0.25"/>
    <row r="385" s="531" customFormat="1" x14ac:dyDescent="0.25"/>
    <row r="386" s="531" customFormat="1" x14ac:dyDescent="0.25"/>
    <row r="387" s="531" customFormat="1" x14ac:dyDescent="0.25"/>
    <row r="388" s="531" customFormat="1" x14ac:dyDescent="0.25"/>
    <row r="389" s="531" customFormat="1" x14ac:dyDescent="0.25"/>
    <row r="390" s="531" customFormat="1" x14ac:dyDescent="0.25"/>
    <row r="391" s="531" customFormat="1" x14ac:dyDescent="0.25"/>
    <row r="392" s="531" customFormat="1" x14ac:dyDescent="0.25"/>
    <row r="393" s="531" customFormat="1" x14ac:dyDescent="0.25"/>
    <row r="394" s="531" customFormat="1" x14ac:dyDescent="0.25"/>
    <row r="395" s="531" customFormat="1" x14ac:dyDescent="0.25"/>
    <row r="396" s="531" customFormat="1" x14ac:dyDescent="0.25"/>
    <row r="397" s="531" customFormat="1" x14ac:dyDescent="0.25"/>
    <row r="398" s="531" customFormat="1" x14ac:dyDescent="0.25"/>
    <row r="399" s="531" customFormat="1" x14ac:dyDescent="0.25"/>
    <row r="400" s="531" customFormat="1" x14ac:dyDescent="0.25"/>
    <row r="401" s="531" customFormat="1" x14ac:dyDescent="0.25"/>
    <row r="402" s="531" customFormat="1" x14ac:dyDescent="0.25"/>
    <row r="403" s="531" customFormat="1" x14ac:dyDescent="0.25"/>
    <row r="404" s="531" customFormat="1" x14ac:dyDescent="0.25"/>
    <row r="405" s="531" customFormat="1" x14ac:dyDescent="0.25"/>
    <row r="406" s="531" customFormat="1" x14ac:dyDescent="0.25"/>
    <row r="407" s="531" customFormat="1" x14ac:dyDescent="0.25"/>
    <row r="408" s="531" customFormat="1" x14ac:dyDescent="0.25"/>
    <row r="409" s="531" customFormat="1" x14ac:dyDescent="0.25"/>
    <row r="410" s="531" customFormat="1" x14ac:dyDescent="0.25"/>
    <row r="411" s="531" customFormat="1" x14ac:dyDescent="0.25"/>
    <row r="412" s="531" customFormat="1" x14ac:dyDescent="0.25"/>
    <row r="413" s="531" customFormat="1" x14ac:dyDescent="0.25"/>
    <row r="414" s="531" customFormat="1" x14ac:dyDescent="0.25"/>
    <row r="415" s="531" customFormat="1" x14ac:dyDescent="0.25"/>
    <row r="416" s="531" customFormat="1" x14ac:dyDescent="0.25"/>
    <row r="417" s="531" customFormat="1" x14ac:dyDescent="0.25"/>
    <row r="418" s="531" customFormat="1" x14ac:dyDescent="0.25"/>
    <row r="419" s="531" customFormat="1" x14ac:dyDescent="0.25"/>
    <row r="420" s="531" customFormat="1" x14ac:dyDescent="0.25"/>
    <row r="421" s="531" customFormat="1" x14ac:dyDescent="0.25"/>
    <row r="422" s="531" customFormat="1" x14ac:dyDescent="0.25"/>
    <row r="423" s="531" customFormat="1" x14ac:dyDescent="0.25"/>
    <row r="424" s="531" customFormat="1" x14ac:dyDescent="0.25"/>
    <row r="425" s="531" customFormat="1" x14ac:dyDescent="0.25"/>
    <row r="426" s="531" customFormat="1" x14ac:dyDescent="0.25"/>
    <row r="427" s="531" customFormat="1" x14ac:dyDescent="0.25"/>
    <row r="428" s="531" customFormat="1" x14ac:dyDescent="0.25"/>
    <row r="429" s="531" customFormat="1" x14ac:dyDescent="0.25"/>
    <row r="430" s="531" customFormat="1" x14ac:dyDescent="0.25"/>
    <row r="431" s="531" customFormat="1" x14ac:dyDescent="0.25"/>
    <row r="432" s="531" customFormat="1" x14ac:dyDescent="0.25"/>
    <row r="433" s="531" customFormat="1" x14ac:dyDescent="0.25"/>
    <row r="434" s="531" customFormat="1" x14ac:dyDescent="0.25"/>
    <row r="435" s="531" customFormat="1" x14ac:dyDescent="0.25"/>
    <row r="436" s="531" customFormat="1" x14ac:dyDescent="0.25"/>
    <row r="437" s="531" customFormat="1" x14ac:dyDescent="0.25"/>
    <row r="438" s="531" customFormat="1" x14ac:dyDescent="0.25"/>
    <row r="439" s="531" customFormat="1" x14ac:dyDescent="0.25"/>
    <row r="440" s="531" customFormat="1" x14ac:dyDescent="0.25"/>
    <row r="441" s="531" customFormat="1" x14ac:dyDescent="0.25"/>
    <row r="442" s="531" customFormat="1" x14ac:dyDescent="0.25"/>
    <row r="443" s="531" customFormat="1" x14ac:dyDescent="0.25"/>
    <row r="444" s="531" customFormat="1" x14ac:dyDescent="0.25"/>
    <row r="445" s="531" customFormat="1" x14ac:dyDescent="0.25"/>
    <row r="446" s="531" customFormat="1" x14ac:dyDescent="0.25"/>
    <row r="447" s="531" customFormat="1" x14ac:dyDescent="0.25"/>
    <row r="448" s="531" customFormat="1" x14ac:dyDescent="0.25"/>
    <row r="449" s="531" customFormat="1" x14ac:dyDescent="0.25"/>
    <row r="450" s="531" customFormat="1" x14ac:dyDescent="0.25"/>
    <row r="451" s="531" customFormat="1" x14ac:dyDescent="0.25"/>
    <row r="452" s="531" customFormat="1" x14ac:dyDescent="0.25"/>
    <row r="453" s="531" customFormat="1" x14ac:dyDescent="0.25"/>
    <row r="454" s="531" customFormat="1" x14ac:dyDescent="0.25"/>
    <row r="455" s="531" customFormat="1" x14ac:dyDescent="0.25"/>
    <row r="456" s="531" customFormat="1" x14ac:dyDescent="0.25"/>
    <row r="457" s="531" customFormat="1" x14ac:dyDescent="0.25"/>
    <row r="458" s="531" customFormat="1" x14ac:dyDescent="0.25"/>
    <row r="459" s="531" customFormat="1" x14ac:dyDescent="0.25"/>
    <row r="460" s="531" customFormat="1" x14ac:dyDescent="0.25"/>
    <row r="461" s="531" customFormat="1" x14ac:dyDescent="0.25"/>
    <row r="462" s="531" customFormat="1" x14ac:dyDescent="0.25"/>
    <row r="463" s="531" customFormat="1" x14ac:dyDescent="0.25"/>
    <row r="464" s="531" customFormat="1" x14ac:dyDescent="0.25"/>
    <row r="465" s="531" customFormat="1" x14ac:dyDescent="0.25"/>
    <row r="466" s="531" customFormat="1" x14ac:dyDescent="0.25"/>
    <row r="467" s="531" customFormat="1" x14ac:dyDescent="0.25"/>
    <row r="468" s="531" customFormat="1" x14ac:dyDescent="0.25"/>
    <row r="469" s="531" customFormat="1" x14ac:dyDescent="0.25"/>
    <row r="470" s="531" customFormat="1" x14ac:dyDescent="0.25"/>
    <row r="471" s="531" customFormat="1" x14ac:dyDescent="0.25"/>
    <row r="472" s="531" customFormat="1" x14ac:dyDescent="0.25"/>
    <row r="473" s="531" customFormat="1" x14ac:dyDescent="0.25"/>
    <row r="474" s="531" customFormat="1" x14ac:dyDescent="0.25"/>
    <row r="475" s="531" customFormat="1" x14ac:dyDescent="0.25"/>
    <row r="476" s="531" customFormat="1" x14ac:dyDescent="0.25"/>
    <row r="477" s="531" customFormat="1" x14ac:dyDescent="0.25"/>
    <row r="478" s="531" customFormat="1" x14ac:dyDescent="0.25"/>
    <row r="479" s="531" customFormat="1" x14ac:dyDescent="0.25"/>
    <row r="480" s="531" customFormat="1" x14ac:dyDescent="0.25"/>
    <row r="481" s="531" customFormat="1" x14ac:dyDescent="0.25"/>
    <row r="482" s="531" customFormat="1" x14ac:dyDescent="0.25"/>
    <row r="483" s="531" customFormat="1" x14ac:dyDescent="0.25"/>
    <row r="484" s="531" customFormat="1" x14ac:dyDescent="0.25"/>
    <row r="485" s="531" customFormat="1" x14ac:dyDescent="0.25"/>
    <row r="486" s="531" customFormat="1" x14ac:dyDescent="0.25"/>
    <row r="487" s="531" customFormat="1" x14ac:dyDescent="0.25"/>
    <row r="488" s="531" customFormat="1" x14ac:dyDescent="0.25"/>
    <row r="489" s="531" customFormat="1" x14ac:dyDescent="0.25"/>
    <row r="490" s="531" customFormat="1" x14ac:dyDescent="0.25"/>
    <row r="491" s="531" customFormat="1" x14ac:dyDescent="0.25"/>
    <row r="492" s="531" customFormat="1" x14ac:dyDescent="0.25"/>
    <row r="493" s="531" customFormat="1" x14ac:dyDescent="0.25"/>
    <row r="494" s="531" customFormat="1" x14ac:dyDescent="0.25"/>
    <row r="495" s="531" customFormat="1" x14ac:dyDescent="0.25"/>
    <row r="496" s="531" customFormat="1" x14ac:dyDescent="0.25"/>
    <row r="497" s="531" customFormat="1" x14ac:dyDescent="0.25"/>
    <row r="498" s="531" customFormat="1" x14ac:dyDescent="0.25"/>
    <row r="499" s="531" customFormat="1" x14ac:dyDescent="0.25"/>
    <row r="500" s="531" customFormat="1" x14ac:dyDescent="0.25"/>
    <row r="501" s="531" customFormat="1" x14ac:dyDescent="0.25"/>
    <row r="502" s="531" customFormat="1" x14ac:dyDescent="0.25"/>
    <row r="503" s="531" customFormat="1" x14ac:dyDescent="0.25"/>
    <row r="504" s="531" customFormat="1" x14ac:dyDescent="0.25"/>
    <row r="505" s="531" customFormat="1" x14ac:dyDescent="0.25"/>
    <row r="506" s="531" customFormat="1" x14ac:dyDescent="0.25"/>
    <row r="507" s="531" customFormat="1" x14ac:dyDescent="0.25"/>
    <row r="508" s="531" customFormat="1" x14ac:dyDescent="0.25"/>
    <row r="509" s="531" customFormat="1" x14ac:dyDescent="0.25"/>
    <row r="510" s="531" customFormat="1" x14ac:dyDescent="0.25"/>
    <row r="511" s="531" customFormat="1" x14ac:dyDescent="0.25"/>
    <row r="512" s="531" customFormat="1" x14ac:dyDescent="0.25"/>
    <row r="513" s="531" customFormat="1" x14ac:dyDescent="0.25"/>
    <row r="514" s="531" customFormat="1" x14ac:dyDescent="0.25"/>
    <row r="515" s="531" customFormat="1" x14ac:dyDescent="0.25"/>
    <row r="516" s="531" customFormat="1" x14ac:dyDescent="0.25"/>
    <row r="517" s="531" customFormat="1" x14ac:dyDescent="0.25"/>
    <row r="518" s="531" customFormat="1" x14ac:dyDescent="0.25"/>
    <row r="519" s="531" customFormat="1" x14ac:dyDescent="0.25"/>
    <row r="520" s="531" customFormat="1" x14ac:dyDescent="0.25"/>
    <row r="521" s="531" customFormat="1" x14ac:dyDescent="0.25"/>
    <row r="522" s="531" customFormat="1" x14ac:dyDescent="0.25"/>
    <row r="523" s="531" customFormat="1" x14ac:dyDescent="0.25"/>
    <row r="524" s="531" customFormat="1" x14ac:dyDescent="0.25"/>
    <row r="525" s="531" customFormat="1" x14ac:dyDescent="0.25"/>
    <row r="526" s="531" customFormat="1" x14ac:dyDescent="0.25"/>
    <row r="527" s="531" customFormat="1" x14ac:dyDescent="0.25"/>
    <row r="528" s="531" customFormat="1" x14ac:dyDescent="0.25"/>
    <row r="529" s="531" customFormat="1" x14ac:dyDescent="0.25"/>
    <row r="530" s="531" customFormat="1" x14ac:dyDescent="0.25"/>
    <row r="531" s="531" customFormat="1" x14ac:dyDescent="0.25"/>
    <row r="532" s="531" customFormat="1" x14ac:dyDescent="0.25"/>
    <row r="533" s="531" customFormat="1" x14ac:dyDescent="0.25"/>
    <row r="534" s="531" customFormat="1" x14ac:dyDescent="0.25"/>
    <row r="535" s="531" customFormat="1" x14ac:dyDescent="0.25"/>
    <row r="536" s="531" customFormat="1" x14ac:dyDescent="0.25"/>
    <row r="537" s="531" customFormat="1" x14ac:dyDescent="0.25"/>
    <row r="538" s="531" customFormat="1" x14ac:dyDescent="0.25"/>
    <row r="539" s="531" customFormat="1" x14ac:dyDescent="0.25"/>
    <row r="540" s="531" customFormat="1" x14ac:dyDescent="0.25"/>
    <row r="541" s="531" customFormat="1" x14ac:dyDescent="0.25"/>
    <row r="542" s="531" customFormat="1" x14ac:dyDescent="0.25"/>
    <row r="543" s="531" customFormat="1" x14ac:dyDescent="0.25"/>
    <row r="544" s="531" customFormat="1" x14ac:dyDescent="0.25"/>
    <row r="545" s="531" customFormat="1" x14ac:dyDescent="0.25"/>
    <row r="546" s="531" customFormat="1" x14ac:dyDescent="0.25"/>
    <row r="547" s="531" customFormat="1" x14ac:dyDescent="0.25"/>
    <row r="548" s="531" customFormat="1" x14ac:dyDescent="0.25"/>
    <row r="549" s="531" customFormat="1" x14ac:dyDescent="0.25"/>
    <row r="550" s="531" customFormat="1" x14ac:dyDescent="0.25"/>
    <row r="551" s="531" customFormat="1" x14ac:dyDescent="0.25"/>
    <row r="552" s="531" customFormat="1" x14ac:dyDescent="0.25"/>
    <row r="553" s="531" customFormat="1" x14ac:dyDescent="0.25"/>
    <row r="554" s="531" customFormat="1" x14ac:dyDescent="0.25"/>
    <row r="555" s="531" customFormat="1" x14ac:dyDescent="0.25"/>
    <row r="556" s="531" customFormat="1" x14ac:dyDescent="0.25"/>
    <row r="557" s="531" customFormat="1" x14ac:dyDescent="0.25"/>
    <row r="558" s="531" customFormat="1" x14ac:dyDescent="0.25"/>
    <row r="559" s="531" customFormat="1" x14ac:dyDescent="0.25"/>
    <row r="560" s="531" customFormat="1" x14ac:dyDescent="0.25"/>
    <row r="561" s="531" customFormat="1" x14ac:dyDescent="0.25"/>
    <row r="562" s="531" customFormat="1" x14ac:dyDescent="0.25"/>
    <row r="563" s="531" customFormat="1" x14ac:dyDescent="0.25"/>
    <row r="564" s="531" customFormat="1" x14ac:dyDescent="0.25"/>
    <row r="565" s="531" customFormat="1" x14ac:dyDescent="0.25"/>
    <row r="566" s="531" customFormat="1" x14ac:dyDescent="0.25"/>
    <row r="567" s="531" customFormat="1" x14ac:dyDescent="0.25"/>
    <row r="568" s="531" customFormat="1" x14ac:dyDescent="0.25"/>
    <row r="569" s="531" customFormat="1" x14ac:dyDescent="0.25"/>
    <row r="570" s="531" customFormat="1" x14ac:dyDescent="0.25"/>
    <row r="571" s="531" customFormat="1" x14ac:dyDescent="0.25"/>
    <row r="572" s="531" customFormat="1" x14ac:dyDescent="0.25"/>
    <row r="573" s="531" customFormat="1" x14ac:dyDescent="0.25"/>
    <row r="574" s="531" customFormat="1" x14ac:dyDescent="0.25"/>
    <row r="575" s="531" customFormat="1" x14ac:dyDescent="0.25"/>
    <row r="576" s="531" customFormat="1" x14ac:dyDescent="0.25"/>
    <row r="577" s="531" customFormat="1" x14ac:dyDescent="0.25"/>
    <row r="578" s="531" customFormat="1" x14ac:dyDescent="0.25"/>
    <row r="579" s="531" customFormat="1" x14ac:dyDescent="0.25"/>
    <row r="580" s="531" customFormat="1" x14ac:dyDescent="0.25"/>
    <row r="581" s="531" customFormat="1" x14ac:dyDescent="0.25"/>
    <row r="582" s="531" customFormat="1" x14ac:dyDescent="0.25"/>
    <row r="583" s="531" customFormat="1" x14ac:dyDescent="0.25"/>
    <row r="584" s="531" customFormat="1" x14ac:dyDescent="0.25"/>
    <row r="585" s="531" customFormat="1" x14ac:dyDescent="0.25"/>
    <row r="586" s="531" customFormat="1" x14ac:dyDescent="0.25"/>
    <row r="587" s="531" customFormat="1" x14ac:dyDescent="0.25"/>
    <row r="588" s="531" customFormat="1" x14ac:dyDescent="0.25"/>
    <row r="589" s="531" customFormat="1" x14ac:dyDescent="0.25"/>
    <row r="590" s="531" customFormat="1" x14ac:dyDescent="0.25"/>
    <row r="591" s="531" customFormat="1" x14ac:dyDescent="0.25"/>
    <row r="592" s="531" customFormat="1" x14ac:dyDescent="0.25"/>
    <row r="593" s="531" customFormat="1" x14ac:dyDescent="0.25"/>
    <row r="594" s="531" customFormat="1" x14ac:dyDescent="0.25"/>
    <row r="595" s="531" customFormat="1" x14ac:dyDescent="0.25"/>
    <row r="596" s="531" customFormat="1" x14ac:dyDescent="0.25"/>
    <row r="597" s="531" customFormat="1" x14ac:dyDescent="0.25"/>
    <row r="598" s="531" customFormat="1" x14ac:dyDescent="0.25"/>
    <row r="599" s="531" customFormat="1" x14ac:dyDescent="0.25"/>
    <row r="600" s="531" customFormat="1" x14ac:dyDescent="0.25"/>
    <row r="601" s="531" customFormat="1" x14ac:dyDescent="0.25"/>
    <row r="602" s="531" customFormat="1" x14ac:dyDescent="0.25"/>
    <row r="603" s="531" customFormat="1" x14ac:dyDescent="0.25"/>
    <row r="604" s="531" customFormat="1" x14ac:dyDescent="0.25"/>
    <row r="605" s="531" customFormat="1" x14ac:dyDescent="0.25"/>
    <row r="606" s="531" customFormat="1" x14ac:dyDescent="0.25"/>
    <row r="607" s="531" customFormat="1" x14ac:dyDescent="0.25"/>
    <row r="608" s="531" customFormat="1" x14ac:dyDescent="0.25"/>
    <row r="609" s="531" customFormat="1" x14ac:dyDescent="0.25"/>
    <row r="610" s="531" customFormat="1" x14ac:dyDescent="0.25"/>
    <row r="611" s="531" customFormat="1" x14ac:dyDescent="0.25"/>
    <row r="612" s="531" customFormat="1" x14ac:dyDescent="0.25"/>
    <row r="613" s="531" customFormat="1" x14ac:dyDescent="0.25"/>
    <row r="614" s="531" customFormat="1" x14ac:dyDescent="0.25"/>
    <row r="615" s="531" customFormat="1" x14ac:dyDescent="0.25"/>
    <row r="616" s="531" customFormat="1" x14ac:dyDescent="0.25"/>
    <row r="617" s="531" customFormat="1" x14ac:dyDescent="0.25"/>
    <row r="618" s="531" customFormat="1" x14ac:dyDescent="0.25"/>
    <row r="619" s="531" customFormat="1" x14ac:dyDescent="0.25"/>
    <row r="620" s="531" customFormat="1" x14ac:dyDescent="0.25"/>
    <row r="621" s="531" customFormat="1" x14ac:dyDescent="0.25"/>
    <row r="622" s="531" customFormat="1" x14ac:dyDescent="0.25"/>
    <row r="623" s="531" customFormat="1" x14ac:dyDescent="0.25"/>
    <row r="624" s="531" customFormat="1" x14ac:dyDescent="0.25"/>
    <row r="625" s="531" customFormat="1" x14ac:dyDescent="0.25"/>
    <row r="626" s="531" customFormat="1" x14ac:dyDescent="0.25"/>
    <row r="627" s="531" customFormat="1" x14ac:dyDescent="0.25"/>
    <row r="628" s="531" customFormat="1" x14ac:dyDescent="0.25"/>
    <row r="629" s="531" customFormat="1" x14ac:dyDescent="0.25"/>
    <row r="630" s="531" customFormat="1" x14ac:dyDescent="0.25"/>
    <row r="631" s="531" customFormat="1" x14ac:dyDescent="0.25"/>
    <row r="632" s="531" customFormat="1" x14ac:dyDescent="0.25"/>
    <row r="633" s="531" customFormat="1" x14ac:dyDescent="0.25"/>
    <row r="634" s="531" customFormat="1" x14ac:dyDescent="0.25"/>
    <row r="635" s="531" customFormat="1" x14ac:dyDescent="0.25"/>
    <row r="636" s="531" customFormat="1" x14ac:dyDescent="0.25"/>
    <row r="637" s="531" customFormat="1" x14ac:dyDescent="0.25"/>
    <row r="638" s="531" customFormat="1" x14ac:dyDescent="0.25"/>
    <row r="639" s="531" customFormat="1" x14ac:dyDescent="0.25"/>
    <row r="640" s="531" customFormat="1" x14ac:dyDescent="0.25"/>
    <row r="641" s="531" customFormat="1" x14ac:dyDescent="0.25"/>
    <row r="642" s="531" customFormat="1" x14ac:dyDescent="0.25"/>
    <row r="643" s="531" customFormat="1" x14ac:dyDescent="0.25"/>
    <row r="644" s="531" customFormat="1" x14ac:dyDescent="0.25"/>
    <row r="645" s="531" customFormat="1" x14ac:dyDescent="0.25"/>
    <row r="646" s="531" customFormat="1" x14ac:dyDescent="0.25"/>
    <row r="647" s="531" customFormat="1" x14ac:dyDescent="0.25"/>
    <row r="648" s="531" customFormat="1" x14ac:dyDescent="0.25"/>
    <row r="649" s="531" customFormat="1" x14ac:dyDescent="0.25"/>
    <row r="650" s="531" customFormat="1" x14ac:dyDescent="0.25"/>
    <row r="651" s="531" customFormat="1" x14ac:dyDescent="0.25"/>
    <row r="652" s="531" customFormat="1" x14ac:dyDescent="0.25"/>
    <row r="653" s="531" customFormat="1" x14ac:dyDescent="0.25"/>
    <row r="654" s="531" customFormat="1" x14ac:dyDescent="0.25"/>
    <row r="655" s="531" customFormat="1" x14ac:dyDescent="0.25"/>
    <row r="656" s="531" customFormat="1" x14ac:dyDescent="0.25"/>
    <row r="657" s="531" customFormat="1" x14ac:dyDescent="0.25"/>
    <row r="658" s="531" customFormat="1" x14ac:dyDescent="0.25"/>
    <row r="659" s="531" customFormat="1" x14ac:dyDescent="0.25"/>
    <row r="660" s="531" customFormat="1" x14ac:dyDescent="0.25"/>
    <row r="661" s="531" customFormat="1" x14ac:dyDescent="0.25"/>
    <row r="662" s="531" customFormat="1" x14ac:dyDescent="0.25"/>
    <row r="663" s="531" customFormat="1" x14ac:dyDescent="0.25"/>
    <row r="664" s="531" customFormat="1" x14ac:dyDescent="0.25"/>
    <row r="665" s="531" customFormat="1" x14ac:dyDescent="0.25"/>
    <row r="666" s="531" customFormat="1" x14ac:dyDescent="0.25"/>
    <row r="667" s="531" customFormat="1" x14ac:dyDescent="0.25"/>
    <row r="668" s="531" customFormat="1" x14ac:dyDescent="0.25"/>
    <row r="669" s="531" customFormat="1" x14ac:dyDescent="0.25"/>
    <row r="670" s="531" customFormat="1" x14ac:dyDescent="0.25"/>
    <row r="671" s="531" customFormat="1" x14ac:dyDescent="0.25"/>
    <row r="672" s="531" customFormat="1" x14ac:dyDescent="0.25"/>
    <row r="673" s="531" customFormat="1" x14ac:dyDescent="0.25"/>
    <row r="674" s="531" customFormat="1" x14ac:dyDescent="0.25"/>
    <row r="675" s="531" customFormat="1" x14ac:dyDescent="0.25"/>
    <row r="676" s="531" customFormat="1" x14ac:dyDescent="0.25"/>
    <row r="677" s="531" customFormat="1" x14ac:dyDescent="0.25"/>
    <row r="678" s="531" customFormat="1" x14ac:dyDescent="0.25"/>
    <row r="679" s="531" customFormat="1" x14ac:dyDescent="0.25"/>
    <row r="680" s="531" customFormat="1" x14ac:dyDescent="0.25"/>
    <row r="681" s="531" customFormat="1" x14ac:dyDescent="0.25"/>
    <row r="682" s="531" customFormat="1" x14ac:dyDescent="0.25"/>
    <row r="683" s="531" customFormat="1" x14ac:dyDescent="0.25"/>
    <row r="684" s="531" customFormat="1" x14ac:dyDescent="0.25"/>
    <row r="685" s="531" customFormat="1" x14ac:dyDescent="0.25"/>
    <row r="686" s="531" customFormat="1" x14ac:dyDescent="0.25"/>
    <row r="687" s="531" customFormat="1" x14ac:dyDescent="0.25"/>
    <row r="688" s="531" customFormat="1" x14ac:dyDescent="0.25"/>
    <row r="689" s="531" customFormat="1" x14ac:dyDescent="0.25"/>
    <row r="690" s="531" customFormat="1" x14ac:dyDescent="0.25"/>
    <row r="691" s="531" customFormat="1" x14ac:dyDescent="0.25"/>
    <row r="692" s="531" customFormat="1" x14ac:dyDescent="0.25"/>
    <row r="693" s="531" customFormat="1" x14ac:dyDescent="0.25"/>
    <row r="694" s="531" customFormat="1" x14ac:dyDescent="0.25"/>
    <row r="695" s="531" customFormat="1" x14ac:dyDescent="0.25"/>
    <row r="696" s="531" customFormat="1" x14ac:dyDescent="0.25"/>
    <row r="697" s="531" customFormat="1" x14ac:dyDescent="0.25"/>
    <row r="698" s="531" customFormat="1" x14ac:dyDescent="0.25"/>
    <row r="699" s="531" customFormat="1" x14ac:dyDescent="0.25"/>
    <row r="700" s="531" customFormat="1" x14ac:dyDescent="0.25"/>
    <row r="701" s="531" customFormat="1" x14ac:dyDescent="0.25"/>
    <row r="702" s="531" customFormat="1" x14ac:dyDescent="0.25"/>
    <row r="703" s="531" customFormat="1" x14ac:dyDescent="0.25"/>
    <row r="704" s="531" customFormat="1" x14ac:dyDescent="0.25"/>
    <row r="705" s="531" customFormat="1" x14ac:dyDescent="0.25"/>
    <row r="706" s="531" customFormat="1" x14ac:dyDescent="0.25"/>
    <row r="707" s="531" customFormat="1" x14ac:dyDescent="0.25"/>
    <row r="708" s="531" customFormat="1" x14ac:dyDescent="0.25"/>
    <row r="709" s="531" customFormat="1" x14ac:dyDescent="0.25"/>
    <row r="710" s="531" customFormat="1" x14ac:dyDescent="0.25"/>
    <row r="711" s="531" customFormat="1" x14ac:dyDescent="0.25"/>
    <row r="712" s="531" customFormat="1" x14ac:dyDescent="0.25"/>
    <row r="713" s="531" customFormat="1" x14ac:dyDescent="0.25"/>
    <row r="714" s="531" customFormat="1" x14ac:dyDescent="0.25"/>
    <row r="715" s="531" customFormat="1" x14ac:dyDescent="0.25"/>
    <row r="716" s="531" customFormat="1" x14ac:dyDescent="0.25"/>
    <row r="717" s="531" customFormat="1" x14ac:dyDescent="0.25"/>
    <row r="718" s="531" customFormat="1" x14ac:dyDescent="0.25"/>
    <row r="719" s="531" customFormat="1" x14ac:dyDescent="0.25"/>
    <row r="720" s="531" customFormat="1" x14ac:dyDescent="0.25"/>
    <row r="721" s="531" customFormat="1" x14ac:dyDescent="0.25"/>
    <row r="722" s="531" customFormat="1" x14ac:dyDescent="0.25"/>
    <row r="723" s="531" customFormat="1" x14ac:dyDescent="0.25"/>
    <row r="724" s="531" customFormat="1" x14ac:dyDescent="0.25"/>
    <row r="725" s="531" customFormat="1" x14ac:dyDescent="0.25"/>
    <row r="726" s="531" customFormat="1" x14ac:dyDescent="0.25"/>
    <row r="727" s="531" customFormat="1" x14ac:dyDescent="0.25"/>
    <row r="728" s="531" customFormat="1" x14ac:dyDescent="0.25"/>
    <row r="729" s="531" customFormat="1" x14ac:dyDescent="0.25"/>
    <row r="730" s="531" customFormat="1" x14ac:dyDescent="0.25"/>
    <row r="731" s="531" customFormat="1" x14ac:dyDescent="0.25"/>
    <row r="732" s="531" customFormat="1" x14ac:dyDescent="0.25"/>
    <row r="733" s="531" customFormat="1" x14ac:dyDescent="0.25"/>
    <row r="734" s="531" customFormat="1" x14ac:dyDescent="0.25"/>
    <row r="735" s="531" customFormat="1" x14ac:dyDescent="0.25"/>
    <row r="736" s="531" customFormat="1" x14ac:dyDescent="0.25"/>
    <row r="737" s="531" customFormat="1" x14ac:dyDescent="0.25"/>
    <row r="738" s="531" customFormat="1" x14ac:dyDescent="0.25"/>
    <row r="739" s="531" customFormat="1" x14ac:dyDescent="0.25"/>
    <row r="740" s="531" customFormat="1" x14ac:dyDescent="0.25"/>
    <row r="741" s="531" customFormat="1" x14ac:dyDescent="0.25"/>
    <row r="742" s="531" customFormat="1" x14ac:dyDescent="0.25"/>
    <row r="743" s="531" customFormat="1" x14ac:dyDescent="0.25"/>
    <row r="744" s="531" customFormat="1" x14ac:dyDescent="0.25"/>
    <row r="745" s="531" customFormat="1" x14ac:dyDescent="0.25"/>
    <row r="746" s="531" customFormat="1" x14ac:dyDescent="0.25"/>
    <row r="747" s="531" customFormat="1" x14ac:dyDescent="0.25"/>
    <row r="748" s="531" customFormat="1" x14ac:dyDescent="0.25"/>
    <row r="749" s="531" customFormat="1" x14ac:dyDescent="0.25"/>
    <row r="750" s="531" customFormat="1" x14ac:dyDescent="0.25"/>
    <row r="751" s="531" customFormat="1" x14ac:dyDescent="0.25"/>
    <row r="752" s="531" customFormat="1" x14ac:dyDescent="0.25"/>
    <row r="753" s="531" customFormat="1" x14ac:dyDescent="0.25"/>
    <row r="754" s="531" customFormat="1" x14ac:dyDescent="0.25"/>
    <row r="755" s="531" customFormat="1" x14ac:dyDescent="0.25"/>
    <row r="756" s="531" customFormat="1" x14ac:dyDescent="0.25"/>
    <row r="757" s="531" customFormat="1" x14ac:dyDescent="0.25"/>
    <row r="758" s="531" customFormat="1" x14ac:dyDescent="0.25"/>
    <row r="759" s="531" customFormat="1" x14ac:dyDescent="0.25"/>
    <row r="760" s="531" customFormat="1" x14ac:dyDescent="0.25"/>
    <row r="761" s="531" customFormat="1" x14ac:dyDescent="0.25"/>
    <row r="762" s="531" customFormat="1" x14ac:dyDescent="0.25"/>
    <row r="763" s="531" customFormat="1" x14ac:dyDescent="0.25"/>
    <row r="764" s="531" customFormat="1" x14ac:dyDescent="0.25"/>
    <row r="765" s="531" customFormat="1" x14ac:dyDescent="0.25"/>
    <row r="766" s="531" customFormat="1" x14ac:dyDescent="0.25"/>
    <row r="767" s="531" customFormat="1" x14ac:dyDescent="0.25"/>
    <row r="768" s="531" customFormat="1" x14ac:dyDescent="0.25"/>
    <row r="769" s="531" customFormat="1" x14ac:dyDescent="0.25"/>
    <row r="770" s="531" customFormat="1" x14ac:dyDescent="0.25"/>
    <row r="771" s="531" customFormat="1" x14ac:dyDescent="0.25"/>
    <row r="772" s="531" customFormat="1" x14ac:dyDescent="0.25"/>
    <row r="773" s="531" customFormat="1" x14ac:dyDescent="0.25"/>
    <row r="774" s="531" customFormat="1" x14ac:dyDescent="0.25"/>
    <row r="775" s="531" customFormat="1" x14ac:dyDescent="0.25"/>
    <row r="776" s="531" customFormat="1" x14ac:dyDescent="0.25"/>
    <row r="777" s="531" customFormat="1" x14ac:dyDescent="0.25"/>
    <row r="778" s="531" customFormat="1" x14ac:dyDescent="0.25"/>
    <row r="779" s="531" customFormat="1" x14ac:dyDescent="0.25"/>
    <row r="780" s="531" customFormat="1" x14ac:dyDescent="0.25"/>
    <row r="781" s="531" customFormat="1" x14ac:dyDescent="0.25"/>
    <row r="782" s="531" customFormat="1" x14ac:dyDescent="0.25"/>
    <row r="783" s="531" customFormat="1" x14ac:dyDescent="0.25"/>
    <row r="784" s="531" customFormat="1" x14ac:dyDescent="0.25"/>
    <row r="785" s="531" customFormat="1" x14ac:dyDescent="0.25"/>
    <row r="786" s="531" customFormat="1" x14ac:dyDescent="0.25"/>
    <row r="787" s="531" customFormat="1" x14ac:dyDescent="0.25"/>
    <row r="788" s="531" customFormat="1" x14ac:dyDescent="0.25"/>
    <row r="789" s="531" customFormat="1" x14ac:dyDescent="0.25"/>
    <row r="790" s="531" customFormat="1" x14ac:dyDescent="0.25"/>
    <row r="791" s="531" customFormat="1" x14ac:dyDescent="0.25"/>
    <row r="792" s="531" customFormat="1" x14ac:dyDescent="0.25"/>
    <row r="793" s="531" customFormat="1" x14ac:dyDescent="0.25"/>
    <row r="794" s="531" customFormat="1" x14ac:dyDescent="0.25"/>
    <row r="795" s="531" customFormat="1" x14ac:dyDescent="0.25"/>
    <row r="796" s="531" customFormat="1" x14ac:dyDescent="0.25"/>
    <row r="797" s="531" customFormat="1" x14ac:dyDescent="0.25"/>
    <row r="798" s="531" customFormat="1" x14ac:dyDescent="0.25"/>
    <row r="799" s="531" customFormat="1" x14ac:dyDescent="0.25"/>
    <row r="800" s="531" customFormat="1" x14ac:dyDescent="0.25"/>
    <row r="801" s="531" customFormat="1" x14ac:dyDescent="0.25"/>
    <row r="802" s="531" customFormat="1" x14ac:dyDescent="0.25"/>
    <row r="803" s="531" customFormat="1" x14ac:dyDescent="0.25"/>
    <row r="804" s="531" customFormat="1" x14ac:dyDescent="0.25"/>
    <row r="805" s="531" customFormat="1" x14ac:dyDescent="0.25"/>
    <row r="806" s="531" customFormat="1" x14ac:dyDescent="0.25"/>
    <row r="807" s="531" customFormat="1" x14ac:dyDescent="0.25"/>
    <row r="808" s="531" customFormat="1" x14ac:dyDescent="0.25"/>
    <row r="809" s="531" customFormat="1" x14ac:dyDescent="0.25"/>
    <row r="810" s="531" customFormat="1" x14ac:dyDescent="0.25"/>
    <row r="811" s="531" customFormat="1" x14ac:dyDescent="0.25"/>
    <row r="812" s="531" customFormat="1" x14ac:dyDescent="0.25"/>
    <row r="813" s="531" customFormat="1" x14ac:dyDescent="0.25"/>
    <row r="814" s="531" customFormat="1" x14ac:dyDescent="0.25"/>
    <row r="815" s="531" customFormat="1" x14ac:dyDescent="0.25"/>
    <row r="816" s="531" customFormat="1" x14ac:dyDescent="0.25"/>
    <row r="817" s="531" customFormat="1" x14ac:dyDescent="0.25"/>
    <row r="818" s="531" customFormat="1" x14ac:dyDescent="0.25"/>
    <row r="819" s="531" customFormat="1" x14ac:dyDescent="0.25"/>
    <row r="820" s="531" customFormat="1" x14ac:dyDescent="0.25"/>
    <row r="821" s="531" customFormat="1" x14ac:dyDescent="0.25"/>
    <row r="822" s="531" customFormat="1" x14ac:dyDescent="0.25"/>
    <row r="823" s="531" customFormat="1" x14ac:dyDescent="0.25"/>
  </sheetData>
  <sheetProtection algorithmName="SHA-512" hashValue="XLcfzDR7UEylnW+fuQrsPujY+lDKRB29I70k6K0NL7FkJFZWXQMehFcemdkprBH//+1bveAmPlKv7TZAKLaNSQ==" saltValue="UMNyIDIryAfURbVZMUnT/Q==" spinCount="100000" sheet="1" objects="1" scenarios="1"/>
  <mergeCells count="5">
    <mergeCell ref="A1:L1"/>
    <mergeCell ref="A10:B10"/>
    <mergeCell ref="A13:B13"/>
    <mergeCell ref="A26:B26"/>
    <mergeCell ref="A38:B38"/>
  </mergeCells>
  <conditionalFormatting sqref="C18:C26 C27:E28 C31:C38 C39:E40">
    <cfRule type="expression" dxfId="29" priority="1" stopIfTrue="1">
      <formula>$C$6="ex-ante"</formula>
    </cfRule>
  </conditionalFormatting>
  <pageMargins left="0.74803149606299213" right="0.74803149606299213" top="0.98425196850393704" bottom="0.98425196850393704" header="0.51181102362204722" footer="0.51181102362204722"/>
  <pageSetup paperSize="8" scale="86" orientation="landscape" r:id="rId1"/>
  <headerFooter alignWithMargins="0"/>
  <rowBreaks count="1" manualBreakCount="1">
    <brk id="2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BBCC-C0C8-4F1D-987E-B4A4D6CF2F01}">
  <sheetPr>
    <pageSetUpPr fitToPage="1"/>
  </sheetPr>
  <dimension ref="A1:S51"/>
  <sheetViews>
    <sheetView zoomScaleNormal="100" workbookViewId="0">
      <selection activeCell="C8" sqref="C8"/>
    </sheetView>
  </sheetViews>
  <sheetFormatPr defaultColWidth="9.1796875" defaultRowHeight="12.5" x14ac:dyDescent="0.25"/>
  <cols>
    <col min="1" max="1" width="4.54296875" style="167" customWidth="1"/>
    <col min="2" max="2" width="54.81640625" style="167" customWidth="1"/>
    <col min="3" max="3" width="25.7265625" style="167" customWidth="1"/>
    <col min="4" max="4" width="25.7265625" style="220" customWidth="1"/>
    <col min="5" max="5" width="23.26953125" style="167" customWidth="1"/>
    <col min="6" max="13" width="9.1796875" style="167"/>
    <col min="14" max="16384" width="9.1796875" style="209"/>
  </cols>
  <sheetData>
    <row r="1" spans="1:19" ht="16" thickBot="1" x14ac:dyDescent="0.3">
      <c r="A1" s="1348" t="s">
        <v>413</v>
      </c>
      <c r="B1" s="1349"/>
      <c r="C1" s="1349"/>
      <c r="D1" s="1350"/>
      <c r="E1" s="293"/>
      <c r="F1" s="293"/>
      <c r="G1" s="293"/>
      <c r="H1" s="293"/>
      <c r="I1" s="293"/>
      <c r="J1" s="293"/>
      <c r="K1" s="293"/>
      <c r="L1" s="296"/>
      <c r="M1" s="212"/>
      <c r="N1" s="212"/>
      <c r="O1" s="212"/>
      <c r="P1" s="212"/>
      <c r="Q1" s="212"/>
      <c r="R1" s="212"/>
      <c r="S1" s="212"/>
    </row>
    <row r="2" spans="1:19" x14ac:dyDescent="0.25">
      <c r="B2" s="209">
        <f>+TITELBLAD!E16</f>
        <v>2021</v>
      </c>
      <c r="C2" s="212"/>
      <c r="E2" s="296"/>
      <c r="F2" s="296"/>
      <c r="G2" s="296"/>
      <c r="H2" s="296"/>
      <c r="I2" s="296"/>
      <c r="J2" s="296"/>
      <c r="K2" s="296"/>
      <c r="L2" s="296"/>
      <c r="M2" s="212"/>
      <c r="N2" s="212"/>
      <c r="O2" s="212"/>
      <c r="P2" s="212"/>
      <c r="Q2" s="212"/>
      <c r="R2" s="212"/>
      <c r="S2" s="212"/>
    </row>
    <row r="3" spans="1:19" ht="13" x14ac:dyDescent="0.25">
      <c r="B3" s="224"/>
      <c r="E3" s="296"/>
      <c r="F3" s="296"/>
      <c r="G3" s="296"/>
      <c r="H3" s="296"/>
      <c r="I3" s="296"/>
      <c r="J3" s="296"/>
      <c r="K3" s="296"/>
      <c r="L3" s="296"/>
      <c r="M3" s="212"/>
      <c r="N3" s="212"/>
      <c r="O3" s="212"/>
      <c r="P3" s="212"/>
      <c r="Q3" s="212"/>
      <c r="R3" s="212"/>
      <c r="S3" s="212"/>
    </row>
    <row r="4" spans="1:19" ht="13" x14ac:dyDescent="0.25">
      <c r="B4" s="224"/>
      <c r="E4" s="296"/>
      <c r="F4" s="296"/>
      <c r="G4" s="296"/>
      <c r="H4" s="296"/>
      <c r="I4" s="296"/>
      <c r="J4" s="296"/>
      <c r="K4" s="296"/>
      <c r="L4" s="296"/>
      <c r="M4" s="212"/>
      <c r="N4" s="212"/>
      <c r="O4" s="212"/>
      <c r="P4" s="212"/>
      <c r="Q4" s="212"/>
      <c r="R4" s="212"/>
      <c r="S4" s="212"/>
    </row>
    <row r="5" spans="1:19" ht="13" x14ac:dyDescent="0.25">
      <c r="B5" s="224"/>
      <c r="C5" s="1063" t="s">
        <v>0</v>
      </c>
      <c r="D5" s="1064" t="s">
        <v>362</v>
      </c>
      <c r="E5" s="296"/>
      <c r="F5" s="296"/>
      <c r="G5" s="296"/>
      <c r="H5" s="296"/>
      <c r="I5" s="296"/>
      <c r="J5" s="296"/>
      <c r="K5" s="296"/>
      <c r="L5" s="296"/>
      <c r="M5" s="212"/>
      <c r="N5" s="212"/>
      <c r="O5" s="212"/>
      <c r="P5" s="212"/>
      <c r="Q5" s="212"/>
      <c r="R5" s="212"/>
      <c r="S5" s="212"/>
    </row>
    <row r="6" spans="1:19" ht="13" x14ac:dyDescent="0.25">
      <c r="B6" s="281"/>
      <c r="C6" s="1065" t="s">
        <v>2</v>
      </c>
      <c r="D6" s="1065" t="s">
        <v>2</v>
      </c>
      <c r="E6" s="296"/>
      <c r="F6" s="296"/>
      <c r="G6" s="296"/>
      <c r="H6" s="296"/>
      <c r="I6" s="296"/>
      <c r="J6" s="296"/>
      <c r="K6" s="296"/>
      <c r="L6" s="296"/>
      <c r="M6" s="212"/>
      <c r="N6" s="212"/>
      <c r="O6" s="212"/>
      <c r="P6" s="212"/>
      <c r="Q6" s="212"/>
      <c r="R6" s="212"/>
      <c r="S6" s="212"/>
    </row>
    <row r="7" spans="1:19" x14ac:dyDescent="0.25">
      <c r="C7" s="584">
        <f>+'T9 - Overzicht'!$B$6</f>
        <v>2021</v>
      </c>
      <c r="D7" s="584">
        <f>+'T9 - Overzicht'!$B$6</f>
        <v>2021</v>
      </c>
      <c r="E7" s="296"/>
      <c r="F7" s="296"/>
      <c r="G7" s="296"/>
      <c r="H7" s="296"/>
      <c r="I7" s="296"/>
      <c r="J7" s="296"/>
      <c r="K7" s="296"/>
      <c r="L7" s="296"/>
      <c r="M7" s="212"/>
      <c r="N7" s="212"/>
      <c r="O7" s="212"/>
      <c r="P7" s="212"/>
      <c r="Q7" s="212"/>
      <c r="R7" s="212"/>
      <c r="S7" s="212"/>
    </row>
    <row r="8" spans="1:19" x14ac:dyDescent="0.25">
      <c r="B8" s="297"/>
      <c r="C8" s="1066" t="str">
        <f>+'T9 - Overzicht'!$A$10</f>
        <v>NAAM DNB</v>
      </c>
      <c r="D8" s="1066" t="str">
        <f>+'T9 - Overzicht'!$A$10</f>
        <v>NAAM DNB</v>
      </c>
      <c r="E8" s="296"/>
      <c r="F8" s="296"/>
      <c r="G8" s="296"/>
      <c r="H8" s="296"/>
      <c r="I8" s="296"/>
      <c r="J8" s="296"/>
      <c r="K8" s="296"/>
      <c r="L8" s="296"/>
      <c r="M8" s="212"/>
      <c r="N8" s="212"/>
      <c r="O8" s="212"/>
      <c r="P8" s="212"/>
      <c r="Q8" s="212"/>
      <c r="R8" s="212"/>
      <c r="S8" s="212"/>
    </row>
    <row r="9" spans="1:19" x14ac:dyDescent="0.25">
      <c r="C9" s="1067" t="str">
        <f>+'T9 - Overzicht'!$A$13</f>
        <v>elektriciteit</v>
      </c>
      <c r="D9" s="1067" t="str">
        <f>+'T9 - Overzicht'!$A$13</f>
        <v>elektriciteit</v>
      </c>
      <c r="E9" s="296"/>
      <c r="F9" s="296"/>
      <c r="G9" s="296"/>
      <c r="H9" s="296"/>
      <c r="I9" s="296"/>
      <c r="J9" s="296"/>
      <c r="K9" s="296"/>
      <c r="L9" s="296"/>
      <c r="M9" s="212"/>
      <c r="N9" s="212"/>
      <c r="O9" s="212"/>
      <c r="P9" s="212"/>
      <c r="Q9" s="212"/>
      <c r="R9" s="212"/>
      <c r="S9" s="212"/>
    </row>
    <row r="10" spans="1:19" x14ac:dyDescent="0.25">
      <c r="C10" s="1068"/>
      <c r="D10" s="1068"/>
      <c r="L10" s="212"/>
      <c r="M10" s="212"/>
      <c r="N10" s="212"/>
      <c r="O10" s="212"/>
      <c r="P10" s="212"/>
      <c r="Q10" s="212"/>
      <c r="R10" s="212"/>
      <c r="S10" s="212"/>
    </row>
    <row r="11" spans="1:19" s="1070" customFormat="1" ht="18" customHeight="1" x14ac:dyDescent="0.25">
      <c r="A11" s="176"/>
      <c r="B11" s="185"/>
      <c r="C11" s="1069"/>
      <c r="D11" s="1069"/>
      <c r="E11" s="176"/>
      <c r="F11" s="176"/>
      <c r="G11" s="176"/>
      <c r="H11" s="176"/>
      <c r="I11" s="176"/>
      <c r="J11" s="176"/>
      <c r="K11" s="176"/>
      <c r="L11" s="187"/>
      <c r="M11" s="187"/>
      <c r="N11" s="187"/>
      <c r="O11" s="187"/>
      <c r="P11" s="187"/>
      <c r="Q11" s="187"/>
      <c r="R11" s="187"/>
      <c r="S11" s="187"/>
    </row>
    <row r="12" spans="1:19" s="1070" customFormat="1" ht="32.15" customHeight="1" x14ac:dyDescent="0.25">
      <c r="A12" s="176"/>
      <c r="B12" s="980" t="s">
        <v>304</v>
      </c>
      <c r="C12" s="617">
        <f>+IF($C$9="elektriciteit",-T13A!G66,IF('T10'!$C$9="gas",-T13C!G45,"FOUT"))</f>
        <v>0</v>
      </c>
      <c r="D12" s="617">
        <f>+IF($C$9="elektriciteit",-T13A!G120,IF('T10'!$C$9="gas",-T13C!G78,"FOUT"))</f>
        <v>0</v>
      </c>
      <c r="E12" s="176"/>
      <c r="F12" s="176"/>
      <c r="G12" s="176"/>
      <c r="H12" s="176"/>
      <c r="I12" s="176"/>
      <c r="J12" s="176"/>
      <c r="K12" s="176"/>
      <c r="L12" s="176"/>
      <c r="M12" s="176"/>
    </row>
    <row r="13" spans="1:19" s="1070" customFormat="1" ht="32.15" customHeight="1" x14ac:dyDescent="0.25">
      <c r="A13" s="176"/>
      <c r="B13" s="185" t="s">
        <v>305</v>
      </c>
      <c r="C13" s="617">
        <f>+IF($C$9="elektriciteit",-T13B!G66,IF('T10'!$C$9="gas",-T13D!G45,"FOUT"))</f>
        <v>0</v>
      </c>
      <c r="D13" s="617">
        <f>+IF($C$9="elektriciteit",-T13B!G120,IF('T10'!$C$9="gas",-T13D!G78,"FOUT"))</f>
        <v>0</v>
      </c>
      <c r="E13" s="176"/>
      <c r="F13" s="176"/>
      <c r="G13" s="176"/>
      <c r="H13" s="176"/>
      <c r="I13" s="176"/>
      <c r="J13" s="176"/>
      <c r="K13" s="176"/>
      <c r="L13" s="176"/>
      <c r="M13" s="176"/>
    </row>
    <row r="14" spans="1:19" s="1070" customFormat="1" ht="18" customHeight="1" x14ac:dyDescent="0.25">
      <c r="A14" s="176"/>
      <c r="B14" s="185" t="s">
        <v>297</v>
      </c>
      <c r="C14" s="660">
        <v>0.25</v>
      </c>
      <c r="D14" s="660">
        <v>0.25</v>
      </c>
      <c r="E14" s="176"/>
      <c r="F14" s="176"/>
      <c r="G14" s="176"/>
      <c r="H14" s="176"/>
      <c r="I14" s="176"/>
      <c r="J14" s="176"/>
      <c r="K14" s="176"/>
      <c r="L14" s="176"/>
      <c r="M14" s="176"/>
    </row>
    <row r="15" spans="1:19" s="1070" customFormat="1" ht="30.75" customHeight="1" x14ac:dyDescent="0.25">
      <c r="A15" s="176"/>
      <c r="B15" s="979" t="s">
        <v>298</v>
      </c>
      <c r="C15" s="1071">
        <f>(C12+C13)*C14/(1-C14)</f>
        <v>0</v>
      </c>
      <c r="D15" s="1071">
        <f>(D12+D13)*D14/(1-D14)</f>
        <v>0</v>
      </c>
      <c r="E15" s="176"/>
      <c r="F15" s="176"/>
      <c r="G15" s="176"/>
      <c r="H15" s="176"/>
      <c r="I15" s="176"/>
      <c r="J15" s="176"/>
      <c r="K15" s="176"/>
      <c r="L15" s="176"/>
      <c r="M15" s="176"/>
    </row>
    <row r="51" spans="1:13" s="220" customFormat="1" x14ac:dyDescent="0.25">
      <c r="A51" s="167"/>
      <c r="B51" s="297"/>
      <c r="C51" s="167"/>
      <c r="E51" s="167"/>
      <c r="F51" s="167"/>
      <c r="G51" s="167"/>
      <c r="H51" s="167"/>
      <c r="I51" s="167"/>
      <c r="J51" s="167"/>
      <c r="K51" s="167"/>
      <c r="L51" s="167"/>
      <c r="M51" s="167"/>
    </row>
  </sheetData>
  <sheetProtection algorithmName="SHA-512" hashValue="Ipaf22aHUO9vRGyCgy+vHrroKPQTRoOKRqiGzT1KSxqC2GL1zJYH4dStIc88dnaGnXySkDhZ3ku1mRffMAgSDQ==" saltValue="VuQZTchhxa1L83K6CBXZjw==" spinCount="100000" sheet="1" objects="1" scenarios="1"/>
  <mergeCells count="1">
    <mergeCell ref="A1:D1"/>
  </mergeCells>
  <pageMargins left="0.74803149606299213" right="0.74803149606299213" top="0.98425196850393704" bottom="0.98425196850393704" header="0.51181102362204722" footer="0.51181102362204722"/>
  <pageSetup paperSize="8" scale="9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stopIfTrue="1" id="{00000000-000E-0000-1500-000001000000}">
            <xm:f>'T9 - Overzicht'!$C$6="ex-ante"</xm:f>
            <x14:dxf>
              <fill>
                <patternFill patternType="lightUp"/>
              </fill>
            </x14:dxf>
          </x14:cfRule>
          <xm:sqref>D5:D15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0C0E5-5AAA-4417-AB29-21D7CE211B45}">
  <sheetPr>
    <pageSetUpPr fitToPage="1"/>
  </sheetPr>
  <dimension ref="A1:S50"/>
  <sheetViews>
    <sheetView zoomScaleNormal="100" workbookViewId="0">
      <selection activeCell="E29" sqref="E29"/>
    </sheetView>
  </sheetViews>
  <sheetFormatPr defaultColWidth="9.1796875" defaultRowHeight="12.5" x14ac:dyDescent="0.25"/>
  <cols>
    <col min="1" max="1" width="4.54296875" style="167" customWidth="1"/>
    <col min="2" max="2" width="54.81640625" style="167" customWidth="1"/>
    <col min="3" max="3" width="29.453125" style="167" customWidth="1"/>
    <col min="4" max="4" width="29.453125" style="220" customWidth="1"/>
    <col min="5" max="5" width="23.26953125" style="167" customWidth="1"/>
    <col min="6" max="13" width="9.1796875" style="167"/>
    <col min="14" max="16384" width="9.1796875" style="209"/>
  </cols>
  <sheetData>
    <row r="1" spans="1:19" ht="20.149999999999999" customHeight="1" thickBot="1" x14ac:dyDescent="0.3">
      <c r="A1" s="1348" t="s">
        <v>430</v>
      </c>
      <c r="B1" s="1349"/>
      <c r="C1" s="1349"/>
      <c r="D1" s="1350"/>
      <c r="E1" s="293"/>
      <c r="F1" s="293"/>
      <c r="G1" s="293"/>
      <c r="H1" s="293"/>
      <c r="I1" s="293"/>
      <c r="J1" s="293"/>
      <c r="K1" s="293"/>
      <c r="L1" s="296"/>
      <c r="M1" s="212"/>
      <c r="N1" s="212"/>
      <c r="O1" s="212"/>
      <c r="P1" s="212"/>
      <c r="Q1" s="212"/>
      <c r="R1" s="212"/>
      <c r="S1" s="212"/>
    </row>
    <row r="2" spans="1:19" x14ac:dyDescent="0.25">
      <c r="B2" s="209">
        <f>+TITELBLAD!E16</f>
        <v>2021</v>
      </c>
      <c r="C2" s="212"/>
      <c r="E2" s="296"/>
      <c r="F2" s="296"/>
      <c r="G2" s="296"/>
      <c r="H2" s="296"/>
      <c r="I2" s="296"/>
      <c r="J2" s="296"/>
      <c r="K2" s="296"/>
      <c r="L2" s="296"/>
      <c r="M2" s="212"/>
      <c r="N2" s="212"/>
      <c r="O2" s="212"/>
      <c r="P2" s="212"/>
      <c r="Q2" s="212"/>
      <c r="R2" s="212"/>
      <c r="S2" s="212"/>
    </row>
    <row r="3" spans="1:19" ht="13" x14ac:dyDescent="0.25">
      <c r="B3" s="224"/>
      <c r="E3" s="296"/>
      <c r="F3" s="296"/>
      <c r="G3" s="296"/>
      <c r="H3" s="296"/>
      <c r="I3" s="296"/>
      <c r="J3" s="296"/>
      <c r="K3" s="296"/>
      <c r="L3" s="296"/>
      <c r="M3" s="212"/>
      <c r="N3" s="212"/>
      <c r="O3" s="212"/>
      <c r="P3" s="212"/>
      <c r="Q3" s="212"/>
      <c r="R3" s="212"/>
      <c r="S3" s="212"/>
    </row>
    <row r="4" spans="1:19" ht="13" x14ac:dyDescent="0.25">
      <c r="B4" s="224"/>
      <c r="E4" s="296"/>
      <c r="F4" s="296"/>
      <c r="G4" s="296"/>
      <c r="H4" s="296"/>
      <c r="I4" s="296"/>
      <c r="J4" s="296"/>
      <c r="K4" s="296"/>
      <c r="L4" s="296"/>
      <c r="M4" s="212"/>
      <c r="N4" s="212"/>
      <c r="O4" s="212"/>
      <c r="P4" s="212"/>
      <c r="Q4" s="212"/>
      <c r="R4" s="212"/>
      <c r="S4" s="212"/>
    </row>
    <row r="5" spans="1:19" ht="13" x14ac:dyDescent="0.25">
      <c r="B5" s="224"/>
      <c r="C5" s="1063" t="s">
        <v>0</v>
      </c>
      <c r="D5" s="1064" t="s">
        <v>362</v>
      </c>
      <c r="E5" s="296"/>
      <c r="F5" s="296"/>
      <c r="G5" s="296"/>
      <c r="H5" s="296"/>
      <c r="I5" s="296"/>
      <c r="J5" s="296"/>
      <c r="K5" s="296"/>
      <c r="L5" s="296"/>
      <c r="M5" s="212"/>
      <c r="N5" s="212"/>
      <c r="O5" s="212"/>
      <c r="P5" s="212"/>
      <c r="Q5" s="212"/>
      <c r="R5" s="212"/>
      <c r="S5" s="212"/>
    </row>
    <row r="6" spans="1:19" ht="13" x14ac:dyDescent="0.25">
      <c r="B6" s="281"/>
      <c r="C6" s="1065" t="s">
        <v>2</v>
      </c>
      <c r="D6" s="1065" t="s">
        <v>2</v>
      </c>
      <c r="E6" s="296"/>
      <c r="F6" s="296"/>
      <c r="G6" s="296"/>
      <c r="H6" s="296"/>
      <c r="I6" s="296"/>
      <c r="J6" s="296"/>
      <c r="K6" s="296"/>
      <c r="L6" s="296"/>
      <c r="M6" s="212"/>
      <c r="N6" s="212"/>
      <c r="O6" s="212"/>
      <c r="P6" s="212"/>
      <c r="Q6" s="212"/>
      <c r="R6" s="212"/>
      <c r="S6" s="212"/>
    </row>
    <row r="7" spans="1:19" x14ac:dyDescent="0.25">
      <c r="C7" s="584">
        <f>+'T9 - Overzicht'!$B$6</f>
        <v>2021</v>
      </c>
      <c r="D7" s="584">
        <f>+'T9 - Overzicht'!$B$6</f>
        <v>2021</v>
      </c>
      <c r="E7" s="296"/>
      <c r="F7" s="296"/>
      <c r="G7" s="296"/>
      <c r="H7" s="296"/>
      <c r="I7" s="296"/>
      <c r="J7" s="296"/>
      <c r="K7" s="296"/>
      <c r="L7" s="296"/>
      <c r="M7" s="212"/>
      <c r="N7" s="212"/>
      <c r="O7" s="212"/>
      <c r="P7" s="212"/>
      <c r="Q7" s="212"/>
      <c r="R7" s="212"/>
      <c r="S7" s="212"/>
    </row>
    <row r="8" spans="1:19" x14ac:dyDescent="0.25">
      <c r="B8" s="297"/>
      <c r="C8" s="1066" t="str">
        <f>+'T9 - Overzicht'!$A$10</f>
        <v>NAAM DNB</v>
      </c>
      <c r="D8" s="1066" t="str">
        <f>+'T9 - Overzicht'!$A$10</f>
        <v>NAAM DNB</v>
      </c>
      <c r="E8" s="296"/>
      <c r="F8" s="296"/>
      <c r="G8" s="296"/>
      <c r="H8" s="296"/>
      <c r="I8" s="296"/>
      <c r="J8" s="296"/>
      <c r="K8" s="296"/>
      <c r="L8" s="296"/>
      <c r="M8" s="212"/>
      <c r="N8" s="212"/>
      <c r="O8" s="212"/>
      <c r="P8" s="212"/>
      <c r="Q8" s="212"/>
      <c r="R8" s="212"/>
      <c r="S8" s="212"/>
    </row>
    <row r="9" spans="1:19" x14ac:dyDescent="0.25">
      <c r="C9" s="1067" t="str">
        <f>+'T9 - Overzicht'!$A$13</f>
        <v>elektriciteit</v>
      </c>
      <c r="D9" s="1067" t="str">
        <f>+'T9 - Overzicht'!$A$13</f>
        <v>elektriciteit</v>
      </c>
      <c r="E9" s="296"/>
      <c r="F9" s="296"/>
      <c r="G9" s="296"/>
      <c r="H9" s="296"/>
      <c r="I9" s="296"/>
      <c r="J9" s="296"/>
      <c r="K9" s="296"/>
      <c r="L9" s="296"/>
      <c r="M9" s="212"/>
      <c r="N9" s="212"/>
      <c r="O9" s="212"/>
      <c r="P9" s="212"/>
      <c r="Q9" s="212"/>
      <c r="R9" s="212"/>
      <c r="S9" s="212"/>
    </row>
    <row r="10" spans="1:19" x14ac:dyDescent="0.25">
      <c r="C10" s="1068"/>
      <c r="D10" s="1068"/>
      <c r="L10" s="212"/>
      <c r="M10" s="212"/>
      <c r="N10" s="212"/>
      <c r="O10" s="212"/>
      <c r="P10" s="212"/>
      <c r="Q10" s="212"/>
      <c r="R10" s="212"/>
      <c r="S10" s="212"/>
    </row>
    <row r="11" spans="1:19" s="1070" customFormat="1" ht="18" customHeight="1" x14ac:dyDescent="0.25">
      <c r="A11" s="176"/>
      <c r="B11" s="185"/>
      <c r="C11" s="1069"/>
      <c r="D11" s="1069"/>
      <c r="E11" s="176"/>
      <c r="F11" s="176"/>
      <c r="G11" s="176"/>
      <c r="H11" s="176"/>
      <c r="I11" s="176"/>
      <c r="J11" s="176"/>
      <c r="K11" s="176"/>
      <c r="L11" s="187"/>
      <c r="M11" s="187"/>
      <c r="N11" s="187"/>
      <c r="O11" s="187"/>
      <c r="P11" s="187"/>
      <c r="Q11" s="187"/>
      <c r="R11" s="187"/>
      <c r="S11" s="187"/>
    </row>
    <row r="12" spans="1:19" s="1070" customFormat="1" ht="32.15" customHeight="1" x14ac:dyDescent="0.25">
      <c r="A12" s="176"/>
      <c r="B12" s="980" t="s">
        <v>291</v>
      </c>
      <c r="C12" s="617">
        <f>+'T3'!D171</f>
        <v>0</v>
      </c>
      <c r="D12" s="617">
        <f>+'T3'!E170</f>
        <v>0</v>
      </c>
      <c r="E12" s="176"/>
      <c r="F12" s="176"/>
      <c r="G12" s="176"/>
      <c r="H12" s="176"/>
      <c r="I12" s="176"/>
      <c r="J12" s="176"/>
      <c r="K12" s="176"/>
      <c r="L12" s="176"/>
      <c r="M12" s="176"/>
    </row>
    <row r="13" spans="1:19" s="1070" customFormat="1" ht="18" customHeight="1" x14ac:dyDescent="0.25">
      <c r="A13" s="176"/>
      <c r="B13" s="185" t="s">
        <v>297</v>
      </c>
      <c r="C13" s="1072">
        <f>+'T10'!C14</f>
        <v>0.25</v>
      </c>
      <c r="D13" s="1072">
        <f>+'T10'!D14</f>
        <v>0.25</v>
      </c>
      <c r="E13" s="176"/>
      <c r="F13" s="176"/>
      <c r="G13" s="176"/>
      <c r="H13" s="176"/>
      <c r="I13" s="176"/>
      <c r="J13" s="176"/>
      <c r="K13" s="176"/>
      <c r="L13" s="176"/>
      <c r="M13" s="176"/>
    </row>
    <row r="14" spans="1:19" s="1070" customFormat="1" ht="30.75" customHeight="1" x14ac:dyDescent="0.25">
      <c r="A14" s="176"/>
      <c r="B14" s="979" t="s">
        <v>429</v>
      </c>
      <c r="C14" s="1071">
        <f>C12*C13/(1-C13)</f>
        <v>0</v>
      </c>
      <c r="D14" s="1071">
        <f>D12*D13/(1-D13)</f>
        <v>0</v>
      </c>
      <c r="E14" s="176"/>
      <c r="F14" s="176"/>
      <c r="G14" s="176"/>
      <c r="H14" s="176"/>
      <c r="I14" s="176"/>
      <c r="J14" s="176"/>
      <c r="K14" s="176"/>
      <c r="L14" s="176"/>
      <c r="M14" s="176"/>
    </row>
    <row r="50" spans="1:13" s="220" customFormat="1" x14ac:dyDescent="0.25">
      <c r="A50" s="167"/>
      <c r="B50" s="297"/>
      <c r="C50" s="167"/>
      <c r="E50" s="167"/>
      <c r="F50" s="167"/>
      <c r="G50" s="167"/>
      <c r="H50" s="167"/>
      <c r="I50" s="167"/>
      <c r="J50" s="167"/>
      <c r="K50" s="167"/>
      <c r="L50" s="167"/>
      <c r="M50" s="167"/>
    </row>
  </sheetData>
  <sheetProtection algorithmName="SHA-512" hashValue="QTSHXWIbMYXPoPw7Tl537Gd1cCwUEtJuyBa5Y6DfEF0zV/qvsx7U2qMxF1KjZ5tu5CBD6RoS23b9Ak+pjkl4AQ==" saltValue="ka7VmoCOalnIhenDHY7enA==" spinCount="100000" sheet="1" objects="1" scenarios="1"/>
  <mergeCells count="1">
    <mergeCell ref="A1:D1"/>
  </mergeCells>
  <pageMargins left="0.74803149606299213" right="0.74803149606299213" top="0.98425196850393704" bottom="0.98425196850393704" header="0.51181102362204722" footer="0.51181102362204722"/>
  <pageSetup paperSize="8" scale="9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stopIfTrue="1" id="{00D6C370-673D-40D4-801C-F262C7AFB64E}">
            <xm:f>'T9 - Overzicht'!$C$6="ex-ante"</xm:f>
            <x14:dxf>
              <fill>
                <patternFill patternType="lightUp"/>
              </fill>
            </x14:dxf>
          </x14:cfRule>
          <xm:sqref>D5:D14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427DF-C76B-467A-8D7A-3CFB79FA6AC6}">
  <dimension ref="A1:M22"/>
  <sheetViews>
    <sheetView zoomScaleNormal="100" workbookViewId="0">
      <selection activeCell="D19" sqref="D19"/>
    </sheetView>
  </sheetViews>
  <sheetFormatPr defaultColWidth="9.1796875" defaultRowHeight="12.5" x14ac:dyDescent="0.25"/>
  <cols>
    <col min="1" max="1" width="9.1796875" style="167"/>
    <col min="2" max="2" width="51" style="167" bestFit="1" customWidth="1"/>
    <col min="3" max="4" width="25.7265625" style="167" customWidth="1"/>
    <col min="5" max="5" width="17.1796875" style="167" customWidth="1"/>
    <col min="6" max="6" width="21.26953125" style="297" customWidth="1"/>
    <col min="7" max="16384" width="9.1796875" style="167"/>
  </cols>
  <sheetData>
    <row r="1" spans="1:13" s="209" customFormat="1" ht="20.5" customHeight="1" thickBot="1" x14ac:dyDescent="0.3">
      <c r="A1" s="1348" t="s">
        <v>432</v>
      </c>
      <c r="B1" s="1349"/>
      <c r="C1" s="1349"/>
      <c r="D1" s="1349"/>
      <c r="E1" s="1349"/>
      <c r="F1" s="1350"/>
      <c r="G1" s="294"/>
      <c r="H1" s="294"/>
      <c r="I1" s="294"/>
      <c r="J1" s="294"/>
      <c r="K1" s="294"/>
      <c r="L1" s="167"/>
      <c r="M1" s="167"/>
    </row>
    <row r="2" spans="1:13" s="209" customFormat="1" x14ac:dyDescent="0.25">
      <c r="A2" s="167"/>
      <c r="B2" s="209">
        <f>+TITELBLAD!E16</f>
        <v>2021</v>
      </c>
      <c r="D2" s="564"/>
      <c r="E2" s="212"/>
      <c r="F2" s="212"/>
      <c r="G2" s="212"/>
      <c r="H2" s="212"/>
      <c r="I2" s="212"/>
      <c r="J2" s="212"/>
      <c r="K2" s="212"/>
      <c r="L2" s="212"/>
      <c r="M2" s="212"/>
    </row>
    <row r="3" spans="1:13" s="209" customFormat="1" ht="13" x14ac:dyDescent="0.25">
      <c r="A3" s="167"/>
      <c r="B3" s="358" t="s">
        <v>296</v>
      </c>
      <c r="C3" s="167"/>
      <c r="D3" s="167"/>
      <c r="E3" s="167"/>
      <c r="F3" s="297"/>
      <c r="G3" s="167"/>
      <c r="H3" s="167"/>
      <c r="I3" s="167"/>
      <c r="J3" s="167"/>
      <c r="K3" s="167"/>
      <c r="L3" s="167"/>
      <c r="M3" s="167"/>
    </row>
    <row r="4" spans="1:13" s="209" customFormat="1" ht="13" customHeight="1" x14ac:dyDescent="0.25">
      <c r="A4" s="167"/>
      <c r="B4" s="224" t="s">
        <v>299</v>
      </c>
      <c r="C4" s="167"/>
      <c r="D4" s="167"/>
      <c r="E4" s="167"/>
      <c r="F4" s="297"/>
      <c r="G4" s="167"/>
      <c r="H4" s="167"/>
      <c r="I4" s="167"/>
      <c r="J4" s="167"/>
      <c r="K4" s="167"/>
      <c r="L4" s="167"/>
      <c r="M4" s="167"/>
    </row>
    <row r="5" spans="1:13" s="531" customFormat="1" ht="71.150000000000006" customHeight="1" x14ac:dyDescent="0.25">
      <c r="B5" s="1351" t="s">
        <v>368</v>
      </c>
      <c r="C5" s="1351"/>
      <c r="D5" s="1351"/>
    </row>
    <row r="6" spans="1:13" s="531" customFormat="1" x14ac:dyDescent="0.25">
      <c r="D6" s="220"/>
      <c r="E6" s="167"/>
    </row>
    <row r="7" spans="1:13" s="209" customFormat="1" x14ac:dyDescent="0.25">
      <c r="A7" s="167"/>
      <c r="B7" s="167"/>
      <c r="C7" s="167"/>
      <c r="D7" s="220"/>
      <c r="E7" s="167"/>
      <c r="F7" s="297"/>
      <c r="G7" s="167"/>
      <c r="H7" s="167"/>
      <c r="I7" s="167"/>
      <c r="J7" s="167"/>
      <c r="K7" s="167"/>
      <c r="L7" s="167"/>
      <c r="M7" s="167"/>
    </row>
    <row r="8" spans="1:13" s="209" customFormat="1" ht="13" x14ac:dyDescent="0.25">
      <c r="A8" s="167"/>
      <c r="B8" s="167"/>
      <c r="C8" s="1073" t="s">
        <v>0</v>
      </c>
      <c r="D8" s="1073" t="s">
        <v>1</v>
      </c>
      <c r="E8" s="167"/>
      <c r="F8" s="297"/>
      <c r="G8" s="167"/>
      <c r="H8" s="167"/>
      <c r="I8" s="167"/>
      <c r="J8" s="167"/>
      <c r="K8" s="167"/>
      <c r="L8" s="167"/>
      <c r="M8" s="167"/>
    </row>
    <row r="9" spans="1:13" s="209" customFormat="1" ht="13" x14ac:dyDescent="0.25">
      <c r="A9" s="167"/>
      <c r="B9" s="281"/>
      <c r="C9" s="1065" t="s">
        <v>2</v>
      </c>
      <c r="D9" s="1065" t="s">
        <v>2</v>
      </c>
      <c r="E9" s="167"/>
      <c r="F9" s="1074"/>
      <c r="G9" s="167"/>
      <c r="H9" s="167"/>
      <c r="I9" s="167"/>
      <c r="J9" s="167"/>
      <c r="K9" s="167"/>
      <c r="L9" s="167"/>
      <c r="M9" s="167"/>
    </row>
    <row r="10" spans="1:13" s="209" customFormat="1" x14ac:dyDescent="0.25">
      <c r="A10" s="167"/>
      <c r="B10" s="167"/>
      <c r="C10" s="584">
        <f>+TITELBLAD!E16</f>
        <v>2021</v>
      </c>
      <c r="D10" s="584">
        <f>+TITELBLAD!E16</f>
        <v>2021</v>
      </c>
      <c r="E10" s="167"/>
      <c r="F10" s="297"/>
      <c r="G10" s="167"/>
      <c r="H10" s="167"/>
      <c r="I10" s="167"/>
      <c r="J10" s="167"/>
      <c r="K10" s="167"/>
      <c r="L10" s="167"/>
      <c r="M10" s="167"/>
    </row>
    <row r="11" spans="1:13" s="209" customFormat="1" x14ac:dyDescent="0.25">
      <c r="A11" s="167"/>
      <c r="B11" s="297"/>
      <c r="C11" s="1067" t="str">
        <f>+TITELBLAD!C7</f>
        <v>NAAM DNB</v>
      </c>
      <c r="D11" s="1067" t="str">
        <f>+TITELBLAD!C7</f>
        <v>NAAM DNB</v>
      </c>
      <c r="E11" s="167"/>
      <c r="F11" s="297"/>
      <c r="G11" s="167"/>
      <c r="H11" s="167"/>
      <c r="I11" s="167"/>
      <c r="J11" s="167"/>
      <c r="K11" s="167"/>
      <c r="L11" s="167"/>
      <c r="M11" s="167"/>
    </row>
    <row r="12" spans="1:13" s="209" customFormat="1" x14ac:dyDescent="0.25">
      <c r="A12" s="167"/>
      <c r="B12" s="167"/>
      <c r="C12" s="1067" t="str">
        <f>+TITELBLAD!C10</f>
        <v>elektriciteit</v>
      </c>
      <c r="D12" s="1067" t="str">
        <f>+TITELBLAD!C10</f>
        <v>elektriciteit</v>
      </c>
      <c r="E12" s="167"/>
      <c r="F12" s="297"/>
      <c r="G12" s="167"/>
      <c r="H12" s="167"/>
      <c r="I12" s="167"/>
      <c r="J12" s="167"/>
      <c r="K12" s="167"/>
      <c r="L12" s="167"/>
      <c r="M12" s="167"/>
    </row>
    <row r="13" spans="1:13" s="209" customFormat="1" x14ac:dyDescent="0.25">
      <c r="A13" s="167"/>
      <c r="B13" s="167"/>
      <c r="C13" s="1068"/>
      <c r="D13" s="1068"/>
      <c r="E13" s="167"/>
      <c r="F13" s="297"/>
      <c r="G13" s="167"/>
      <c r="H13" s="167"/>
      <c r="I13" s="167"/>
      <c r="J13" s="167"/>
      <c r="K13" s="167"/>
      <c r="L13" s="167"/>
      <c r="M13" s="167"/>
    </row>
    <row r="14" spans="1:13" s="209" customFormat="1" ht="30.75" customHeight="1" x14ac:dyDescent="0.25">
      <c r="A14" s="167"/>
      <c r="B14" s="1075" t="s">
        <v>139</v>
      </c>
      <c r="C14" s="1069"/>
      <c r="D14" s="1069"/>
      <c r="E14" s="167"/>
      <c r="F14" s="166" t="s">
        <v>140</v>
      </c>
      <c r="G14" s="167"/>
      <c r="H14" s="167"/>
      <c r="I14" s="167"/>
      <c r="J14" s="167"/>
      <c r="K14" s="167"/>
      <c r="L14" s="167"/>
      <c r="M14" s="167"/>
    </row>
    <row r="15" spans="1:13" s="209" customFormat="1" ht="31" customHeight="1" x14ac:dyDescent="0.25">
      <c r="A15" s="167"/>
      <c r="B15" s="1076" t="s">
        <v>306</v>
      </c>
      <c r="C15" s="1078">
        <v>0</v>
      </c>
      <c r="D15" s="1078">
        <v>0</v>
      </c>
      <c r="E15" s="167"/>
      <c r="F15" s="614" t="s">
        <v>35</v>
      </c>
      <c r="G15" s="167"/>
      <c r="H15" s="167"/>
      <c r="I15" s="167"/>
      <c r="J15" s="167"/>
      <c r="K15" s="167"/>
      <c r="L15" s="167"/>
      <c r="M15" s="167"/>
    </row>
    <row r="16" spans="1:13" s="209" customFormat="1" ht="36" customHeight="1" x14ac:dyDescent="0.25">
      <c r="A16" s="167"/>
      <c r="B16" s="1076" t="s">
        <v>307</v>
      </c>
      <c r="C16" s="1079">
        <v>0</v>
      </c>
      <c r="D16" s="807">
        <v>0</v>
      </c>
      <c r="E16" s="167"/>
      <c r="F16" s="614"/>
      <c r="G16" s="167"/>
      <c r="H16" s="167"/>
      <c r="I16" s="167"/>
      <c r="J16" s="167"/>
      <c r="K16" s="167"/>
      <c r="L16" s="167"/>
      <c r="M16" s="167"/>
    </row>
    <row r="17" spans="1:13" s="209" customFormat="1" ht="28.5" customHeight="1" x14ac:dyDescent="0.25">
      <c r="A17" s="167"/>
      <c r="B17" s="1076" t="s">
        <v>300</v>
      </c>
      <c r="C17" s="1077">
        <f>+C15*C16</f>
        <v>0</v>
      </c>
      <c r="D17" s="1077">
        <f>+D15*D16</f>
        <v>0</v>
      </c>
      <c r="E17" s="167"/>
      <c r="F17" s="614"/>
      <c r="G17" s="167"/>
      <c r="H17" s="167"/>
      <c r="I17" s="167"/>
      <c r="J17" s="167"/>
      <c r="K17" s="167"/>
      <c r="L17" s="167"/>
      <c r="M17" s="167"/>
    </row>
    <row r="18" spans="1:13" s="1070" customFormat="1" ht="18" customHeight="1" x14ac:dyDescent="0.25">
      <c r="A18" s="176"/>
      <c r="B18" s="185" t="s">
        <v>297</v>
      </c>
      <c r="C18" s="1072">
        <f>+'T10'!C14</f>
        <v>0.25</v>
      </c>
      <c r="D18" s="1072">
        <f>+'T10'!D14</f>
        <v>0.25</v>
      </c>
      <c r="E18" s="176"/>
      <c r="F18" s="614"/>
      <c r="G18" s="176"/>
      <c r="H18" s="176"/>
      <c r="I18" s="176"/>
      <c r="J18" s="176"/>
      <c r="K18" s="176"/>
      <c r="L18" s="176"/>
      <c r="M18" s="176"/>
    </row>
    <row r="19" spans="1:13" s="1070" customFormat="1" ht="30.75" customHeight="1" x14ac:dyDescent="0.25">
      <c r="A19" s="176"/>
      <c r="B19" s="979" t="s">
        <v>301</v>
      </c>
      <c r="C19" s="1071">
        <f>-C17*C18/(1-C18)</f>
        <v>0</v>
      </c>
      <c r="D19" s="1071">
        <f>-D17*D18/(1-D18)</f>
        <v>0</v>
      </c>
      <c r="E19" s="176"/>
      <c r="F19" s="614"/>
      <c r="G19" s="176"/>
      <c r="H19" s="176"/>
      <c r="I19" s="176"/>
      <c r="J19" s="176"/>
      <c r="K19" s="176"/>
      <c r="L19" s="176"/>
      <c r="M19" s="176"/>
    </row>
    <row r="20" spans="1:13" s="209" customFormat="1" ht="13" x14ac:dyDescent="0.25">
      <c r="A20" s="167"/>
      <c r="B20" s="224"/>
      <c r="C20" s="167"/>
      <c r="D20" s="220"/>
      <c r="E20" s="167"/>
      <c r="F20" s="297"/>
      <c r="G20" s="167"/>
      <c r="H20" s="167"/>
      <c r="I20" s="167"/>
      <c r="J20" s="167"/>
      <c r="K20" s="167"/>
      <c r="L20" s="167"/>
      <c r="M20" s="167"/>
    </row>
    <row r="21" spans="1:13" s="209" customFormat="1" x14ac:dyDescent="0.25">
      <c r="A21" s="167"/>
      <c r="B21" s="167"/>
      <c r="C21" s="167"/>
      <c r="D21" s="220"/>
      <c r="E21" s="167"/>
      <c r="F21" s="297"/>
      <c r="G21" s="167"/>
      <c r="H21" s="167"/>
      <c r="I21" s="167"/>
      <c r="J21" s="167"/>
      <c r="K21" s="167"/>
      <c r="L21" s="167"/>
      <c r="M21" s="167"/>
    </row>
    <row r="22" spans="1:13" s="209" customFormat="1" x14ac:dyDescent="0.25">
      <c r="A22" s="167"/>
      <c r="B22" s="167"/>
      <c r="C22" s="167"/>
      <c r="D22" s="220"/>
      <c r="E22" s="167"/>
      <c r="F22" s="297"/>
      <c r="G22" s="167"/>
      <c r="H22" s="167"/>
      <c r="I22" s="167"/>
      <c r="J22" s="167"/>
      <c r="K22" s="167"/>
      <c r="L22" s="167"/>
      <c r="M22" s="167"/>
    </row>
  </sheetData>
  <sheetProtection algorithmName="SHA-512" hashValue="NVTnENtpSAkRL4ddrlB4WS+w2+psGLt19S28a6K5aarsI0ji5PZ0Pz9aKTWouN9y0InbNdCqpHcz1oRN+x08PQ==" saltValue="QbF2q0F6ZbRzICGYn6x/Kw==" spinCount="100000" sheet="1" objects="1" scenarios="1"/>
  <mergeCells count="2">
    <mergeCell ref="B5:D5"/>
    <mergeCell ref="A1:F1"/>
  </mergeCells>
  <pageMargins left="0.7" right="0.7" top="0.75" bottom="0.75" header="0.3" footer="0.3"/>
  <pageSetup paperSize="8" scale="41" orientation="portrait" r:id="rId1"/>
  <extLst>
    <ext xmlns:x14="http://schemas.microsoft.com/office/spreadsheetml/2009/9/main" uri="{78C0D931-6437-407d-A8EE-F0AAD7539E65}">
      <x14:conditionalFormattings>
        <x14:conditionalFormatting xmlns:xm="http://schemas.microsoft.com/office/excel/2006/main">
          <x14:cfRule type="expression" priority="1" stopIfTrue="1" id="{00000000-000E-0000-1600-000001000000}">
            <xm:f>'T9 - Overzicht'!$C$6="ex-ante"</xm:f>
            <x14:dxf>
              <fill>
                <patternFill patternType="lightUp"/>
              </fill>
            </x14:dxf>
          </x14:cfRule>
          <xm:sqref>D8:D19</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AD4A-6622-47DC-95E4-62CDEAF67EE2}">
  <dimension ref="A1:AB121"/>
  <sheetViews>
    <sheetView zoomScale="80" zoomScaleNormal="80" workbookViewId="0">
      <selection activeCell="D16" sqref="D16"/>
    </sheetView>
  </sheetViews>
  <sheetFormatPr defaultColWidth="9.1796875" defaultRowHeight="12.5" x14ac:dyDescent="0.25"/>
  <cols>
    <col min="1" max="1" width="51.453125" style="167" customWidth="1"/>
    <col min="2" max="2" width="26.54296875" style="167" customWidth="1"/>
    <col min="3" max="9" width="31" style="167" customWidth="1"/>
    <col min="10" max="10" width="8.81640625" style="167" customWidth="1"/>
    <col min="11" max="52" width="9.1796875" style="167" customWidth="1"/>
    <col min="53" max="258" width="9.1796875" style="167"/>
    <col min="259" max="259" width="51.453125" style="167" customWidth="1"/>
    <col min="260" max="260" width="26.54296875" style="167" customWidth="1"/>
    <col min="261" max="265" width="31" style="167" customWidth="1"/>
    <col min="266" max="266" width="8.81640625" style="167" customWidth="1"/>
    <col min="267" max="514" width="9.1796875" style="167"/>
    <col min="515" max="515" width="51.453125" style="167" customWidth="1"/>
    <col min="516" max="516" width="26.54296875" style="167" customWidth="1"/>
    <col min="517" max="521" width="31" style="167" customWidth="1"/>
    <col min="522" max="522" width="8.81640625" style="167" customWidth="1"/>
    <col min="523" max="770" width="9.1796875" style="167"/>
    <col min="771" max="771" width="51.453125" style="167" customWidth="1"/>
    <col min="772" max="772" width="26.54296875" style="167" customWidth="1"/>
    <col min="773" max="777" width="31" style="167" customWidth="1"/>
    <col min="778" max="778" width="8.81640625" style="167" customWidth="1"/>
    <col min="779" max="1026" width="9.1796875" style="167"/>
    <col min="1027" max="1027" width="51.453125" style="167" customWidth="1"/>
    <col min="1028" max="1028" width="26.54296875" style="167" customWidth="1"/>
    <col min="1029" max="1033" width="31" style="167" customWidth="1"/>
    <col min="1034" max="1034" width="8.81640625" style="167" customWidth="1"/>
    <col min="1035" max="1282" width="9.1796875" style="167"/>
    <col min="1283" max="1283" width="51.453125" style="167" customWidth="1"/>
    <col min="1284" max="1284" width="26.54296875" style="167" customWidth="1"/>
    <col min="1285" max="1289" width="31" style="167" customWidth="1"/>
    <col min="1290" max="1290" width="8.81640625" style="167" customWidth="1"/>
    <col min="1291" max="1538" width="9.1796875" style="167"/>
    <col min="1539" max="1539" width="51.453125" style="167" customWidth="1"/>
    <col min="1540" max="1540" width="26.54296875" style="167" customWidth="1"/>
    <col min="1541" max="1545" width="31" style="167" customWidth="1"/>
    <col min="1546" max="1546" width="8.81640625" style="167" customWidth="1"/>
    <col min="1547" max="1794" width="9.1796875" style="167"/>
    <col min="1795" max="1795" width="51.453125" style="167" customWidth="1"/>
    <col min="1796" max="1796" width="26.54296875" style="167" customWidth="1"/>
    <col min="1797" max="1801" width="31" style="167" customWidth="1"/>
    <col min="1802" max="1802" width="8.81640625" style="167" customWidth="1"/>
    <col min="1803" max="2050" width="9.1796875" style="167"/>
    <col min="2051" max="2051" width="51.453125" style="167" customWidth="1"/>
    <col min="2052" max="2052" width="26.54296875" style="167" customWidth="1"/>
    <col min="2053" max="2057" width="31" style="167" customWidth="1"/>
    <col min="2058" max="2058" width="8.81640625" style="167" customWidth="1"/>
    <col min="2059" max="2306" width="9.1796875" style="167"/>
    <col min="2307" max="2307" width="51.453125" style="167" customWidth="1"/>
    <col min="2308" max="2308" width="26.54296875" style="167" customWidth="1"/>
    <col min="2309" max="2313" width="31" style="167" customWidth="1"/>
    <col min="2314" max="2314" width="8.81640625" style="167" customWidth="1"/>
    <col min="2315" max="2562" width="9.1796875" style="167"/>
    <col min="2563" max="2563" width="51.453125" style="167" customWidth="1"/>
    <col min="2564" max="2564" width="26.54296875" style="167" customWidth="1"/>
    <col min="2565" max="2569" width="31" style="167" customWidth="1"/>
    <col min="2570" max="2570" width="8.81640625" style="167" customWidth="1"/>
    <col min="2571" max="2818" width="9.1796875" style="167"/>
    <col min="2819" max="2819" width="51.453125" style="167" customWidth="1"/>
    <col min="2820" max="2820" width="26.54296875" style="167" customWidth="1"/>
    <col min="2821" max="2825" width="31" style="167" customWidth="1"/>
    <col min="2826" max="2826" width="8.81640625" style="167" customWidth="1"/>
    <col min="2827" max="3074" width="9.1796875" style="167"/>
    <col min="3075" max="3075" width="51.453125" style="167" customWidth="1"/>
    <col min="3076" max="3076" width="26.54296875" style="167" customWidth="1"/>
    <col min="3077" max="3081" width="31" style="167" customWidth="1"/>
    <col min="3082" max="3082" width="8.81640625" style="167" customWidth="1"/>
    <col min="3083" max="3330" width="9.1796875" style="167"/>
    <col min="3331" max="3331" width="51.453125" style="167" customWidth="1"/>
    <col min="3332" max="3332" width="26.54296875" style="167" customWidth="1"/>
    <col min="3333" max="3337" width="31" style="167" customWidth="1"/>
    <col min="3338" max="3338" width="8.81640625" style="167" customWidth="1"/>
    <col min="3339" max="3586" width="9.1796875" style="167"/>
    <col min="3587" max="3587" width="51.453125" style="167" customWidth="1"/>
    <col min="3588" max="3588" width="26.54296875" style="167" customWidth="1"/>
    <col min="3589" max="3593" width="31" style="167" customWidth="1"/>
    <col min="3594" max="3594" width="8.81640625" style="167" customWidth="1"/>
    <col min="3595" max="3842" width="9.1796875" style="167"/>
    <col min="3843" max="3843" width="51.453125" style="167" customWidth="1"/>
    <col min="3844" max="3844" width="26.54296875" style="167" customWidth="1"/>
    <col min="3845" max="3849" width="31" style="167" customWidth="1"/>
    <col min="3850" max="3850" width="8.81640625" style="167" customWidth="1"/>
    <col min="3851" max="4098" width="9.1796875" style="167"/>
    <col min="4099" max="4099" width="51.453125" style="167" customWidth="1"/>
    <col min="4100" max="4100" width="26.54296875" style="167" customWidth="1"/>
    <col min="4101" max="4105" width="31" style="167" customWidth="1"/>
    <col min="4106" max="4106" width="8.81640625" style="167" customWidth="1"/>
    <col min="4107" max="4354" width="9.1796875" style="167"/>
    <col min="4355" max="4355" width="51.453125" style="167" customWidth="1"/>
    <col min="4356" max="4356" width="26.54296875" style="167" customWidth="1"/>
    <col min="4357" max="4361" width="31" style="167" customWidth="1"/>
    <col min="4362" max="4362" width="8.81640625" style="167" customWidth="1"/>
    <col min="4363" max="4610" width="9.1796875" style="167"/>
    <col min="4611" max="4611" width="51.453125" style="167" customWidth="1"/>
    <col min="4612" max="4612" width="26.54296875" style="167" customWidth="1"/>
    <col min="4613" max="4617" width="31" style="167" customWidth="1"/>
    <col min="4618" max="4618" width="8.81640625" style="167" customWidth="1"/>
    <col min="4619" max="4866" width="9.1796875" style="167"/>
    <col min="4867" max="4867" width="51.453125" style="167" customWidth="1"/>
    <col min="4868" max="4868" width="26.54296875" style="167" customWidth="1"/>
    <col min="4869" max="4873" width="31" style="167" customWidth="1"/>
    <col min="4874" max="4874" width="8.81640625" style="167" customWidth="1"/>
    <col min="4875" max="5122" width="9.1796875" style="167"/>
    <col min="5123" max="5123" width="51.453125" style="167" customWidth="1"/>
    <col min="5124" max="5124" width="26.54296875" style="167" customWidth="1"/>
    <col min="5125" max="5129" width="31" style="167" customWidth="1"/>
    <col min="5130" max="5130" width="8.81640625" style="167" customWidth="1"/>
    <col min="5131" max="5378" width="9.1796875" style="167"/>
    <col min="5379" max="5379" width="51.453125" style="167" customWidth="1"/>
    <col min="5380" max="5380" width="26.54296875" style="167" customWidth="1"/>
    <col min="5381" max="5385" width="31" style="167" customWidth="1"/>
    <col min="5386" max="5386" width="8.81640625" style="167" customWidth="1"/>
    <col min="5387" max="5634" width="9.1796875" style="167"/>
    <col min="5635" max="5635" width="51.453125" style="167" customWidth="1"/>
    <col min="5636" max="5636" width="26.54296875" style="167" customWidth="1"/>
    <col min="5637" max="5641" width="31" style="167" customWidth="1"/>
    <col min="5642" max="5642" width="8.81640625" style="167" customWidth="1"/>
    <col min="5643" max="5890" width="9.1796875" style="167"/>
    <col min="5891" max="5891" width="51.453125" style="167" customWidth="1"/>
    <col min="5892" max="5892" width="26.54296875" style="167" customWidth="1"/>
    <col min="5893" max="5897" width="31" style="167" customWidth="1"/>
    <col min="5898" max="5898" width="8.81640625" style="167" customWidth="1"/>
    <col min="5899" max="6146" width="9.1796875" style="167"/>
    <col min="6147" max="6147" width="51.453125" style="167" customWidth="1"/>
    <col min="6148" max="6148" width="26.54296875" style="167" customWidth="1"/>
    <col min="6149" max="6153" width="31" style="167" customWidth="1"/>
    <col min="6154" max="6154" width="8.81640625" style="167" customWidth="1"/>
    <col min="6155" max="6402" width="9.1796875" style="167"/>
    <col min="6403" max="6403" width="51.453125" style="167" customWidth="1"/>
    <col min="6404" max="6404" width="26.54296875" style="167" customWidth="1"/>
    <col min="6405" max="6409" width="31" style="167" customWidth="1"/>
    <col min="6410" max="6410" width="8.81640625" style="167" customWidth="1"/>
    <col min="6411" max="6658" width="9.1796875" style="167"/>
    <col min="6659" max="6659" width="51.453125" style="167" customWidth="1"/>
    <col min="6660" max="6660" width="26.54296875" style="167" customWidth="1"/>
    <col min="6661" max="6665" width="31" style="167" customWidth="1"/>
    <col min="6666" max="6666" width="8.81640625" style="167" customWidth="1"/>
    <col min="6667" max="6914" width="9.1796875" style="167"/>
    <col min="6915" max="6915" width="51.453125" style="167" customWidth="1"/>
    <col min="6916" max="6916" width="26.54296875" style="167" customWidth="1"/>
    <col min="6917" max="6921" width="31" style="167" customWidth="1"/>
    <col min="6922" max="6922" width="8.81640625" style="167" customWidth="1"/>
    <col min="6923" max="7170" width="9.1796875" style="167"/>
    <col min="7171" max="7171" width="51.453125" style="167" customWidth="1"/>
    <col min="7172" max="7172" width="26.54296875" style="167" customWidth="1"/>
    <col min="7173" max="7177" width="31" style="167" customWidth="1"/>
    <col min="7178" max="7178" width="8.81640625" style="167" customWidth="1"/>
    <col min="7179" max="7426" width="9.1796875" style="167"/>
    <col min="7427" max="7427" width="51.453125" style="167" customWidth="1"/>
    <col min="7428" max="7428" width="26.54296875" style="167" customWidth="1"/>
    <col min="7429" max="7433" width="31" style="167" customWidth="1"/>
    <col min="7434" max="7434" width="8.81640625" style="167" customWidth="1"/>
    <col min="7435" max="7682" width="9.1796875" style="167"/>
    <col min="7683" max="7683" width="51.453125" style="167" customWidth="1"/>
    <col min="7684" max="7684" width="26.54296875" style="167" customWidth="1"/>
    <col min="7685" max="7689" width="31" style="167" customWidth="1"/>
    <col min="7690" max="7690" width="8.81640625" style="167" customWidth="1"/>
    <col min="7691" max="7938" width="9.1796875" style="167"/>
    <col min="7939" max="7939" width="51.453125" style="167" customWidth="1"/>
    <col min="7940" max="7940" width="26.54296875" style="167" customWidth="1"/>
    <col min="7941" max="7945" width="31" style="167" customWidth="1"/>
    <col min="7946" max="7946" width="8.81640625" style="167" customWidth="1"/>
    <col min="7947" max="8194" width="9.1796875" style="167"/>
    <col min="8195" max="8195" width="51.453125" style="167" customWidth="1"/>
    <col min="8196" max="8196" width="26.54296875" style="167" customWidth="1"/>
    <col min="8197" max="8201" width="31" style="167" customWidth="1"/>
    <col min="8202" max="8202" width="8.81640625" style="167" customWidth="1"/>
    <col min="8203" max="8450" width="9.1796875" style="167"/>
    <col min="8451" max="8451" width="51.453125" style="167" customWidth="1"/>
    <col min="8452" max="8452" width="26.54296875" style="167" customWidth="1"/>
    <col min="8453" max="8457" width="31" style="167" customWidth="1"/>
    <col min="8458" max="8458" width="8.81640625" style="167" customWidth="1"/>
    <col min="8459" max="8706" width="9.1796875" style="167"/>
    <col min="8707" max="8707" width="51.453125" style="167" customWidth="1"/>
    <col min="8708" max="8708" width="26.54296875" style="167" customWidth="1"/>
    <col min="8709" max="8713" width="31" style="167" customWidth="1"/>
    <col min="8714" max="8714" width="8.81640625" style="167" customWidth="1"/>
    <col min="8715" max="8962" width="9.1796875" style="167"/>
    <col min="8963" max="8963" width="51.453125" style="167" customWidth="1"/>
    <col min="8964" max="8964" width="26.54296875" style="167" customWidth="1"/>
    <col min="8965" max="8969" width="31" style="167" customWidth="1"/>
    <col min="8970" max="8970" width="8.81640625" style="167" customWidth="1"/>
    <col min="8971" max="9218" width="9.1796875" style="167"/>
    <col min="9219" max="9219" width="51.453125" style="167" customWidth="1"/>
    <col min="9220" max="9220" width="26.54296875" style="167" customWidth="1"/>
    <col min="9221" max="9225" width="31" style="167" customWidth="1"/>
    <col min="9226" max="9226" width="8.81640625" style="167" customWidth="1"/>
    <col min="9227" max="9474" width="9.1796875" style="167"/>
    <col min="9475" max="9475" width="51.453125" style="167" customWidth="1"/>
    <col min="9476" max="9476" width="26.54296875" style="167" customWidth="1"/>
    <col min="9477" max="9481" width="31" style="167" customWidth="1"/>
    <col min="9482" max="9482" width="8.81640625" style="167" customWidth="1"/>
    <col min="9483" max="9730" width="9.1796875" style="167"/>
    <col min="9731" max="9731" width="51.453125" style="167" customWidth="1"/>
    <col min="9732" max="9732" width="26.54296875" style="167" customWidth="1"/>
    <col min="9733" max="9737" width="31" style="167" customWidth="1"/>
    <col min="9738" max="9738" width="8.81640625" style="167" customWidth="1"/>
    <col min="9739" max="9986" width="9.1796875" style="167"/>
    <col min="9987" max="9987" width="51.453125" style="167" customWidth="1"/>
    <col min="9988" max="9988" width="26.54296875" style="167" customWidth="1"/>
    <col min="9989" max="9993" width="31" style="167" customWidth="1"/>
    <col min="9994" max="9994" width="8.81640625" style="167" customWidth="1"/>
    <col min="9995" max="10242" width="9.1796875" style="167"/>
    <col min="10243" max="10243" width="51.453125" style="167" customWidth="1"/>
    <col min="10244" max="10244" width="26.54296875" style="167" customWidth="1"/>
    <col min="10245" max="10249" width="31" style="167" customWidth="1"/>
    <col min="10250" max="10250" width="8.81640625" style="167" customWidth="1"/>
    <col min="10251" max="10498" width="9.1796875" style="167"/>
    <col min="10499" max="10499" width="51.453125" style="167" customWidth="1"/>
    <col min="10500" max="10500" width="26.54296875" style="167" customWidth="1"/>
    <col min="10501" max="10505" width="31" style="167" customWidth="1"/>
    <col min="10506" max="10506" width="8.81640625" style="167" customWidth="1"/>
    <col min="10507" max="10754" width="9.1796875" style="167"/>
    <col min="10755" max="10755" width="51.453125" style="167" customWidth="1"/>
    <col min="10756" max="10756" width="26.54296875" style="167" customWidth="1"/>
    <col min="10757" max="10761" width="31" style="167" customWidth="1"/>
    <col min="10762" max="10762" width="8.81640625" style="167" customWidth="1"/>
    <col min="10763" max="11010" width="9.1796875" style="167"/>
    <col min="11011" max="11011" width="51.453125" style="167" customWidth="1"/>
    <col min="11012" max="11012" width="26.54296875" style="167" customWidth="1"/>
    <col min="11013" max="11017" width="31" style="167" customWidth="1"/>
    <col min="11018" max="11018" width="8.81640625" style="167" customWidth="1"/>
    <col min="11019" max="11266" width="9.1796875" style="167"/>
    <col min="11267" max="11267" width="51.453125" style="167" customWidth="1"/>
    <col min="11268" max="11268" width="26.54296875" style="167" customWidth="1"/>
    <col min="11269" max="11273" width="31" style="167" customWidth="1"/>
    <col min="11274" max="11274" width="8.81640625" style="167" customWidth="1"/>
    <col min="11275" max="11522" width="9.1796875" style="167"/>
    <col min="11523" max="11523" width="51.453125" style="167" customWidth="1"/>
    <col min="11524" max="11524" width="26.54296875" style="167" customWidth="1"/>
    <col min="11525" max="11529" width="31" style="167" customWidth="1"/>
    <col min="11530" max="11530" width="8.81640625" style="167" customWidth="1"/>
    <col min="11531" max="11778" width="9.1796875" style="167"/>
    <col min="11779" max="11779" width="51.453125" style="167" customWidth="1"/>
    <col min="11780" max="11780" width="26.54296875" style="167" customWidth="1"/>
    <col min="11781" max="11785" width="31" style="167" customWidth="1"/>
    <col min="11786" max="11786" width="8.81640625" style="167" customWidth="1"/>
    <col min="11787" max="12034" width="9.1796875" style="167"/>
    <col min="12035" max="12035" width="51.453125" style="167" customWidth="1"/>
    <col min="12036" max="12036" width="26.54296875" style="167" customWidth="1"/>
    <col min="12037" max="12041" width="31" style="167" customWidth="1"/>
    <col min="12042" max="12042" width="8.81640625" style="167" customWidth="1"/>
    <col min="12043" max="12290" width="9.1796875" style="167"/>
    <col min="12291" max="12291" width="51.453125" style="167" customWidth="1"/>
    <col min="12292" max="12292" width="26.54296875" style="167" customWidth="1"/>
    <col min="12293" max="12297" width="31" style="167" customWidth="1"/>
    <col min="12298" max="12298" width="8.81640625" style="167" customWidth="1"/>
    <col min="12299" max="12546" width="9.1796875" style="167"/>
    <col min="12547" max="12547" width="51.453125" style="167" customWidth="1"/>
    <col min="12548" max="12548" width="26.54296875" style="167" customWidth="1"/>
    <col min="12549" max="12553" width="31" style="167" customWidth="1"/>
    <col min="12554" max="12554" width="8.81640625" style="167" customWidth="1"/>
    <col min="12555" max="12802" width="9.1796875" style="167"/>
    <col min="12803" max="12803" width="51.453125" style="167" customWidth="1"/>
    <col min="12804" max="12804" width="26.54296875" style="167" customWidth="1"/>
    <col min="12805" max="12809" width="31" style="167" customWidth="1"/>
    <col min="12810" max="12810" width="8.81640625" style="167" customWidth="1"/>
    <col min="12811" max="13058" width="9.1796875" style="167"/>
    <col min="13059" max="13059" width="51.453125" style="167" customWidth="1"/>
    <col min="13060" max="13060" width="26.54296875" style="167" customWidth="1"/>
    <col min="13061" max="13065" width="31" style="167" customWidth="1"/>
    <col min="13066" max="13066" width="8.81640625" style="167" customWidth="1"/>
    <col min="13067" max="13314" width="9.1796875" style="167"/>
    <col min="13315" max="13315" width="51.453125" style="167" customWidth="1"/>
    <col min="13316" max="13316" width="26.54296875" style="167" customWidth="1"/>
    <col min="13317" max="13321" width="31" style="167" customWidth="1"/>
    <col min="13322" max="13322" width="8.81640625" style="167" customWidth="1"/>
    <col min="13323" max="13570" width="9.1796875" style="167"/>
    <col min="13571" max="13571" width="51.453125" style="167" customWidth="1"/>
    <col min="13572" max="13572" width="26.54296875" style="167" customWidth="1"/>
    <col min="13573" max="13577" width="31" style="167" customWidth="1"/>
    <col min="13578" max="13578" width="8.81640625" style="167" customWidth="1"/>
    <col min="13579" max="13826" width="9.1796875" style="167"/>
    <col min="13827" max="13827" width="51.453125" style="167" customWidth="1"/>
    <col min="13828" max="13828" width="26.54296875" style="167" customWidth="1"/>
    <col min="13829" max="13833" width="31" style="167" customWidth="1"/>
    <col min="13834" max="13834" width="8.81640625" style="167" customWidth="1"/>
    <col min="13835" max="14082" width="9.1796875" style="167"/>
    <col min="14083" max="14083" width="51.453125" style="167" customWidth="1"/>
    <col min="14084" max="14084" width="26.54296875" style="167" customWidth="1"/>
    <col min="14085" max="14089" width="31" style="167" customWidth="1"/>
    <col min="14090" max="14090" width="8.81640625" style="167" customWidth="1"/>
    <col min="14091" max="14338" width="9.1796875" style="167"/>
    <col min="14339" max="14339" width="51.453125" style="167" customWidth="1"/>
    <col min="14340" max="14340" width="26.54296875" style="167" customWidth="1"/>
    <col min="14341" max="14345" width="31" style="167" customWidth="1"/>
    <col min="14346" max="14346" width="8.81640625" style="167" customWidth="1"/>
    <col min="14347" max="14594" width="9.1796875" style="167"/>
    <col min="14595" max="14595" width="51.453125" style="167" customWidth="1"/>
    <col min="14596" max="14596" width="26.54296875" style="167" customWidth="1"/>
    <col min="14597" max="14601" width="31" style="167" customWidth="1"/>
    <col min="14602" max="14602" width="8.81640625" style="167" customWidth="1"/>
    <col min="14603" max="14850" width="9.1796875" style="167"/>
    <col min="14851" max="14851" width="51.453125" style="167" customWidth="1"/>
    <col min="14852" max="14852" width="26.54296875" style="167" customWidth="1"/>
    <col min="14853" max="14857" width="31" style="167" customWidth="1"/>
    <col min="14858" max="14858" width="8.81640625" style="167" customWidth="1"/>
    <col min="14859" max="15106" width="9.1796875" style="167"/>
    <col min="15107" max="15107" width="51.453125" style="167" customWidth="1"/>
    <col min="15108" max="15108" width="26.54296875" style="167" customWidth="1"/>
    <col min="15109" max="15113" width="31" style="167" customWidth="1"/>
    <col min="15114" max="15114" width="8.81640625" style="167" customWidth="1"/>
    <col min="15115" max="15362" width="9.1796875" style="167"/>
    <col min="15363" max="15363" width="51.453125" style="167" customWidth="1"/>
    <col min="15364" max="15364" width="26.54296875" style="167" customWidth="1"/>
    <col min="15365" max="15369" width="31" style="167" customWidth="1"/>
    <col min="15370" max="15370" width="8.81640625" style="167" customWidth="1"/>
    <col min="15371" max="15618" width="9.1796875" style="167"/>
    <col min="15619" max="15619" width="51.453125" style="167" customWidth="1"/>
    <col min="15620" max="15620" width="26.54296875" style="167" customWidth="1"/>
    <col min="15621" max="15625" width="31" style="167" customWidth="1"/>
    <col min="15626" max="15626" width="8.81640625" style="167" customWidth="1"/>
    <col min="15627" max="15874" width="9.1796875" style="167"/>
    <col min="15875" max="15875" width="51.453125" style="167" customWidth="1"/>
    <col min="15876" max="15876" width="26.54296875" style="167" customWidth="1"/>
    <col min="15877" max="15881" width="31" style="167" customWidth="1"/>
    <col min="15882" max="15882" width="8.81640625" style="167" customWidth="1"/>
    <col min="15883" max="16130" width="9.1796875" style="167"/>
    <col min="16131" max="16131" width="51.453125" style="167" customWidth="1"/>
    <col min="16132" max="16132" width="26.54296875" style="167" customWidth="1"/>
    <col min="16133" max="16137" width="31" style="167" customWidth="1"/>
    <col min="16138" max="16138" width="8.81640625" style="167" customWidth="1"/>
    <col min="16139" max="16384" width="9.1796875" style="167"/>
  </cols>
  <sheetData>
    <row r="1" spans="1:28" ht="26.5" customHeight="1" thickBot="1" x14ac:dyDescent="0.3">
      <c r="A1" s="1348" t="s">
        <v>433</v>
      </c>
      <c r="B1" s="1349"/>
      <c r="C1" s="1349"/>
      <c r="D1" s="1349"/>
      <c r="E1" s="1349"/>
      <c r="F1" s="1349"/>
      <c r="G1" s="1349"/>
      <c r="H1" s="1349"/>
      <c r="I1" s="1350"/>
      <c r="J1" s="296"/>
      <c r="K1" s="209" t="str">
        <f>+TITELBLAD!C10</f>
        <v>elektriciteit</v>
      </c>
      <c r="L1" s="296"/>
      <c r="M1" s="296"/>
      <c r="N1" s="296"/>
      <c r="O1" s="296"/>
      <c r="P1" s="296"/>
      <c r="Q1" s="296"/>
      <c r="R1" s="296"/>
      <c r="S1" s="296"/>
      <c r="T1" s="296"/>
      <c r="U1" s="296"/>
      <c r="V1" s="296"/>
      <c r="W1" s="296"/>
      <c r="X1" s="296"/>
      <c r="Y1" s="296"/>
      <c r="Z1" s="296"/>
      <c r="AA1" s="296"/>
      <c r="AB1" s="296"/>
    </row>
    <row r="2" spans="1:28" x14ac:dyDescent="0.25">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row>
    <row r="3" spans="1:28" ht="13" x14ac:dyDescent="0.25">
      <c r="A3" s="296"/>
      <c r="B3" s="296"/>
      <c r="C3" s="1063" t="s">
        <v>346</v>
      </c>
      <c r="D3" s="1063" t="s">
        <v>347</v>
      </c>
      <c r="E3" s="296"/>
      <c r="F3" s="296"/>
      <c r="G3" s="296"/>
      <c r="H3" s="296"/>
      <c r="I3" s="296"/>
      <c r="J3" s="296"/>
      <c r="K3" s="296"/>
      <c r="L3" s="296"/>
      <c r="M3" s="296"/>
      <c r="N3" s="296"/>
      <c r="O3" s="296"/>
      <c r="P3" s="296"/>
      <c r="Q3" s="296"/>
      <c r="R3" s="296"/>
      <c r="S3" s="296"/>
      <c r="T3" s="296"/>
      <c r="U3" s="296"/>
      <c r="V3" s="296"/>
      <c r="W3" s="296"/>
      <c r="X3" s="296"/>
      <c r="Y3" s="296"/>
      <c r="Z3" s="296"/>
      <c r="AA3" s="296"/>
      <c r="AB3" s="296"/>
    </row>
    <row r="4" spans="1:28" ht="13" x14ac:dyDescent="0.25">
      <c r="A4" s="358" t="s">
        <v>440</v>
      </c>
      <c r="B4" s="1080">
        <f>+TITELBLAD!E16</f>
        <v>2021</v>
      </c>
      <c r="C4" s="1081">
        <f>-G66</f>
        <v>0</v>
      </c>
      <c r="D4" s="1081">
        <f>-G120</f>
        <v>0</v>
      </c>
      <c r="E4" s="1082"/>
      <c r="I4" s="296"/>
      <c r="J4" s="296"/>
      <c r="K4" s="296"/>
      <c r="L4" s="296"/>
      <c r="M4" s="296"/>
      <c r="N4" s="296"/>
      <c r="O4" s="296"/>
      <c r="P4" s="296"/>
      <c r="Q4" s="296"/>
      <c r="R4" s="296"/>
      <c r="S4" s="296"/>
      <c r="T4" s="296"/>
      <c r="U4" s="296"/>
      <c r="V4" s="296"/>
      <c r="W4" s="296"/>
      <c r="X4" s="296"/>
      <c r="Y4" s="296"/>
      <c r="Z4" s="296"/>
      <c r="AA4" s="296"/>
      <c r="AB4" s="296"/>
    </row>
    <row r="5" spans="1:28" x14ac:dyDescent="0.25">
      <c r="D5" s="1082"/>
      <c r="E5" s="1082"/>
      <c r="I5" s="296"/>
      <c r="J5" s="296"/>
      <c r="K5" s="296"/>
      <c r="L5" s="296"/>
      <c r="M5" s="296"/>
      <c r="N5" s="296"/>
      <c r="O5" s="296"/>
      <c r="P5" s="296"/>
      <c r="Q5" s="296"/>
      <c r="R5" s="296"/>
      <c r="S5" s="296"/>
      <c r="T5" s="296"/>
      <c r="U5" s="296"/>
      <c r="V5" s="296"/>
      <c r="W5" s="296"/>
      <c r="X5" s="296"/>
      <c r="Y5" s="296"/>
      <c r="Z5" s="296"/>
      <c r="AA5" s="296"/>
      <c r="AB5" s="296"/>
    </row>
    <row r="6" spans="1:28" x14ac:dyDescent="0.25">
      <c r="I6" s="296"/>
      <c r="J6" s="296"/>
      <c r="K6" s="296"/>
      <c r="L6" s="296"/>
      <c r="M6" s="296"/>
      <c r="N6" s="296"/>
      <c r="O6" s="296"/>
      <c r="P6" s="296"/>
      <c r="Q6" s="296"/>
      <c r="R6" s="296"/>
      <c r="S6" s="296"/>
      <c r="T6" s="296"/>
      <c r="U6" s="296"/>
      <c r="V6" s="296"/>
      <c r="W6" s="296"/>
      <c r="X6" s="296"/>
      <c r="Y6" s="296"/>
      <c r="Z6" s="296"/>
      <c r="AA6" s="296"/>
      <c r="AB6" s="296"/>
    </row>
    <row r="7" spans="1:28" x14ac:dyDescent="0.25">
      <c r="I7" s="296"/>
      <c r="J7" s="296"/>
      <c r="K7" s="296"/>
      <c r="L7" s="296"/>
      <c r="M7" s="296"/>
      <c r="N7" s="296"/>
      <c r="O7" s="296"/>
      <c r="P7" s="296"/>
      <c r="Q7" s="296"/>
      <c r="R7" s="296"/>
      <c r="S7" s="296"/>
      <c r="T7" s="296"/>
      <c r="U7" s="296"/>
      <c r="V7" s="296"/>
      <c r="W7" s="296"/>
      <c r="X7" s="296"/>
      <c r="Y7" s="296"/>
      <c r="Z7" s="296"/>
      <c r="AA7" s="296"/>
      <c r="AB7" s="296"/>
    </row>
    <row r="8" spans="1:28" ht="13" x14ac:dyDescent="0.25">
      <c r="A8" s="358" t="s">
        <v>308</v>
      </c>
      <c r="I8" s="296"/>
      <c r="J8" s="296"/>
      <c r="K8" s="296"/>
      <c r="L8" s="296"/>
      <c r="M8" s="296"/>
      <c r="N8" s="296"/>
      <c r="O8" s="296"/>
      <c r="P8" s="296"/>
      <c r="Q8" s="296"/>
      <c r="R8" s="296"/>
      <c r="S8" s="296"/>
      <c r="T8" s="296"/>
      <c r="U8" s="296"/>
      <c r="V8" s="296"/>
      <c r="W8" s="296"/>
      <c r="X8" s="296"/>
      <c r="Y8" s="296"/>
      <c r="Z8" s="296"/>
      <c r="AA8" s="296"/>
      <c r="AB8" s="296"/>
    </row>
    <row r="9" spans="1:28" ht="13" x14ac:dyDescent="0.25">
      <c r="A9" s="224" t="s">
        <v>309</v>
      </c>
      <c r="I9" s="296"/>
      <c r="J9" s="296"/>
      <c r="K9" s="296"/>
      <c r="L9" s="296"/>
      <c r="M9" s="296"/>
      <c r="N9" s="296"/>
      <c r="O9" s="296"/>
      <c r="P9" s="296"/>
      <c r="Q9" s="296"/>
      <c r="R9" s="296"/>
      <c r="S9" s="296"/>
      <c r="T9" s="296"/>
      <c r="U9" s="296"/>
      <c r="V9" s="296"/>
      <c r="W9" s="296"/>
      <c r="X9" s="296"/>
      <c r="Y9" s="296"/>
      <c r="Z9" s="296"/>
      <c r="AA9" s="296"/>
      <c r="AB9" s="296"/>
    </row>
    <row r="10" spans="1:28" ht="13" x14ac:dyDescent="0.25">
      <c r="A10" s="1083" t="s">
        <v>310</v>
      </c>
      <c r="I10" s="296"/>
      <c r="J10" s="296"/>
      <c r="K10" s="296"/>
      <c r="L10" s="296"/>
      <c r="M10" s="296"/>
      <c r="N10" s="296"/>
      <c r="O10" s="296"/>
      <c r="P10" s="296"/>
      <c r="Q10" s="296"/>
      <c r="R10" s="296"/>
      <c r="S10" s="296"/>
      <c r="T10" s="296"/>
      <c r="U10" s="296"/>
      <c r="V10" s="296"/>
      <c r="W10" s="296"/>
      <c r="X10" s="296"/>
      <c r="Y10" s="296"/>
      <c r="Z10" s="296"/>
      <c r="AA10" s="296"/>
      <c r="AB10" s="296"/>
    </row>
    <row r="11" spans="1:28" ht="13" x14ac:dyDescent="0.25">
      <c r="A11" s="1083" t="s">
        <v>311</v>
      </c>
      <c r="I11" s="296"/>
      <c r="J11" s="296"/>
      <c r="K11" s="296"/>
      <c r="L11" s="296"/>
      <c r="M11" s="296"/>
      <c r="N11" s="296"/>
      <c r="O11" s="296"/>
      <c r="P11" s="296"/>
      <c r="Q11" s="296"/>
      <c r="R11" s="296"/>
      <c r="S11" s="296"/>
      <c r="T11" s="296"/>
      <c r="U11" s="296"/>
      <c r="V11" s="296"/>
      <c r="W11" s="296"/>
      <c r="X11" s="296"/>
      <c r="Y11" s="296"/>
      <c r="Z11" s="296"/>
      <c r="AA11" s="296"/>
      <c r="AB11" s="296"/>
    </row>
    <row r="13" spans="1:28" ht="13" x14ac:dyDescent="0.25">
      <c r="A13" s="358" t="s">
        <v>427</v>
      </c>
    </row>
    <row r="14" spans="1:28" ht="31.5" customHeight="1" x14ac:dyDescent="0.25">
      <c r="A14" s="1358" t="s">
        <v>428</v>
      </c>
      <c r="B14" s="1358"/>
      <c r="C14" s="1358"/>
    </row>
    <row r="15" spans="1:28" x14ac:dyDescent="0.25">
      <c r="I15" s="296"/>
      <c r="J15" s="296"/>
      <c r="K15" s="296"/>
      <c r="L15" s="296"/>
      <c r="M15" s="296"/>
      <c r="N15" s="296"/>
      <c r="O15" s="296"/>
      <c r="P15" s="296"/>
      <c r="Q15" s="296"/>
      <c r="R15" s="296"/>
      <c r="S15" s="296"/>
      <c r="T15" s="296"/>
      <c r="U15" s="296"/>
      <c r="V15" s="296"/>
      <c r="W15" s="296"/>
      <c r="X15" s="296"/>
      <c r="Y15" s="296"/>
      <c r="Z15" s="296"/>
      <c r="AA15" s="296"/>
      <c r="AB15" s="296"/>
    </row>
    <row r="16" spans="1:28" ht="13" thickBot="1" x14ac:dyDescent="0.3"/>
    <row r="17" spans="1:9" ht="16" customHeight="1" thickBot="1" x14ac:dyDescent="0.3">
      <c r="A17" s="1355" t="str">
        <f>"BUDGET "&amp;B4</f>
        <v>BUDGET 2021</v>
      </c>
      <c r="B17" s="1356"/>
      <c r="C17" s="1356"/>
      <c r="D17" s="1356"/>
      <c r="E17" s="1356"/>
      <c r="F17" s="1356"/>
      <c r="G17" s="1356"/>
      <c r="H17" s="1356"/>
      <c r="I17" s="1357"/>
    </row>
    <row r="18" spans="1:9" ht="47.5" customHeight="1" x14ac:dyDescent="0.25">
      <c r="A18" s="1084" t="s">
        <v>312</v>
      </c>
      <c r="B18" s="1085" t="s">
        <v>343</v>
      </c>
      <c r="C18" s="1086" t="str">
        <f>"Oorspronkelijke meerwaarde op basis van historische indexatie voor activa einde boekjaar "&amp;B4-1</f>
        <v>Oorspronkelijke meerwaarde op basis van historische indexatie voor activa einde boekjaar 2020</v>
      </c>
      <c r="D18" s="1086" t="str">
        <f>"Gecumuleerde afschrijvingen activa einde boekjaar "&amp; B4-1</f>
        <v>Gecumuleerde afschrijvingen activa einde boekjaar 2020</v>
      </c>
      <c r="E18" s="1086" t="str">
        <f>"Nettoboekwaarde meerwaarde op basis van historische indexatie einde boekjaar "&amp; B4-1</f>
        <v>Nettoboekwaarde meerwaarde op basis van historische indexatie einde boekjaar 2020</v>
      </c>
      <c r="F18" s="1086" t="str">
        <f>"Transfers boekjaar "&amp;B4</f>
        <v>Transfers boekjaar 2021</v>
      </c>
      <c r="G18" s="1086" t="str">
        <f>"Afschrijvingen boekjaar "&amp;B4</f>
        <v>Afschrijvingen boekjaar 2021</v>
      </c>
      <c r="H18" s="1086" t="str">
        <f>"Desinvesteringen boekjaar "&amp;B4&amp;" (n.a.v. verkoop of structuurwijziging)"</f>
        <v>Desinvesteringen boekjaar 2021 (n.a.v. verkoop of structuurwijziging)</v>
      </c>
      <c r="I18" s="1086" t="str">
        <f>"Nettoboekwaarde meerwaarde op basis van historische indexatie einde boekjaar "&amp;B4</f>
        <v>Nettoboekwaarde meerwaarde op basis van historische indexatie einde boekjaar 2021</v>
      </c>
    </row>
    <row r="19" spans="1:9" ht="13.5" thickBot="1" x14ac:dyDescent="0.3">
      <c r="A19" s="1087"/>
      <c r="B19" s="1088"/>
      <c r="C19" s="1089" t="s">
        <v>4</v>
      </c>
      <c r="D19" s="1089" t="s">
        <v>8</v>
      </c>
      <c r="E19" s="1089"/>
      <c r="F19" s="1089" t="s">
        <v>4</v>
      </c>
      <c r="G19" s="1089" t="s">
        <v>8</v>
      </c>
      <c r="H19" s="1089" t="s">
        <v>8</v>
      </c>
      <c r="I19" s="1090"/>
    </row>
    <row r="20" spans="1:9" x14ac:dyDescent="0.25">
      <c r="A20" s="1091" t="s">
        <v>313</v>
      </c>
      <c r="B20" s="1352">
        <v>0.02</v>
      </c>
      <c r="C20" s="665">
        <v>0</v>
      </c>
      <c r="D20" s="665">
        <v>0</v>
      </c>
      <c r="E20" s="1092">
        <f t="shared" ref="E20:E62" si="0">+C20+D20</f>
        <v>0</v>
      </c>
      <c r="F20" s="665">
        <v>0</v>
      </c>
      <c r="G20" s="665">
        <v>0</v>
      </c>
      <c r="H20" s="665">
        <v>0</v>
      </c>
      <c r="I20" s="1093">
        <f>+SUM(E20:H20)</f>
        <v>0</v>
      </c>
    </row>
    <row r="21" spans="1:9" x14ac:dyDescent="0.25">
      <c r="A21" s="1094" t="s">
        <v>314</v>
      </c>
      <c r="B21" s="1353"/>
      <c r="C21" s="666">
        <v>0</v>
      </c>
      <c r="D21" s="666">
        <v>0</v>
      </c>
      <c r="E21" s="1095">
        <f t="shared" si="0"/>
        <v>0</v>
      </c>
      <c r="F21" s="666">
        <v>0</v>
      </c>
      <c r="G21" s="666">
        <v>0</v>
      </c>
      <c r="H21" s="666">
        <v>0</v>
      </c>
      <c r="I21" s="1096">
        <f t="shared" ref="I21:I64" si="1">+SUM(E21:H21)</f>
        <v>0</v>
      </c>
    </row>
    <row r="22" spans="1:9" x14ac:dyDescent="0.25">
      <c r="A22" s="1094" t="s">
        <v>315</v>
      </c>
      <c r="B22" s="1353"/>
      <c r="C22" s="666">
        <v>0</v>
      </c>
      <c r="D22" s="666">
        <v>0</v>
      </c>
      <c r="E22" s="1095">
        <f t="shared" si="0"/>
        <v>0</v>
      </c>
      <c r="F22" s="666">
        <v>0</v>
      </c>
      <c r="G22" s="666">
        <v>0</v>
      </c>
      <c r="H22" s="666">
        <v>0</v>
      </c>
      <c r="I22" s="1096">
        <f t="shared" si="1"/>
        <v>0</v>
      </c>
    </row>
    <row r="23" spans="1:9" x14ac:dyDescent="0.25">
      <c r="A23" s="1094" t="s">
        <v>316</v>
      </c>
      <c r="B23" s="1353"/>
      <c r="C23" s="666">
        <v>0</v>
      </c>
      <c r="D23" s="666">
        <v>0</v>
      </c>
      <c r="E23" s="1095">
        <f t="shared" si="0"/>
        <v>0</v>
      </c>
      <c r="F23" s="666">
        <v>0</v>
      </c>
      <c r="G23" s="666">
        <v>0</v>
      </c>
      <c r="H23" s="666">
        <v>0</v>
      </c>
      <c r="I23" s="1096">
        <f t="shared" si="1"/>
        <v>0</v>
      </c>
    </row>
    <row r="24" spans="1:9" x14ac:dyDescent="0.25">
      <c r="A24" s="1094" t="s">
        <v>385</v>
      </c>
      <c r="B24" s="1353"/>
      <c r="C24" s="666">
        <v>0</v>
      </c>
      <c r="D24" s="666">
        <v>0</v>
      </c>
      <c r="E24" s="1095">
        <f t="shared" si="0"/>
        <v>0</v>
      </c>
      <c r="F24" s="666">
        <v>0</v>
      </c>
      <c r="G24" s="666">
        <v>0</v>
      </c>
      <c r="H24" s="666">
        <v>0</v>
      </c>
      <c r="I24" s="1096">
        <f t="shared" si="1"/>
        <v>0</v>
      </c>
    </row>
    <row r="25" spans="1:9" x14ac:dyDescent="0.25">
      <c r="A25" s="1094" t="s">
        <v>386</v>
      </c>
      <c r="B25" s="1353"/>
      <c r="C25" s="666">
        <v>0</v>
      </c>
      <c r="D25" s="666">
        <v>0</v>
      </c>
      <c r="E25" s="1095">
        <f t="shared" si="0"/>
        <v>0</v>
      </c>
      <c r="F25" s="666">
        <v>0</v>
      </c>
      <c r="G25" s="666">
        <v>0</v>
      </c>
      <c r="H25" s="666">
        <v>0</v>
      </c>
      <c r="I25" s="1096">
        <f t="shared" si="1"/>
        <v>0</v>
      </c>
    </row>
    <row r="26" spans="1:9" x14ac:dyDescent="0.25">
      <c r="A26" s="1094" t="s">
        <v>317</v>
      </c>
      <c r="B26" s="1353"/>
      <c r="C26" s="666">
        <v>0</v>
      </c>
      <c r="D26" s="666">
        <v>0</v>
      </c>
      <c r="E26" s="1095">
        <f t="shared" si="0"/>
        <v>0</v>
      </c>
      <c r="F26" s="666">
        <v>0</v>
      </c>
      <c r="G26" s="666">
        <v>0</v>
      </c>
      <c r="H26" s="666">
        <v>0</v>
      </c>
      <c r="I26" s="1096">
        <f t="shared" si="1"/>
        <v>0</v>
      </c>
    </row>
    <row r="27" spans="1:9" x14ac:dyDescent="0.25">
      <c r="A27" s="1094" t="s">
        <v>387</v>
      </c>
      <c r="B27" s="1353"/>
      <c r="C27" s="666">
        <v>0</v>
      </c>
      <c r="D27" s="666">
        <v>0</v>
      </c>
      <c r="E27" s="1095">
        <f t="shared" si="0"/>
        <v>0</v>
      </c>
      <c r="F27" s="666">
        <v>0</v>
      </c>
      <c r="G27" s="666">
        <v>0</v>
      </c>
      <c r="H27" s="666">
        <v>0</v>
      </c>
      <c r="I27" s="1096">
        <f t="shared" si="1"/>
        <v>0</v>
      </c>
    </row>
    <row r="28" spans="1:9" x14ac:dyDescent="0.25">
      <c r="A28" s="1094" t="s">
        <v>318</v>
      </c>
      <c r="B28" s="1353"/>
      <c r="C28" s="666">
        <v>0</v>
      </c>
      <c r="D28" s="666">
        <v>0</v>
      </c>
      <c r="E28" s="1095">
        <f t="shared" si="0"/>
        <v>0</v>
      </c>
      <c r="F28" s="666">
        <v>0</v>
      </c>
      <c r="G28" s="666">
        <v>0</v>
      </c>
      <c r="H28" s="666">
        <v>0</v>
      </c>
      <c r="I28" s="1096">
        <f t="shared" si="1"/>
        <v>0</v>
      </c>
    </row>
    <row r="29" spans="1:9" x14ac:dyDescent="0.25">
      <c r="A29" s="1094" t="s">
        <v>388</v>
      </c>
      <c r="B29" s="1353"/>
      <c r="C29" s="666">
        <v>0</v>
      </c>
      <c r="D29" s="666">
        <v>0</v>
      </c>
      <c r="E29" s="1095">
        <f t="shared" si="0"/>
        <v>0</v>
      </c>
      <c r="F29" s="666">
        <v>0</v>
      </c>
      <c r="G29" s="666">
        <v>0</v>
      </c>
      <c r="H29" s="666">
        <v>0</v>
      </c>
      <c r="I29" s="1096">
        <f t="shared" si="1"/>
        <v>0</v>
      </c>
    </row>
    <row r="30" spans="1:9" x14ac:dyDescent="0.25">
      <c r="A30" s="1094" t="s">
        <v>389</v>
      </c>
      <c r="B30" s="1353"/>
      <c r="C30" s="666">
        <v>0</v>
      </c>
      <c r="D30" s="666">
        <v>0</v>
      </c>
      <c r="E30" s="1095">
        <f t="shared" si="0"/>
        <v>0</v>
      </c>
      <c r="F30" s="666">
        <v>0</v>
      </c>
      <c r="G30" s="666">
        <v>0</v>
      </c>
      <c r="H30" s="666">
        <v>0</v>
      </c>
      <c r="I30" s="1096">
        <f t="shared" si="1"/>
        <v>0</v>
      </c>
    </row>
    <row r="31" spans="1:9" x14ac:dyDescent="0.25">
      <c r="A31" s="1094" t="s">
        <v>319</v>
      </c>
      <c r="B31" s="1353"/>
      <c r="C31" s="666">
        <v>0</v>
      </c>
      <c r="D31" s="666">
        <v>0</v>
      </c>
      <c r="E31" s="1095">
        <f t="shared" si="0"/>
        <v>0</v>
      </c>
      <c r="F31" s="666">
        <v>0</v>
      </c>
      <c r="G31" s="666">
        <v>0</v>
      </c>
      <c r="H31" s="666">
        <v>0</v>
      </c>
      <c r="I31" s="1096">
        <f t="shared" si="1"/>
        <v>0</v>
      </c>
    </row>
    <row r="32" spans="1:9" x14ac:dyDescent="0.25">
      <c r="A32" s="1094" t="s">
        <v>390</v>
      </c>
      <c r="B32" s="1353"/>
      <c r="C32" s="666">
        <v>0</v>
      </c>
      <c r="D32" s="666">
        <v>0</v>
      </c>
      <c r="E32" s="1095">
        <f t="shared" si="0"/>
        <v>0</v>
      </c>
      <c r="F32" s="666">
        <v>0</v>
      </c>
      <c r="G32" s="666">
        <v>0</v>
      </c>
      <c r="H32" s="666">
        <v>0</v>
      </c>
      <c r="I32" s="1096">
        <f t="shared" si="1"/>
        <v>0</v>
      </c>
    </row>
    <row r="33" spans="1:9" x14ac:dyDescent="0.25">
      <c r="A33" s="1094" t="s">
        <v>320</v>
      </c>
      <c r="B33" s="1353"/>
      <c r="C33" s="666">
        <v>0</v>
      </c>
      <c r="D33" s="666">
        <v>0</v>
      </c>
      <c r="E33" s="1095">
        <f t="shared" si="0"/>
        <v>0</v>
      </c>
      <c r="F33" s="666">
        <v>0</v>
      </c>
      <c r="G33" s="666">
        <v>0</v>
      </c>
      <c r="H33" s="666">
        <v>0</v>
      </c>
      <c r="I33" s="1096">
        <f t="shared" si="1"/>
        <v>0</v>
      </c>
    </row>
    <row r="34" spans="1:9" x14ac:dyDescent="0.25">
      <c r="A34" s="1094" t="s">
        <v>391</v>
      </c>
      <c r="B34" s="1353"/>
      <c r="C34" s="666">
        <v>0</v>
      </c>
      <c r="D34" s="666">
        <v>0</v>
      </c>
      <c r="E34" s="1095">
        <f t="shared" si="0"/>
        <v>0</v>
      </c>
      <c r="F34" s="666">
        <v>0</v>
      </c>
      <c r="G34" s="666">
        <v>0</v>
      </c>
      <c r="H34" s="666">
        <v>0</v>
      </c>
      <c r="I34" s="1096">
        <f t="shared" si="1"/>
        <v>0</v>
      </c>
    </row>
    <row r="35" spans="1:9" x14ac:dyDescent="0.25">
      <c r="A35" s="1094" t="s">
        <v>392</v>
      </c>
      <c r="B35" s="1353"/>
      <c r="C35" s="666">
        <v>0</v>
      </c>
      <c r="D35" s="666">
        <v>0</v>
      </c>
      <c r="E35" s="1095">
        <f t="shared" si="0"/>
        <v>0</v>
      </c>
      <c r="F35" s="666">
        <v>0</v>
      </c>
      <c r="G35" s="666">
        <v>0</v>
      </c>
      <c r="H35" s="666">
        <v>0</v>
      </c>
      <c r="I35" s="1096">
        <f t="shared" si="1"/>
        <v>0</v>
      </c>
    </row>
    <row r="36" spans="1:9" x14ac:dyDescent="0.25">
      <c r="A36" s="1094" t="s">
        <v>321</v>
      </c>
      <c r="B36" s="1353"/>
      <c r="C36" s="666">
        <v>0</v>
      </c>
      <c r="D36" s="666">
        <v>0</v>
      </c>
      <c r="E36" s="1095">
        <f t="shared" si="0"/>
        <v>0</v>
      </c>
      <c r="F36" s="666">
        <v>0</v>
      </c>
      <c r="G36" s="666">
        <v>0</v>
      </c>
      <c r="H36" s="666">
        <v>0</v>
      </c>
      <c r="I36" s="1096">
        <f t="shared" si="1"/>
        <v>0</v>
      </c>
    </row>
    <row r="37" spans="1:9" x14ac:dyDescent="0.25">
      <c r="A37" s="1094" t="s">
        <v>393</v>
      </c>
      <c r="B37" s="1353"/>
      <c r="C37" s="666">
        <v>0</v>
      </c>
      <c r="D37" s="666">
        <v>0</v>
      </c>
      <c r="E37" s="1095">
        <f t="shared" si="0"/>
        <v>0</v>
      </c>
      <c r="F37" s="666">
        <v>0</v>
      </c>
      <c r="G37" s="666">
        <v>0</v>
      </c>
      <c r="H37" s="666">
        <v>0</v>
      </c>
      <c r="I37" s="1096">
        <f t="shared" si="1"/>
        <v>0</v>
      </c>
    </row>
    <row r="38" spans="1:9" x14ac:dyDescent="0.25">
      <c r="A38" s="1094" t="s">
        <v>322</v>
      </c>
      <c r="B38" s="1353"/>
      <c r="C38" s="666">
        <v>0</v>
      </c>
      <c r="D38" s="666">
        <v>0</v>
      </c>
      <c r="E38" s="1095">
        <f>+C38+D38</f>
        <v>0</v>
      </c>
      <c r="F38" s="666">
        <v>0</v>
      </c>
      <c r="G38" s="666">
        <v>0</v>
      </c>
      <c r="H38" s="666">
        <v>0</v>
      </c>
      <c r="I38" s="1096">
        <f t="shared" si="1"/>
        <v>0</v>
      </c>
    </row>
    <row r="39" spans="1:9" x14ac:dyDescent="0.25">
      <c r="A39" s="1094" t="s">
        <v>323</v>
      </c>
      <c r="B39" s="1353"/>
      <c r="C39" s="666">
        <v>0</v>
      </c>
      <c r="D39" s="666">
        <v>0</v>
      </c>
      <c r="E39" s="1095">
        <f t="shared" si="0"/>
        <v>0</v>
      </c>
      <c r="F39" s="666">
        <v>0</v>
      </c>
      <c r="G39" s="666">
        <v>0</v>
      </c>
      <c r="H39" s="666">
        <v>0</v>
      </c>
      <c r="I39" s="1096">
        <f t="shared" si="1"/>
        <v>0</v>
      </c>
    </row>
    <row r="40" spans="1:9" x14ac:dyDescent="0.25">
      <c r="A40" s="1094" t="s">
        <v>394</v>
      </c>
      <c r="B40" s="1353"/>
      <c r="C40" s="666">
        <v>0</v>
      </c>
      <c r="D40" s="666">
        <v>0</v>
      </c>
      <c r="E40" s="1095">
        <f t="shared" si="0"/>
        <v>0</v>
      </c>
      <c r="F40" s="666">
        <v>0</v>
      </c>
      <c r="G40" s="666">
        <v>0</v>
      </c>
      <c r="H40" s="666">
        <v>0</v>
      </c>
      <c r="I40" s="1096">
        <f t="shared" si="1"/>
        <v>0</v>
      </c>
    </row>
    <row r="41" spans="1:9" x14ac:dyDescent="0.25">
      <c r="A41" s="1094" t="s">
        <v>395</v>
      </c>
      <c r="B41" s="1353"/>
      <c r="C41" s="666">
        <v>0</v>
      </c>
      <c r="D41" s="666">
        <v>0</v>
      </c>
      <c r="E41" s="1095">
        <f t="shared" si="0"/>
        <v>0</v>
      </c>
      <c r="F41" s="666">
        <v>0</v>
      </c>
      <c r="G41" s="666">
        <v>0</v>
      </c>
      <c r="H41" s="666">
        <v>0</v>
      </c>
      <c r="I41" s="1096">
        <f t="shared" si="1"/>
        <v>0</v>
      </c>
    </row>
    <row r="42" spans="1:9" x14ac:dyDescent="0.25">
      <c r="A42" s="1094" t="s">
        <v>324</v>
      </c>
      <c r="B42" s="1353"/>
      <c r="C42" s="666">
        <v>0</v>
      </c>
      <c r="D42" s="666">
        <v>0</v>
      </c>
      <c r="E42" s="1095">
        <f t="shared" si="0"/>
        <v>0</v>
      </c>
      <c r="F42" s="666">
        <v>0</v>
      </c>
      <c r="G42" s="666">
        <v>0</v>
      </c>
      <c r="H42" s="666">
        <v>0</v>
      </c>
      <c r="I42" s="1096">
        <f t="shared" si="1"/>
        <v>0</v>
      </c>
    </row>
    <row r="43" spans="1:9" x14ac:dyDescent="0.25">
      <c r="A43" s="1094" t="s">
        <v>396</v>
      </c>
      <c r="B43" s="1353"/>
      <c r="C43" s="666">
        <v>0</v>
      </c>
      <c r="D43" s="666">
        <v>0</v>
      </c>
      <c r="E43" s="1095">
        <f t="shared" si="0"/>
        <v>0</v>
      </c>
      <c r="F43" s="666">
        <v>0</v>
      </c>
      <c r="G43" s="666">
        <v>0</v>
      </c>
      <c r="H43" s="666">
        <v>0</v>
      </c>
      <c r="I43" s="1096">
        <f t="shared" si="1"/>
        <v>0</v>
      </c>
    </row>
    <row r="44" spans="1:9" x14ac:dyDescent="0.25">
      <c r="A44" s="1094" t="s">
        <v>325</v>
      </c>
      <c r="B44" s="1353"/>
      <c r="C44" s="666">
        <v>0</v>
      </c>
      <c r="D44" s="666">
        <v>0</v>
      </c>
      <c r="E44" s="1095">
        <f t="shared" si="0"/>
        <v>0</v>
      </c>
      <c r="F44" s="666">
        <v>0</v>
      </c>
      <c r="G44" s="666">
        <v>0</v>
      </c>
      <c r="H44" s="666">
        <v>0</v>
      </c>
      <c r="I44" s="1096">
        <f t="shared" si="1"/>
        <v>0</v>
      </c>
    </row>
    <row r="45" spans="1:9" x14ac:dyDescent="0.25">
      <c r="A45" s="1094" t="s">
        <v>397</v>
      </c>
      <c r="B45" s="1353"/>
      <c r="C45" s="666">
        <v>0</v>
      </c>
      <c r="D45" s="666">
        <v>0</v>
      </c>
      <c r="E45" s="1095">
        <f t="shared" si="0"/>
        <v>0</v>
      </c>
      <c r="F45" s="666">
        <v>0</v>
      </c>
      <c r="G45" s="666">
        <v>0</v>
      </c>
      <c r="H45" s="666">
        <v>0</v>
      </c>
      <c r="I45" s="1096">
        <f t="shared" si="1"/>
        <v>0</v>
      </c>
    </row>
    <row r="46" spans="1:9" x14ac:dyDescent="0.25">
      <c r="A46" s="1094" t="s">
        <v>398</v>
      </c>
      <c r="B46" s="1353"/>
      <c r="C46" s="666">
        <v>0</v>
      </c>
      <c r="D46" s="666">
        <v>0</v>
      </c>
      <c r="E46" s="1095">
        <f t="shared" si="0"/>
        <v>0</v>
      </c>
      <c r="F46" s="666">
        <v>0</v>
      </c>
      <c r="G46" s="666">
        <v>0</v>
      </c>
      <c r="H46" s="666">
        <v>0</v>
      </c>
      <c r="I46" s="1096">
        <f t="shared" si="1"/>
        <v>0</v>
      </c>
    </row>
    <row r="47" spans="1:9" x14ac:dyDescent="0.25">
      <c r="A47" s="1094" t="s">
        <v>326</v>
      </c>
      <c r="B47" s="1353"/>
      <c r="C47" s="666">
        <v>0</v>
      </c>
      <c r="D47" s="666">
        <v>0</v>
      </c>
      <c r="E47" s="1095">
        <f t="shared" si="0"/>
        <v>0</v>
      </c>
      <c r="F47" s="666">
        <v>0</v>
      </c>
      <c r="G47" s="666">
        <v>0</v>
      </c>
      <c r="H47" s="666">
        <v>0</v>
      </c>
      <c r="I47" s="1096">
        <f t="shared" si="1"/>
        <v>0</v>
      </c>
    </row>
    <row r="48" spans="1:9" x14ac:dyDescent="0.25">
      <c r="A48" s="1094" t="s">
        <v>399</v>
      </c>
      <c r="B48" s="1353"/>
      <c r="C48" s="666">
        <v>0</v>
      </c>
      <c r="D48" s="666">
        <v>0</v>
      </c>
      <c r="E48" s="1095">
        <f t="shared" si="0"/>
        <v>0</v>
      </c>
      <c r="F48" s="666">
        <v>0</v>
      </c>
      <c r="G48" s="666">
        <v>0</v>
      </c>
      <c r="H48" s="666">
        <v>0</v>
      </c>
      <c r="I48" s="1096">
        <f t="shared" si="1"/>
        <v>0</v>
      </c>
    </row>
    <row r="49" spans="1:9" x14ac:dyDescent="0.25">
      <c r="A49" s="1094" t="s">
        <v>327</v>
      </c>
      <c r="B49" s="1353"/>
      <c r="C49" s="666">
        <v>0</v>
      </c>
      <c r="D49" s="666">
        <v>0</v>
      </c>
      <c r="E49" s="1095">
        <f t="shared" si="0"/>
        <v>0</v>
      </c>
      <c r="F49" s="666">
        <v>0</v>
      </c>
      <c r="G49" s="666">
        <v>0</v>
      </c>
      <c r="H49" s="666">
        <v>0</v>
      </c>
      <c r="I49" s="1096">
        <f t="shared" si="1"/>
        <v>0</v>
      </c>
    </row>
    <row r="50" spans="1:9" x14ac:dyDescent="0.25">
      <c r="A50" s="1094" t="s">
        <v>328</v>
      </c>
      <c r="B50" s="1353"/>
      <c r="C50" s="666">
        <v>0</v>
      </c>
      <c r="D50" s="666">
        <v>0</v>
      </c>
      <c r="E50" s="1095">
        <f t="shared" si="0"/>
        <v>0</v>
      </c>
      <c r="F50" s="666">
        <v>0</v>
      </c>
      <c r="G50" s="666">
        <v>0</v>
      </c>
      <c r="H50" s="666">
        <v>0</v>
      </c>
      <c r="I50" s="1096">
        <f t="shared" si="1"/>
        <v>0</v>
      </c>
    </row>
    <row r="51" spans="1:9" x14ac:dyDescent="0.25">
      <c r="A51" s="1094" t="s">
        <v>329</v>
      </c>
      <c r="B51" s="1353"/>
      <c r="C51" s="666">
        <v>0</v>
      </c>
      <c r="D51" s="666">
        <v>0</v>
      </c>
      <c r="E51" s="1095">
        <f t="shared" si="0"/>
        <v>0</v>
      </c>
      <c r="F51" s="666">
        <v>0</v>
      </c>
      <c r="G51" s="666">
        <v>0</v>
      </c>
      <c r="H51" s="666">
        <v>0</v>
      </c>
      <c r="I51" s="1096">
        <f t="shared" si="1"/>
        <v>0</v>
      </c>
    </row>
    <row r="52" spans="1:9" x14ac:dyDescent="0.25">
      <c r="A52" s="1094" t="s">
        <v>330</v>
      </c>
      <c r="B52" s="1353"/>
      <c r="C52" s="666">
        <v>0</v>
      </c>
      <c r="D52" s="666">
        <v>0</v>
      </c>
      <c r="E52" s="1095">
        <f t="shared" si="0"/>
        <v>0</v>
      </c>
      <c r="F52" s="666">
        <v>0</v>
      </c>
      <c r="G52" s="666">
        <v>0</v>
      </c>
      <c r="H52" s="666">
        <v>0</v>
      </c>
      <c r="I52" s="1096">
        <f t="shared" si="1"/>
        <v>0</v>
      </c>
    </row>
    <row r="53" spans="1:9" x14ac:dyDescent="0.25">
      <c r="A53" s="1094" t="s">
        <v>331</v>
      </c>
      <c r="B53" s="1353"/>
      <c r="C53" s="666">
        <v>0</v>
      </c>
      <c r="D53" s="666">
        <v>0</v>
      </c>
      <c r="E53" s="1095">
        <f t="shared" si="0"/>
        <v>0</v>
      </c>
      <c r="F53" s="666">
        <v>0</v>
      </c>
      <c r="G53" s="666">
        <v>0</v>
      </c>
      <c r="H53" s="666">
        <v>0</v>
      </c>
      <c r="I53" s="1096">
        <f t="shared" si="1"/>
        <v>0</v>
      </c>
    </row>
    <row r="54" spans="1:9" x14ac:dyDescent="0.25">
      <c r="A54" s="1094" t="s">
        <v>332</v>
      </c>
      <c r="B54" s="1353"/>
      <c r="C54" s="666">
        <v>0</v>
      </c>
      <c r="D54" s="666">
        <v>0</v>
      </c>
      <c r="E54" s="1095">
        <f t="shared" si="0"/>
        <v>0</v>
      </c>
      <c r="F54" s="666">
        <v>0</v>
      </c>
      <c r="G54" s="666">
        <v>0</v>
      </c>
      <c r="H54" s="666">
        <v>0</v>
      </c>
      <c r="I54" s="1096">
        <f t="shared" si="1"/>
        <v>0</v>
      </c>
    </row>
    <row r="55" spans="1:9" x14ac:dyDescent="0.25">
      <c r="A55" s="1094" t="s">
        <v>333</v>
      </c>
      <c r="B55" s="1353"/>
      <c r="C55" s="666">
        <v>0</v>
      </c>
      <c r="D55" s="666">
        <v>0</v>
      </c>
      <c r="E55" s="1095">
        <f t="shared" si="0"/>
        <v>0</v>
      </c>
      <c r="F55" s="666">
        <v>0</v>
      </c>
      <c r="G55" s="666">
        <v>0</v>
      </c>
      <c r="H55" s="666">
        <v>0</v>
      </c>
      <c r="I55" s="1096">
        <f t="shared" si="1"/>
        <v>0</v>
      </c>
    </row>
    <row r="56" spans="1:9" x14ac:dyDescent="0.25">
      <c r="A56" s="1094" t="s">
        <v>344</v>
      </c>
      <c r="B56" s="1353"/>
      <c r="C56" s="666">
        <v>0</v>
      </c>
      <c r="D56" s="666">
        <v>0</v>
      </c>
      <c r="E56" s="1095">
        <f t="shared" ref="E56" si="2">+C56+D56</f>
        <v>0</v>
      </c>
      <c r="F56" s="666">
        <v>0</v>
      </c>
      <c r="G56" s="666">
        <v>0</v>
      </c>
      <c r="H56" s="666">
        <v>0</v>
      </c>
      <c r="I56" s="1096">
        <f t="shared" ref="I56" si="3">+SUM(E56:H56)</f>
        <v>0</v>
      </c>
    </row>
    <row r="57" spans="1:9" x14ac:dyDescent="0.25">
      <c r="A57" s="1094" t="s">
        <v>334</v>
      </c>
      <c r="B57" s="1353"/>
      <c r="C57" s="666">
        <v>0</v>
      </c>
      <c r="D57" s="666">
        <v>0</v>
      </c>
      <c r="E57" s="1095">
        <f t="shared" si="0"/>
        <v>0</v>
      </c>
      <c r="F57" s="666">
        <v>0</v>
      </c>
      <c r="G57" s="666">
        <v>0</v>
      </c>
      <c r="H57" s="666">
        <v>0</v>
      </c>
      <c r="I57" s="1096">
        <f t="shared" si="1"/>
        <v>0</v>
      </c>
    </row>
    <row r="58" spans="1:9" x14ac:dyDescent="0.25">
      <c r="A58" s="1094" t="s">
        <v>335</v>
      </c>
      <c r="B58" s="1353"/>
      <c r="C58" s="666">
        <v>0</v>
      </c>
      <c r="D58" s="666">
        <v>0</v>
      </c>
      <c r="E58" s="1095">
        <f t="shared" si="0"/>
        <v>0</v>
      </c>
      <c r="F58" s="666">
        <v>0</v>
      </c>
      <c r="G58" s="666">
        <v>0</v>
      </c>
      <c r="H58" s="666">
        <v>0</v>
      </c>
      <c r="I58" s="1096">
        <f t="shared" si="1"/>
        <v>0</v>
      </c>
    </row>
    <row r="59" spans="1:9" x14ac:dyDescent="0.25">
      <c r="A59" s="1094" t="s">
        <v>336</v>
      </c>
      <c r="B59" s="1353"/>
      <c r="C59" s="666">
        <v>0</v>
      </c>
      <c r="D59" s="666">
        <v>0</v>
      </c>
      <c r="E59" s="1095">
        <f t="shared" si="0"/>
        <v>0</v>
      </c>
      <c r="F59" s="666">
        <v>0</v>
      </c>
      <c r="G59" s="666">
        <v>0</v>
      </c>
      <c r="H59" s="666">
        <v>0</v>
      </c>
      <c r="I59" s="1096">
        <f t="shared" si="1"/>
        <v>0</v>
      </c>
    </row>
    <row r="60" spans="1:9" x14ac:dyDescent="0.25">
      <c r="A60" s="1094" t="s">
        <v>337</v>
      </c>
      <c r="B60" s="1353"/>
      <c r="C60" s="666">
        <v>0</v>
      </c>
      <c r="D60" s="666">
        <v>0</v>
      </c>
      <c r="E60" s="1095">
        <f t="shared" si="0"/>
        <v>0</v>
      </c>
      <c r="F60" s="666">
        <v>0</v>
      </c>
      <c r="G60" s="666">
        <v>0</v>
      </c>
      <c r="H60" s="666">
        <v>0</v>
      </c>
      <c r="I60" s="1096">
        <f t="shared" si="1"/>
        <v>0</v>
      </c>
    </row>
    <row r="61" spans="1:9" x14ac:dyDescent="0.25">
      <c r="A61" s="1094" t="s">
        <v>338</v>
      </c>
      <c r="B61" s="1353"/>
      <c r="C61" s="666">
        <v>0</v>
      </c>
      <c r="D61" s="666">
        <v>0</v>
      </c>
      <c r="E61" s="1095">
        <f t="shared" si="0"/>
        <v>0</v>
      </c>
      <c r="F61" s="666">
        <v>0</v>
      </c>
      <c r="G61" s="666">
        <v>0</v>
      </c>
      <c r="H61" s="666">
        <v>0</v>
      </c>
      <c r="I61" s="1096">
        <f t="shared" si="1"/>
        <v>0</v>
      </c>
    </row>
    <row r="62" spans="1:9" x14ac:dyDescent="0.25">
      <c r="A62" s="1094" t="s">
        <v>339</v>
      </c>
      <c r="B62" s="1353"/>
      <c r="C62" s="667">
        <v>0</v>
      </c>
      <c r="D62" s="666">
        <v>0</v>
      </c>
      <c r="E62" s="1095">
        <f t="shared" si="0"/>
        <v>0</v>
      </c>
      <c r="F62" s="666">
        <v>0</v>
      </c>
      <c r="G62" s="666">
        <v>0</v>
      </c>
      <c r="H62" s="666">
        <v>0</v>
      </c>
      <c r="I62" s="1096">
        <f t="shared" si="1"/>
        <v>0</v>
      </c>
    </row>
    <row r="63" spans="1:9" x14ac:dyDescent="0.25">
      <c r="A63" s="1094" t="s">
        <v>340</v>
      </c>
      <c r="B63" s="1353"/>
      <c r="C63" s="666">
        <v>0</v>
      </c>
      <c r="D63" s="666">
        <v>0</v>
      </c>
      <c r="E63" s="1095">
        <f t="shared" ref="E63" si="4">+C63+D63</f>
        <v>0</v>
      </c>
      <c r="F63" s="666">
        <v>0</v>
      </c>
      <c r="G63" s="666">
        <v>0</v>
      </c>
      <c r="H63" s="666">
        <v>0</v>
      </c>
      <c r="I63" s="1096">
        <f t="shared" ref="I63" si="5">+SUM(E63:H63)</f>
        <v>0</v>
      </c>
    </row>
    <row r="64" spans="1:9" ht="13" thickBot="1" x14ac:dyDescent="0.3">
      <c r="A64" s="1097" t="s">
        <v>341</v>
      </c>
      <c r="B64" s="1354"/>
      <c r="C64" s="668">
        <v>0</v>
      </c>
      <c r="D64" s="668">
        <v>0</v>
      </c>
      <c r="E64" s="1098">
        <f>+C64+D64</f>
        <v>0</v>
      </c>
      <c r="F64" s="668">
        <v>0</v>
      </c>
      <c r="G64" s="668">
        <v>0</v>
      </c>
      <c r="H64" s="668">
        <v>0</v>
      </c>
      <c r="I64" s="1099">
        <f t="shared" si="1"/>
        <v>0</v>
      </c>
    </row>
    <row r="65" spans="1:9" ht="13" x14ac:dyDescent="0.25">
      <c r="A65" s="1100"/>
      <c r="B65" s="1101"/>
      <c r="C65" s="1102"/>
      <c r="D65" s="1102"/>
      <c r="E65" s="1102"/>
      <c r="F65" s="1102"/>
      <c r="G65" s="1102"/>
      <c r="H65" s="1102"/>
      <c r="I65" s="1102"/>
    </row>
    <row r="66" spans="1:9" ht="13" x14ac:dyDescent="0.25">
      <c r="A66" s="1100" t="s">
        <v>342</v>
      </c>
      <c r="B66" s="1101"/>
      <c r="C66" s="1103">
        <f t="shared" ref="C66:I66" si="6">SUM(C20:C64)</f>
        <v>0</v>
      </c>
      <c r="D66" s="1103">
        <f t="shared" si="6"/>
        <v>0</v>
      </c>
      <c r="E66" s="1103">
        <f t="shared" si="6"/>
        <v>0</v>
      </c>
      <c r="F66" s="1103">
        <f t="shared" ref="F66" si="7">SUM(F20:F64)</f>
        <v>0</v>
      </c>
      <c r="G66" s="1103">
        <f t="shared" si="6"/>
        <v>0</v>
      </c>
      <c r="H66" s="1103">
        <f t="shared" si="6"/>
        <v>0</v>
      </c>
      <c r="I66" s="1103">
        <f t="shared" si="6"/>
        <v>0</v>
      </c>
    </row>
    <row r="67" spans="1:9" ht="13.5" thickBot="1" x14ac:dyDescent="0.3">
      <c r="A67" s="1104"/>
      <c r="B67" s="1105"/>
      <c r="C67" s="1106"/>
      <c r="D67" s="1106"/>
      <c r="E67" s="1106"/>
      <c r="F67" s="1106"/>
      <c r="G67" s="1106"/>
      <c r="H67" s="1106"/>
      <c r="I67" s="1107"/>
    </row>
    <row r="68" spans="1:9" s="1109" customFormat="1" ht="12" x14ac:dyDescent="0.25">
      <c r="A68" s="1108"/>
      <c r="B68" s="1108"/>
    </row>
    <row r="69" spans="1:9" s="1109" customFormat="1" ht="12" x14ac:dyDescent="0.25"/>
    <row r="70" spans="1:9" ht="13" thickBot="1" x14ac:dyDescent="0.3"/>
    <row r="71" spans="1:9" ht="16" customHeight="1" thickBot="1" x14ac:dyDescent="0.3">
      <c r="A71" s="1355" t="str">
        <f>"REALITEIT "&amp;B4</f>
        <v>REALITEIT 2021</v>
      </c>
      <c r="B71" s="1356"/>
      <c r="C71" s="1356"/>
      <c r="D71" s="1356"/>
      <c r="E71" s="1356"/>
      <c r="F71" s="1356"/>
      <c r="G71" s="1356"/>
      <c r="H71" s="1356"/>
      <c r="I71" s="1357"/>
    </row>
    <row r="72" spans="1:9" ht="47.5" customHeight="1" x14ac:dyDescent="0.25">
      <c r="A72" s="1084" t="s">
        <v>312</v>
      </c>
      <c r="B72" s="1085" t="s">
        <v>343</v>
      </c>
      <c r="C72" s="1086" t="str">
        <f>"Oorspronkelijke meerwaarde op basis van historische indexatie voor activa einde boekjaar "&amp;B4-1</f>
        <v>Oorspronkelijke meerwaarde op basis van historische indexatie voor activa einde boekjaar 2020</v>
      </c>
      <c r="D72" s="1086" t="str">
        <f>"Gecumuleerde afschrijvingen activa einde boekjaar "&amp; B4-1</f>
        <v>Gecumuleerde afschrijvingen activa einde boekjaar 2020</v>
      </c>
      <c r="E72" s="1086" t="str">
        <f>"Nettoboekwaarde meerwaarde op basis van historische indexatie einde boekjaar "&amp; B4-1</f>
        <v>Nettoboekwaarde meerwaarde op basis van historische indexatie einde boekjaar 2020</v>
      </c>
      <c r="F72" s="1086" t="str">
        <f>"Transfers boekjaar "&amp;B4</f>
        <v>Transfers boekjaar 2021</v>
      </c>
      <c r="G72" s="1086" t="str">
        <f>"Afschrijvingen boekjaar "&amp;B4</f>
        <v>Afschrijvingen boekjaar 2021</v>
      </c>
      <c r="H72" s="1086" t="str">
        <f>"Desinvesteringen boekjaar "&amp;B4&amp;" (n.a.v. verkoop of structuurwijziging)"</f>
        <v>Desinvesteringen boekjaar 2021 (n.a.v. verkoop of structuurwijziging)</v>
      </c>
      <c r="I72" s="1086" t="str">
        <f>"Nettoboekwaarde meerwaarde op basis van historische indexatie einde boekjaar "&amp;B4</f>
        <v>Nettoboekwaarde meerwaarde op basis van historische indexatie einde boekjaar 2021</v>
      </c>
    </row>
    <row r="73" spans="1:9" ht="13.5" thickBot="1" x14ac:dyDescent="0.3">
      <c r="A73" s="1087"/>
      <c r="B73" s="1088"/>
      <c r="C73" s="1089" t="s">
        <v>4</v>
      </c>
      <c r="D73" s="1089" t="s">
        <v>8</v>
      </c>
      <c r="E73" s="1089"/>
      <c r="F73" s="1089" t="s">
        <v>4</v>
      </c>
      <c r="G73" s="1089" t="s">
        <v>8</v>
      </c>
      <c r="H73" s="1089" t="s">
        <v>8</v>
      </c>
      <c r="I73" s="1090"/>
    </row>
    <row r="74" spans="1:9" x14ac:dyDescent="0.25">
      <c r="A74" s="1091" t="s">
        <v>313</v>
      </c>
      <c r="B74" s="1352">
        <v>0.02</v>
      </c>
      <c r="C74" s="665">
        <v>0</v>
      </c>
      <c r="D74" s="665">
        <v>0</v>
      </c>
      <c r="E74" s="1092">
        <f t="shared" ref="E74:E91" si="8">+C74+D74</f>
        <v>0</v>
      </c>
      <c r="F74" s="665">
        <v>0</v>
      </c>
      <c r="G74" s="665">
        <v>0</v>
      </c>
      <c r="H74" s="665">
        <v>0</v>
      </c>
      <c r="I74" s="1093">
        <f>+SUM(E74:H74)</f>
        <v>0</v>
      </c>
    </row>
    <row r="75" spans="1:9" x14ac:dyDescent="0.25">
      <c r="A75" s="1094" t="s">
        <v>314</v>
      </c>
      <c r="B75" s="1353"/>
      <c r="C75" s="666">
        <v>0</v>
      </c>
      <c r="D75" s="666">
        <v>0</v>
      </c>
      <c r="E75" s="1095">
        <f t="shared" si="8"/>
        <v>0</v>
      </c>
      <c r="F75" s="666">
        <v>0</v>
      </c>
      <c r="G75" s="666">
        <v>0</v>
      </c>
      <c r="H75" s="666">
        <v>0</v>
      </c>
      <c r="I75" s="1096">
        <f t="shared" ref="I75:I118" si="9">+SUM(E75:H75)</f>
        <v>0</v>
      </c>
    </row>
    <row r="76" spans="1:9" x14ac:dyDescent="0.25">
      <c r="A76" s="1094" t="s">
        <v>315</v>
      </c>
      <c r="B76" s="1353"/>
      <c r="C76" s="666">
        <v>0</v>
      </c>
      <c r="D76" s="666">
        <v>0</v>
      </c>
      <c r="E76" s="1095">
        <f t="shared" si="8"/>
        <v>0</v>
      </c>
      <c r="F76" s="666">
        <v>0</v>
      </c>
      <c r="G76" s="666">
        <v>0</v>
      </c>
      <c r="H76" s="666">
        <v>0</v>
      </c>
      <c r="I76" s="1096">
        <f t="shared" si="9"/>
        <v>0</v>
      </c>
    </row>
    <row r="77" spans="1:9" x14ac:dyDescent="0.25">
      <c r="A77" s="1094" t="s">
        <v>316</v>
      </c>
      <c r="B77" s="1353"/>
      <c r="C77" s="666">
        <v>0</v>
      </c>
      <c r="D77" s="666">
        <v>0</v>
      </c>
      <c r="E77" s="1095">
        <f t="shared" si="8"/>
        <v>0</v>
      </c>
      <c r="F77" s="666">
        <v>0</v>
      </c>
      <c r="G77" s="666">
        <v>0</v>
      </c>
      <c r="H77" s="666">
        <v>0</v>
      </c>
      <c r="I77" s="1096">
        <f t="shared" si="9"/>
        <v>0</v>
      </c>
    </row>
    <row r="78" spans="1:9" x14ac:dyDescent="0.25">
      <c r="A78" s="1094" t="s">
        <v>385</v>
      </c>
      <c r="B78" s="1353"/>
      <c r="C78" s="666">
        <v>0</v>
      </c>
      <c r="D78" s="666">
        <v>0</v>
      </c>
      <c r="E78" s="1095">
        <f t="shared" si="8"/>
        <v>0</v>
      </c>
      <c r="F78" s="666">
        <v>0</v>
      </c>
      <c r="G78" s="666">
        <v>0</v>
      </c>
      <c r="H78" s="666">
        <v>0</v>
      </c>
      <c r="I78" s="1096">
        <f t="shared" si="9"/>
        <v>0</v>
      </c>
    </row>
    <row r="79" spans="1:9" x14ac:dyDescent="0.25">
      <c r="A79" s="1094" t="s">
        <v>386</v>
      </c>
      <c r="B79" s="1353"/>
      <c r="C79" s="666">
        <v>0</v>
      </c>
      <c r="D79" s="666">
        <v>0</v>
      </c>
      <c r="E79" s="1095">
        <f t="shared" si="8"/>
        <v>0</v>
      </c>
      <c r="F79" s="666">
        <v>0</v>
      </c>
      <c r="G79" s="666">
        <v>0</v>
      </c>
      <c r="H79" s="666">
        <v>0</v>
      </c>
      <c r="I79" s="1096">
        <f t="shared" si="9"/>
        <v>0</v>
      </c>
    </row>
    <row r="80" spans="1:9" x14ac:dyDescent="0.25">
      <c r="A80" s="1094" t="s">
        <v>317</v>
      </c>
      <c r="B80" s="1353"/>
      <c r="C80" s="666">
        <v>0</v>
      </c>
      <c r="D80" s="666">
        <v>0</v>
      </c>
      <c r="E80" s="1095">
        <f t="shared" si="8"/>
        <v>0</v>
      </c>
      <c r="F80" s="666">
        <v>0</v>
      </c>
      <c r="G80" s="666">
        <v>0</v>
      </c>
      <c r="H80" s="666">
        <v>0</v>
      </c>
      <c r="I80" s="1096">
        <f t="shared" si="9"/>
        <v>0</v>
      </c>
    </row>
    <row r="81" spans="1:9" x14ac:dyDescent="0.25">
      <c r="A81" s="1094" t="s">
        <v>387</v>
      </c>
      <c r="B81" s="1353"/>
      <c r="C81" s="666">
        <v>0</v>
      </c>
      <c r="D81" s="666">
        <v>0</v>
      </c>
      <c r="E81" s="1095">
        <f t="shared" si="8"/>
        <v>0</v>
      </c>
      <c r="F81" s="666">
        <v>0</v>
      </c>
      <c r="G81" s="666">
        <v>0</v>
      </c>
      <c r="H81" s="666">
        <v>0</v>
      </c>
      <c r="I81" s="1096">
        <f t="shared" si="9"/>
        <v>0</v>
      </c>
    </row>
    <row r="82" spans="1:9" x14ac:dyDescent="0.25">
      <c r="A82" s="1094" t="s">
        <v>318</v>
      </c>
      <c r="B82" s="1353"/>
      <c r="C82" s="666">
        <v>0</v>
      </c>
      <c r="D82" s="666">
        <v>0</v>
      </c>
      <c r="E82" s="1095">
        <f t="shared" si="8"/>
        <v>0</v>
      </c>
      <c r="F82" s="666">
        <v>0</v>
      </c>
      <c r="G82" s="666">
        <v>0</v>
      </c>
      <c r="H82" s="666">
        <v>0</v>
      </c>
      <c r="I82" s="1096">
        <f t="shared" si="9"/>
        <v>0</v>
      </c>
    </row>
    <row r="83" spans="1:9" x14ac:dyDescent="0.25">
      <c r="A83" s="1094" t="s">
        <v>388</v>
      </c>
      <c r="B83" s="1353"/>
      <c r="C83" s="666">
        <v>0</v>
      </c>
      <c r="D83" s="666">
        <v>0</v>
      </c>
      <c r="E83" s="1095">
        <f t="shared" si="8"/>
        <v>0</v>
      </c>
      <c r="F83" s="666">
        <v>0</v>
      </c>
      <c r="G83" s="666">
        <v>0</v>
      </c>
      <c r="H83" s="666">
        <v>0</v>
      </c>
      <c r="I83" s="1096">
        <f t="shared" si="9"/>
        <v>0</v>
      </c>
    </row>
    <row r="84" spans="1:9" x14ac:dyDescent="0.25">
      <c r="A84" s="1094" t="s">
        <v>389</v>
      </c>
      <c r="B84" s="1353"/>
      <c r="C84" s="666">
        <v>0</v>
      </c>
      <c r="D84" s="666">
        <v>0</v>
      </c>
      <c r="E84" s="1095">
        <f t="shared" si="8"/>
        <v>0</v>
      </c>
      <c r="F84" s="666">
        <v>0</v>
      </c>
      <c r="G84" s="666">
        <v>0</v>
      </c>
      <c r="H84" s="666">
        <v>0</v>
      </c>
      <c r="I84" s="1096">
        <f t="shared" si="9"/>
        <v>0</v>
      </c>
    </row>
    <row r="85" spans="1:9" x14ac:dyDescent="0.25">
      <c r="A85" s="1094" t="s">
        <v>319</v>
      </c>
      <c r="B85" s="1353"/>
      <c r="C85" s="666">
        <v>0</v>
      </c>
      <c r="D85" s="666">
        <v>0</v>
      </c>
      <c r="E85" s="1095">
        <f t="shared" si="8"/>
        <v>0</v>
      </c>
      <c r="F85" s="666">
        <v>0</v>
      </c>
      <c r="G85" s="666">
        <v>0</v>
      </c>
      <c r="H85" s="666">
        <v>0</v>
      </c>
      <c r="I85" s="1096">
        <f t="shared" si="9"/>
        <v>0</v>
      </c>
    </row>
    <row r="86" spans="1:9" x14ac:dyDescent="0.25">
      <c r="A86" s="1094" t="s">
        <v>390</v>
      </c>
      <c r="B86" s="1353"/>
      <c r="C86" s="666">
        <v>0</v>
      </c>
      <c r="D86" s="666">
        <v>0</v>
      </c>
      <c r="E86" s="1095">
        <f t="shared" si="8"/>
        <v>0</v>
      </c>
      <c r="F86" s="666">
        <v>0</v>
      </c>
      <c r="G86" s="666">
        <v>0</v>
      </c>
      <c r="H86" s="666">
        <v>0</v>
      </c>
      <c r="I86" s="1096">
        <f t="shared" si="9"/>
        <v>0</v>
      </c>
    </row>
    <row r="87" spans="1:9" x14ac:dyDescent="0.25">
      <c r="A87" s="1094" t="s">
        <v>320</v>
      </c>
      <c r="B87" s="1353"/>
      <c r="C87" s="666">
        <v>0</v>
      </c>
      <c r="D87" s="666">
        <v>0</v>
      </c>
      <c r="E87" s="1095">
        <f t="shared" si="8"/>
        <v>0</v>
      </c>
      <c r="F87" s="666">
        <v>0</v>
      </c>
      <c r="G87" s="666">
        <v>0</v>
      </c>
      <c r="H87" s="666">
        <v>0</v>
      </c>
      <c r="I87" s="1096">
        <f t="shared" si="9"/>
        <v>0</v>
      </c>
    </row>
    <row r="88" spans="1:9" x14ac:dyDescent="0.25">
      <c r="A88" s="1094" t="s">
        <v>391</v>
      </c>
      <c r="B88" s="1353"/>
      <c r="C88" s="666">
        <v>0</v>
      </c>
      <c r="D88" s="666">
        <v>0</v>
      </c>
      <c r="E88" s="1095">
        <f t="shared" si="8"/>
        <v>0</v>
      </c>
      <c r="F88" s="666">
        <v>0</v>
      </c>
      <c r="G88" s="666">
        <v>0</v>
      </c>
      <c r="H88" s="666">
        <v>0</v>
      </c>
      <c r="I88" s="1096">
        <f t="shared" si="9"/>
        <v>0</v>
      </c>
    </row>
    <row r="89" spans="1:9" x14ac:dyDescent="0.25">
      <c r="A89" s="1094" t="s">
        <v>392</v>
      </c>
      <c r="B89" s="1353"/>
      <c r="C89" s="666">
        <v>0</v>
      </c>
      <c r="D89" s="666">
        <v>0</v>
      </c>
      <c r="E89" s="1095">
        <f t="shared" si="8"/>
        <v>0</v>
      </c>
      <c r="F89" s="666">
        <v>0</v>
      </c>
      <c r="G89" s="666">
        <v>0</v>
      </c>
      <c r="H89" s="666">
        <v>0</v>
      </c>
      <c r="I89" s="1096">
        <f t="shared" si="9"/>
        <v>0</v>
      </c>
    </row>
    <row r="90" spans="1:9" x14ac:dyDescent="0.25">
      <c r="A90" s="1094" t="s">
        <v>321</v>
      </c>
      <c r="B90" s="1353"/>
      <c r="C90" s="666">
        <v>0</v>
      </c>
      <c r="D90" s="666">
        <v>0</v>
      </c>
      <c r="E90" s="1095">
        <f t="shared" si="8"/>
        <v>0</v>
      </c>
      <c r="F90" s="666">
        <v>0</v>
      </c>
      <c r="G90" s="666">
        <v>0</v>
      </c>
      <c r="H90" s="666">
        <v>0</v>
      </c>
      <c r="I90" s="1096">
        <f t="shared" si="9"/>
        <v>0</v>
      </c>
    </row>
    <row r="91" spans="1:9" x14ac:dyDescent="0.25">
      <c r="A91" s="1094" t="s">
        <v>393</v>
      </c>
      <c r="B91" s="1353"/>
      <c r="C91" s="666">
        <v>0</v>
      </c>
      <c r="D91" s="666">
        <v>0</v>
      </c>
      <c r="E91" s="1095">
        <f t="shared" si="8"/>
        <v>0</v>
      </c>
      <c r="F91" s="666">
        <v>0</v>
      </c>
      <c r="G91" s="666">
        <v>0</v>
      </c>
      <c r="H91" s="666">
        <v>0</v>
      </c>
      <c r="I91" s="1096">
        <f t="shared" si="9"/>
        <v>0</v>
      </c>
    </row>
    <row r="92" spans="1:9" x14ac:dyDescent="0.25">
      <c r="A92" s="1094" t="s">
        <v>322</v>
      </c>
      <c r="B92" s="1353"/>
      <c r="C92" s="666">
        <v>0</v>
      </c>
      <c r="D92" s="666">
        <v>0</v>
      </c>
      <c r="E92" s="1095">
        <f>+C92+D92</f>
        <v>0</v>
      </c>
      <c r="F92" s="666">
        <v>0</v>
      </c>
      <c r="G92" s="666">
        <v>0</v>
      </c>
      <c r="H92" s="666">
        <v>0</v>
      </c>
      <c r="I92" s="1096">
        <f t="shared" si="9"/>
        <v>0</v>
      </c>
    </row>
    <row r="93" spans="1:9" x14ac:dyDescent="0.25">
      <c r="A93" s="1094" t="s">
        <v>323</v>
      </c>
      <c r="B93" s="1353"/>
      <c r="C93" s="666">
        <v>0</v>
      </c>
      <c r="D93" s="666">
        <v>0</v>
      </c>
      <c r="E93" s="1095">
        <f t="shared" ref="E93:E117" si="10">+C93+D93</f>
        <v>0</v>
      </c>
      <c r="F93" s="666">
        <v>0</v>
      </c>
      <c r="G93" s="666">
        <v>0</v>
      </c>
      <c r="H93" s="666">
        <v>0</v>
      </c>
      <c r="I93" s="1096">
        <f t="shared" si="9"/>
        <v>0</v>
      </c>
    </row>
    <row r="94" spans="1:9" x14ac:dyDescent="0.25">
      <c r="A94" s="1094" t="s">
        <v>394</v>
      </c>
      <c r="B94" s="1353"/>
      <c r="C94" s="666">
        <v>0</v>
      </c>
      <c r="D94" s="666">
        <v>0</v>
      </c>
      <c r="E94" s="1095">
        <f t="shared" si="10"/>
        <v>0</v>
      </c>
      <c r="F94" s="666">
        <v>0</v>
      </c>
      <c r="G94" s="666">
        <v>0</v>
      </c>
      <c r="H94" s="666">
        <v>0</v>
      </c>
      <c r="I94" s="1096">
        <f t="shared" si="9"/>
        <v>0</v>
      </c>
    </row>
    <row r="95" spans="1:9" x14ac:dyDescent="0.25">
      <c r="A95" s="1094" t="s">
        <v>395</v>
      </c>
      <c r="B95" s="1353"/>
      <c r="C95" s="666">
        <v>0</v>
      </c>
      <c r="D95" s="666">
        <v>0</v>
      </c>
      <c r="E95" s="1095">
        <f t="shared" si="10"/>
        <v>0</v>
      </c>
      <c r="F95" s="666">
        <v>0</v>
      </c>
      <c r="G95" s="666">
        <v>0</v>
      </c>
      <c r="H95" s="666">
        <v>0</v>
      </c>
      <c r="I95" s="1096">
        <f t="shared" si="9"/>
        <v>0</v>
      </c>
    </row>
    <row r="96" spans="1:9" x14ac:dyDescent="0.25">
      <c r="A96" s="1094" t="s">
        <v>324</v>
      </c>
      <c r="B96" s="1353"/>
      <c r="C96" s="666">
        <v>0</v>
      </c>
      <c r="D96" s="666">
        <v>0</v>
      </c>
      <c r="E96" s="1095">
        <f t="shared" si="10"/>
        <v>0</v>
      </c>
      <c r="F96" s="666">
        <v>0</v>
      </c>
      <c r="G96" s="666">
        <v>0</v>
      </c>
      <c r="H96" s="666">
        <v>0</v>
      </c>
      <c r="I96" s="1096">
        <f t="shared" si="9"/>
        <v>0</v>
      </c>
    </row>
    <row r="97" spans="1:9" x14ac:dyDescent="0.25">
      <c r="A97" s="1094" t="s">
        <v>396</v>
      </c>
      <c r="B97" s="1353"/>
      <c r="C97" s="666">
        <v>0</v>
      </c>
      <c r="D97" s="666">
        <v>0</v>
      </c>
      <c r="E97" s="1095">
        <f t="shared" si="10"/>
        <v>0</v>
      </c>
      <c r="F97" s="666">
        <v>0</v>
      </c>
      <c r="G97" s="666">
        <v>0</v>
      </c>
      <c r="H97" s="666">
        <v>0</v>
      </c>
      <c r="I97" s="1096">
        <f t="shared" si="9"/>
        <v>0</v>
      </c>
    </row>
    <row r="98" spans="1:9" x14ac:dyDescent="0.25">
      <c r="A98" s="1094" t="s">
        <v>325</v>
      </c>
      <c r="B98" s="1353"/>
      <c r="C98" s="666">
        <v>0</v>
      </c>
      <c r="D98" s="666">
        <v>0</v>
      </c>
      <c r="E98" s="1095">
        <f t="shared" si="10"/>
        <v>0</v>
      </c>
      <c r="F98" s="666">
        <v>0</v>
      </c>
      <c r="G98" s="666">
        <v>0</v>
      </c>
      <c r="H98" s="666">
        <v>0</v>
      </c>
      <c r="I98" s="1096">
        <f t="shared" si="9"/>
        <v>0</v>
      </c>
    </row>
    <row r="99" spans="1:9" x14ac:dyDescent="0.25">
      <c r="A99" s="1094" t="s">
        <v>397</v>
      </c>
      <c r="B99" s="1353"/>
      <c r="C99" s="666">
        <v>0</v>
      </c>
      <c r="D99" s="666">
        <v>0</v>
      </c>
      <c r="E99" s="1095">
        <f t="shared" si="10"/>
        <v>0</v>
      </c>
      <c r="F99" s="666">
        <v>0</v>
      </c>
      <c r="G99" s="666">
        <v>0</v>
      </c>
      <c r="H99" s="666">
        <v>0</v>
      </c>
      <c r="I99" s="1096">
        <f t="shared" si="9"/>
        <v>0</v>
      </c>
    </row>
    <row r="100" spans="1:9" x14ac:dyDescent="0.25">
      <c r="A100" s="1094" t="s">
        <v>398</v>
      </c>
      <c r="B100" s="1353"/>
      <c r="C100" s="666">
        <v>0</v>
      </c>
      <c r="D100" s="666">
        <v>0</v>
      </c>
      <c r="E100" s="1095">
        <f t="shared" si="10"/>
        <v>0</v>
      </c>
      <c r="F100" s="666">
        <v>0</v>
      </c>
      <c r="G100" s="666">
        <v>0</v>
      </c>
      <c r="H100" s="666">
        <v>0</v>
      </c>
      <c r="I100" s="1096">
        <f t="shared" si="9"/>
        <v>0</v>
      </c>
    </row>
    <row r="101" spans="1:9" x14ac:dyDescent="0.25">
      <c r="A101" s="1094" t="s">
        <v>326</v>
      </c>
      <c r="B101" s="1353"/>
      <c r="C101" s="666">
        <v>0</v>
      </c>
      <c r="D101" s="666">
        <v>0</v>
      </c>
      <c r="E101" s="1095">
        <f t="shared" si="10"/>
        <v>0</v>
      </c>
      <c r="F101" s="666">
        <v>0</v>
      </c>
      <c r="G101" s="666">
        <v>0</v>
      </c>
      <c r="H101" s="666">
        <v>0</v>
      </c>
      <c r="I101" s="1096">
        <f t="shared" si="9"/>
        <v>0</v>
      </c>
    </row>
    <row r="102" spans="1:9" x14ac:dyDescent="0.25">
      <c r="A102" s="1094" t="s">
        <v>399</v>
      </c>
      <c r="B102" s="1353"/>
      <c r="C102" s="666">
        <v>0</v>
      </c>
      <c r="D102" s="666">
        <v>0</v>
      </c>
      <c r="E102" s="1095">
        <f t="shared" si="10"/>
        <v>0</v>
      </c>
      <c r="F102" s="666">
        <v>0</v>
      </c>
      <c r="G102" s="666">
        <v>0</v>
      </c>
      <c r="H102" s="666">
        <v>0</v>
      </c>
      <c r="I102" s="1096">
        <f t="shared" si="9"/>
        <v>0</v>
      </c>
    </row>
    <row r="103" spans="1:9" x14ac:dyDescent="0.25">
      <c r="A103" s="1094" t="s">
        <v>327</v>
      </c>
      <c r="B103" s="1353"/>
      <c r="C103" s="666">
        <v>0</v>
      </c>
      <c r="D103" s="666">
        <v>0</v>
      </c>
      <c r="E103" s="1095">
        <f t="shared" si="10"/>
        <v>0</v>
      </c>
      <c r="F103" s="666">
        <v>0</v>
      </c>
      <c r="G103" s="666">
        <v>0</v>
      </c>
      <c r="H103" s="666">
        <v>0</v>
      </c>
      <c r="I103" s="1096">
        <f t="shared" si="9"/>
        <v>0</v>
      </c>
    </row>
    <row r="104" spans="1:9" x14ac:dyDescent="0.25">
      <c r="A104" s="1094" t="s">
        <v>328</v>
      </c>
      <c r="B104" s="1353"/>
      <c r="C104" s="666">
        <v>0</v>
      </c>
      <c r="D104" s="666">
        <v>0</v>
      </c>
      <c r="E104" s="1095">
        <f t="shared" si="10"/>
        <v>0</v>
      </c>
      <c r="F104" s="666">
        <v>0</v>
      </c>
      <c r="G104" s="666">
        <v>0</v>
      </c>
      <c r="H104" s="666">
        <v>0</v>
      </c>
      <c r="I104" s="1096">
        <f t="shared" si="9"/>
        <v>0</v>
      </c>
    </row>
    <row r="105" spans="1:9" x14ac:dyDescent="0.25">
      <c r="A105" s="1094" t="s">
        <v>329</v>
      </c>
      <c r="B105" s="1353"/>
      <c r="C105" s="666">
        <v>0</v>
      </c>
      <c r="D105" s="666">
        <v>0</v>
      </c>
      <c r="E105" s="1095">
        <f t="shared" si="10"/>
        <v>0</v>
      </c>
      <c r="F105" s="666">
        <v>0</v>
      </c>
      <c r="G105" s="666">
        <v>0</v>
      </c>
      <c r="H105" s="666">
        <v>0</v>
      </c>
      <c r="I105" s="1096">
        <f t="shared" si="9"/>
        <v>0</v>
      </c>
    </row>
    <row r="106" spans="1:9" x14ac:dyDescent="0.25">
      <c r="A106" s="1094" t="s">
        <v>330</v>
      </c>
      <c r="B106" s="1353"/>
      <c r="C106" s="666">
        <v>0</v>
      </c>
      <c r="D106" s="666">
        <v>0</v>
      </c>
      <c r="E106" s="1095">
        <f t="shared" si="10"/>
        <v>0</v>
      </c>
      <c r="F106" s="666">
        <v>0</v>
      </c>
      <c r="G106" s="666">
        <v>0</v>
      </c>
      <c r="H106" s="666">
        <v>0</v>
      </c>
      <c r="I106" s="1096">
        <f t="shared" si="9"/>
        <v>0</v>
      </c>
    </row>
    <row r="107" spans="1:9" x14ac:dyDescent="0.25">
      <c r="A107" s="1094" t="s">
        <v>331</v>
      </c>
      <c r="B107" s="1353"/>
      <c r="C107" s="666">
        <v>0</v>
      </c>
      <c r="D107" s="666">
        <v>0</v>
      </c>
      <c r="E107" s="1095">
        <f t="shared" si="10"/>
        <v>0</v>
      </c>
      <c r="F107" s="666">
        <v>0</v>
      </c>
      <c r="G107" s="666">
        <v>0</v>
      </c>
      <c r="H107" s="666">
        <v>0</v>
      </c>
      <c r="I107" s="1096">
        <f t="shared" si="9"/>
        <v>0</v>
      </c>
    </row>
    <row r="108" spans="1:9" x14ac:dyDescent="0.25">
      <c r="A108" s="1094" t="s">
        <v>332</v>
      </c>
      <c r="B108" s="1353"/>
      <c r="C108" s="666">
        <v>0</v>
      </c>
      <c r="D108" s="666">
        <v>0</v>
      </c>
      <c r="E108" s="1095">
        <f t="shared" si="10"/>
        <v>0</v>
      </c>
      <c r="F108" s="666">
        <v>0</v>
      </c>
      <c r="G108" s="666">
        <v>0</v>
      </c>
      <c r="H108" s="666">
        <v>0</v>
      </c>
      <c r="I108" s="1096">
        <f t="shared" si="9"/>
        <v>0</v>
      </c>
    </row>
    <row r="109" spans="1:9" x14ac:dyDescent="0.25">
      <c r="A109" s="1094" t="s">
        <v>333</v>
      </c>
      <c r="B109" s="1353"/>
      <c r="C109" s="666">
        <v>0</v>
      </c>
      <c r="D109" s="666">
        <v>0</v>
      </c>
      <c r="E109" s="1095">
        <f t="shared" si="10"/>
        <v>0</v>
      </c>
      <c r="F109" s="666">
        <v>0</v>
      </c>
      <c r="G109" s="666">
        <v>0</v>
      </c>
      <c r="H109" s="666">
        <v>0</v>
      </c>
      <c r="I109" s="1096">
        <f t="shared" si="9"/>
        <v>0</v>
      </c>
    </row>
    <row r="110" spans="1:9" x14ac:dyDescent="0.25">
      <c r="A110" s="1094" t="s">
        <v>344</v>
      </c>
      <c r="B110" s="1353"/>
      <c r="C110" s="666">
        <v>0</v>
      </c>
      <c r="D110" s="666">
        <v>0</v>
      </c>
      <c r="E110" s="1095">
        <f t="shared" si="10"/>
        <v>0</v>
      </c>
      <c r="F110" s="666">
        <v>0</v>
      </c>
      <c r="G110" s="666">
        <v>0</v>
      </c>
      <c r="H110" s="666">
        <v>0</v>
      </c>
      <c r="I110" s="1096">
        <f t="shared" si="9"/>
        <v>0</v>
      </c>
    </row>
    <row r="111" spans="1:9" x14ac:dyDescent="0.25">
      <c r="A111" s="1094" t="s">
        <v>334</v>
      </c>
      <c r="B111" s="1353"/>
      <c r="C111" s="666">
        <v>0</v>
      </c>
      <c r="D111" s="666">
        <v>0</v>
      </c>
      <c r="E111" s="1095">
        <f t="shared" si="10"/>
        <v>0</v>
      </c>
      <c r="F111" s="666">
        <v>0</v>
      </c>
      <c r="G111" s="666">
        <v>0</v>
      </c>
      <c r="H111" s="666">
        <v>0</v>
      </c>
      <c r="I111" s="1096">
        <f t="shared" si="9"/>
        <v>0</v>
      </c>
    </row>
    <row r="112" spans="1:9" x14ac:dyDescent="0.25">
      <c r="A112" s="1094" t="s">
        <v>335</v>
      </c>
      <c r="B112" s="1353"/>
      <c r="C112" s="666">
        <v>0</v>
      </c>
      <c r="D112" s="666">
        <v>0</v>
      </c>
      <c r="E112" s="1095">
        <f t="shared" si="10"/>
        <v>0</v>
      </c>
      <c r="F112" s="666">
        <v>0</v>
      </c>
      <c r="G112" s="666">
        <v>0</v>
      </c>
      <c r="H112" s="666">
        <v>0</v>
      </c>
      <c r="I112" s="1096">
        <f t="shared" si="9"/>
        <v>0</v>
      </c>
    </row>
    <row r="113" spans="1:9" x14ac:dyDescent="0.25">
      <c r="A113" s="1094" t="s">
        <v>336</v>
      </c>
      <c r="B113" s="1353"/>
      <c r="C113" s="666">
        <v>0</v>
      </c>
      <c r="D113" s="666">
        <v>0</v>
      </c>
      <c r="E113" s="1095">
        <f t="shared" si="10"/>
        <v>0</v>
      </c>
      <c r="F113" s="666">
        <v>0</v>
      </c>
      <c r="G113" s="666">
        <v>0</v>
      </c>
      <c r="H113" s="666">
        <v>0</v>
      </c>
      <c r="I113" s="1096">
        <f t="shared" si="9"/>
        <v>0</v>
      </c>
    </row>
    <row r="114" spans="1:9" x14ac:dyDescent="0.25">
      <c r="A114" s="1094" t="s">
        <v>337</v>
      </c>
      <c r="B114" s="1353"/>
      <c r="C114" s="666">
        <v>0</v>
      </c>
      <c r="D114" s="666">
        <v>0</v>
      </c>
      <c r="E114" s="1095">
        <f t="shared" si="10"/>
        <v>0</v>
      </c>
      <c r="F114" s="666">
        <v>0</v>
      </c>
      <c r="G114" s="666">
        <v>0</v>
      </c>
      <c r="H114" s="666">
        <v>0</v>
      </c>
      <c r="I114" s="1096">
        <f t="shared" si="9"/>
        <v>0</v>
      </c>
    </row>
    <row r="115" spans="1:9" x14ac:dyDescent="0.25">
      <c r="A115" s="1094" t="s">
        <v>338</v>
      </c>
      <c r="B115" s="1353"/>
      <c r="C115" s="666">
        <v>0</v>
      </c>
      <c r="D115" s="666">
        <v>0</v>
      </c>
      <c r="E115" s="1095">
        <f t="shared" si="10"/>
        <v>0</v>
      </c>
      <c r="F115" s="666">
        <v>0</v>
      </c>
      <c r="G115" s="666">
        <v>0</v>
      </c>
      <c r="H115" s="666">
        <v>0</v>
      </c>
      <c r="I115" s="1096">
        <f t="shared" si="9"/>
        <v>0</v>
      </c>
    </row>
    <row r="116" spans="1:9" x14ac:dyDescent="0.25">
      <c r="A116" s="1094" t="s">
        <v>339</v>
      </c>
      <c r="B116" s="1353"/>
      <c r="C116" s="667">
        <v>0</v>
      </c>
      <c r="D116" s="666">
        <v>0</v>
      </c>
      <c r="E116" s="1095">
        <f t="shared" si="10"/>
        <v>0</v>
      </c>
      <c r="F116" s="666">
        <v>0</v>
      </c>
      <c r="G116" s="666">
        <v>0</v>
      </c>
      <c r="H116" s="666">
        <v>0</v>
      </c>
      <c r="I116" s="1096">
        <f t="shared" si="9"/>
        <v>0</v>
      </c>
    </row>
    <row r="117" spans="1:9" x14ac:dyDescent="0.25">
      <c r="A117" s="1094" t="s">
        <v>340</v>
      </c>
      <c r="B117" s="1353"/>
      <c r="C117" s="666">
        <v>0</v>
      </c>
      <c r="D117" s="666">
        <v>0</v>
      </c>
      <c r="E117" s="1095">
        <f t="shared" si="10"/>
        <v>0</v>
      </c>
      <c r="F117" s="666">
        <v>0</v>
      </c>
      <c r="G117" s="666">
        <v>0</v>
      </c>
      <c r="H117" s="666">
        <v>0</v>
      </c>
      <c r="I117" s="1096">
        <f t="shared" si="9"/>
        <v>0</v>
      </c>
    </row>
    <row r="118" spans="1:9" ht="13" thickBot="1" x14ac:dyDescent="0.3">
      <c r="A118" s="1097" t="s">
        <v>341</v>
      </c>
      <c r="B118" s="1354"/>
      <c r="C118" s="668">
        <v>0</v>
      </c>
      <c r="D118" s="668">
        <v>0</v>
      </c>
      <c r="E118" s="1098">
        <f>+C118+D118</f>
        <v>0</v>
      </c>
      <c r="F118" s="668">
        <v>0</v>
      </c>
      <c r="G118" s="668">
        <v>0</v>
      </c>
      <c r="H118" s="668">
        <v>0</v>
      </c>
      <c r="I118" s="1099">
        <f t="shared" si="9"/>
        <v>0</v>
      </c>
    </row>
    <row r="119" spans="1:9" ht="13" x14ac:dyDescent="0.25">
      <c r="A119" s="1100"/>
      <c r="B119" s="1101"/>
      <c r="C119" s="1102"/>
      <c r="D119" s="1102"/>
      <c r="E119" s="1102"/>
      <c r="F119" s="1102"/>
      <c r="G119" s="1102"/>
      <c r="H119" s="1102"/>
      <c r="I119" s="1102"/>
    </row>
    <row r="120" spans="1:9" ht="13" x14ac:dyDescent="0.25">
      <c r="A120" s="1100" t="s">
        <v>342</v>
      </c>
      <c r="B120" s="1101"/>
      <c r="C120" s="1103">
        <f t="shared" ref="C120:I120" si="11">SUM(C74:C118)</f>
        <v>0</v>
      </c>
      <c r="D120" s="1103">
        <f t="shared" si="11"/>
        <v>0</v>
      </c>
      <c r="E120" s="1103">
        <f t="shared" si="11"/>
        <v>0</v>
      </c>
      <c r="F120" s="1103">
        <f t="shared" ref="F120" si="12">SUM(F74:F118)</f>
        <v>0</v>
      </c>
      <c r="G120" s="1103">
        <f t="shared" si="11"/>
        <v>0</v>
      </c>
      <c r="H120" s="1103">
        <f t="shared" si="11"/>
        <v>0</v>
      </c>
      <c r="I120" s="1103">
        <f t="shared" si="11"/>
        <v>0</v>
      </c>
    </row>
    <row r="121" spans="1:9" ht="13.5" thickBot="1" x14ac:dyDescent="0.3">
      <c r="A121" s="1104"/>
      <c r="B121" s="1105"/>
      <c r="C121" s="1106"/>
      <c r="D121" s="1106"/>
      <c r="E121" s="1106"/>
      <c r="F121" s="1106"/>
      <c r="G121" s="1106"/>
      <c r="H121" s="1106"/>
      <c r="I121" s="1107"/>
    </row>
  </sheetData>
  <sheetProtection algorithmName="SHA-512" hashValue="kIYQ0ZKRpH3muIB4ctsKaVfwTj8wQvqMKr9iJd9PYGeCwE5Lk66x/EtATCvJHHkfTlhJ8cf3TO5eDo79C5OuPQ==" saltValue="UvbI8OHelbs5j3ReI/2MLQ==" spinCount="100000" sheet="1" objects="1" scenarios="1"/>
  <mergeCells count="6">
    <mergeCell ref="B74:B118"/>
    <mergeCell ref="A17:I17"/>
    <mergeCell ref="A71:I71"/>
    <mergeCell ref="B20:B64"/>
    <mergeCell ref="A1:I1"/>
    <mergeCell ref="A14:C14"/>
  </mergeCells>
  <conditionalFormatting sqref="A1:XFD1048576">
    <cfRule type="expression" dxfId="25" priority="5">
      <formula>$K$1="gas"</formula>
    </cfRule>
  </conditionalFormatting>
  <dataValidations count="2">
    <dataValidation type="decimal" operator="greaterThanOrEqual" allowBlank="1" showInputMessage="1" showErrorMessage="1" errorTitle="Negatief bedrag" error="Gelieve een positieve waarde in te geven" sqref="WVM983061:WVM983104 C65557:C65600 JA65557:JA65600 SW65557:SW65600 ACS65557:ACS65600 AMO65557:AMO65600 AWK65557:AWK65600 BGG65557:BGG65600 BQC65557:BQC65600 BZY65557:BZY65600 CJU65557:CJU65600 CTQ65557:CTQ65600 DDM65557:DDM65600 DNI65557:DNI65600 DXE65557:DXE65600 EHA65557:EHA65600 EQW65557:EQW65600 FAS65557:FAS65600 FKO65557:FKO65600 FUK65557:FUK65600 GEG65557:GEG65600 GOC65557:GOC65600 GXY65557:GXY65600 HHU65557:HHU65600 HRQ65557:HRQ65600 IBM65557:IBM65600 ILI65557:ILI65600 IVE65557:IVE65600 JFA65557:JFA65600 JOW65557:JOW65600 JYS65557:JYS65600 KIO65557:KIO65600 KSK65557:KSK65600 LCG65557:LCG65600 LMC65557:LMC65600 LVY65557:LVY65600 MFU65557:MFU65600 MPQ65557:MPQ65600 MZM65557:MZM65600 NJI65557:NJI65600 NTE65557:NTE65600 ODA65557:ODA65600 OMW65557:OMW65600 OWS65557:OWS65600 PGO65557:PGO65600 PQK65557:PQK65600 QAG65557:QAG65600 QKC65557:QKC65600 QTY65557:QTY65600 RDU65557:RDU65600 RNQ65557:RNQ65600 RXM65557:RXM65600 SHI65557:SHI65600 SRE65557:SRE65600 TBA65557:TBA65600 TKW65557:TKW65600 TUS65557:TUS65600 UEO65557:UEO65600 UOK65557:UOK65600 UYG65557:UYG65600 VIC65557:VIC65600 VRY65557:VRY65600 WBU65557:WBU65600 WLQ65557:WLQ65600 WVM65557:WVM65600 C131093:C131136 JA131093:JA131136 SW131093:SW131136 ACS131093:ACS131136 AMO131093:AMO131136 AWK131093:AWK131136 BGG131093:BGG131136 BQC131093:BQC131136 BZY131093:BZY131136 CJU131093:CJU131136 CTQ131093:CTQ131136 DDM131093:DDM131136 DNI131093:DNI131136 DXE131093:DXE131136 EHA131093:EHA131136 EQW131093:EQW131136 FAS131093:FAS131136 FKO131093:FKO131136 FUK131093:FUK131136 GEG131093:GEG131136 GOC131093:GOC131136 GXY131093:GXY131136 HHU131093:HHU131136 HRQ131093:HRQ131136 IBM131093:IBM131136 ILI131093:ILI131136 IVE131093:IVE131136 JFA131093:JFA131136 JOW131093:JOW131136 JYS131093:JYS131136 KIO131093:KIO131136 KSK131093:KSK131136 LCG131093:LCG131136 LMC131093:LMC131136 LVY131093:LVY131136 MFU131093:MFU131136 MPQ131093:MPQ131136 MZM131093:MZM131136 NJI131093:NJI131136 NTE131093:NTE131136 ODA131093:ODA131136 OMW131093:OMW131136 OWS131093:OWS131136 PGO131093:PGO131136 PQK131093:PQK131136 QAG131093:QAG131136 QKC131093:QKC131136 QTY131093:QTY131136 RDU131093:RDU131136 RNQ131093:RNQ131136 RXM131093:RXM131136 SHI131093:SHI131136 SRE131093:SRE131136 TBA131093:TBA131136 TKW131093:TKW131136 TUS131093:TUS131136 UEO131093:UEO131136 UOK131093:UOK131136 UYG131093:UYG131136 VIC131093:VIC131136 VRY131093:VRY131136 WBU131093:WBU131136 WLQ131093:WLQ131136 WVM131093:WVM131136 C196629:C196672 JA196629:JA196672 SW196629:SW196672 ACS196629:ACS196672 AMO196629:AMO196672 AWK196629:AWK196672 BGG196629:BGG196672 BQC196629:BQC196672 BZY196629:BZY196672 CJU196629:CJU196672 CTQ196629:CTQ196672 DDM196629:DDM196672 DNI196629:DNI196672 DXE196629:DXE196672 EHA196629:EHA196672 EQW196629:EQW196672 FAS196629:FAS196672 FKO196629:FKO196672 FUK196629:FUK196672 GEG196629:GEG196672 GOC196629:GOC196672 GXY196629:GXY196672 HHU196629:HHU196672 HRQ196629:HRQ196672 IBM196629:IBM196672 ILI196629:ILI196672 IVE196629:IVE196672 JFA196629:JFA196672 JOW196629:JOW196672 JYS196629:JYS196672 KIO196629:KIO196672 KSK196629:KSK196672 LCG196629:LCG196672 LMC196629:LMC196672 LVY196629:LVY196672 MFU196629:MFU196672 MPQ196629:MPQ196672 MZM196629:MZM196672 NJI196629:NJI196672 NTE196629:NTE196672 ODA196629:ODA196672 OMW196629:OMW196672 OWS196629:OWS196672 PGO196629:PGO196672 PQK196629:PQK196672 QAG196629:QAG196672 QKC196629:QKC196672 QTY196629:QTY196672 RDU196629:RDU196672 RNQ196629:RNQ196672 RXM196629:RXM196672 SHI196629:SHI196672 SRE196629:SRE196672 TBA196629:TBA196672 TKW196629:TKW196672 TUS196629:TUS196672 UEO196629:UEO196672 UOK196629:UOK196672 UYG196629:UYG196672 VIC196629:VIC196672 VRY196629:VRY196672 WBU196629:WBU196672 WLQ196629:WLQ196672 WVM196629:WVM196672 C262165:C262208 JA262165:JA262208 SW262165:SW262208 ACS262165:ACS262208 AMO262165:AMO262208 AWK262165:AWK262208 BGG262165:BGG262208 BQC262165:BQC262208 BZY262165:BZY262208 CJU262165:CJU262208 CTQ262165:CTQ262208 DDM262165:DDM262208 DNI262165:DNI262208 DXE262165:DXE262208 EHA262165:EHA262208 EQW262165:EQW262208 FAS262165:FAS262208 FKO262165:FKO262208 FUK262165:FUK262208 GEG262165:GEG262208 GOC262165:GOC262208 GXY262165:GXY262208 HHU262165:HHU262208 HRQ262165:HRQ262208 IBM262165:IBM262208 ILI262165:ILI262208 IVE262165:IVE262208 JFA262165:JFA262208 JOW262165:JOW262208 JYS262165:JYS262208 KIO262165:KIO262208 KSK262165:KSK262208 LCG262165:LCG262208 LMC262165:LMC262208 LVY262165:LVY262208 MFU262165:MFU262208 MPQ262165:MPQ262208 MZM262165:MZM262208 NJI262165:NJI262208 NTE262165:NTE262208 ODA262165:ODA262208 OMW262165:OMW262208 OWS262165:OWS262208 PGO262165:PGO262208 PQK262165:PQK262208 QAG262165:QAG262208 QKC262165:QKC262208 QTY262165:QTY262208 RDU262165:RDU262208 RNQ262165:RNQ262208 RXM262165:RXM262208 SHI262165:SHI262208 SRE262165:SRE262208 TBA262165:TBA262208 TKW262165:TKW262208 TUS262165:TUS262208 UEO262165:UEO262208 UOK262165:UOK262208 UYG262165:UYG262208 VIC262165:VIC262208 VRY262165:VRY262208 WBU262165:WBU262208 WLQ262165:WLQ262208 WVM262165:WVM262208 C327701:C327744 JA327701:JA327744 SW327701:SW327744 ACS327701:ACS327744 AMO327701:AMO327744 AWK327701:AWK327744 BGG327701:BGG327744 BQC327701:BQC327744 BZY327701:BZY327744 CJU327701:CJU327744 CTQ327701:CTQ327744 DDM327701:DDM327744 DNI327701:DNI327744 DXE327701:DXE327744 EHA327701:EHA327744 EQW327701:EQW327744 FAS327701:FAS327744 FKO327701:FKO327744 FUK327701:FUK327744 GEG327701:GEG327744 GOC327701:GOC327744 GXY327701:GXY327744 HHU327701:HHU327744 HRQ327701:HRQ327744 IBM327701:IBM327744 ILI327701:ILI327744 IVE327701:IVE327744 JFA327701:JFA327744 JOW327701:JOW327744 JYS327701:JYS327744 KIO327701:KIO327744 KSK327701:KSK327744 LCG327701:LCG327744 LMC327701:LMC327744 LVY327701:LVY327744 MFU327701:MFU327744 MPQ327701:MPQ327744 MZM327701:MZM327744 NJI327701:NJI327744 NTE327701:NTE327744 ODA327701:ODA327744 OMW327701:OMW327744 OWS327701:OWS327744 PGO327701:PGO327744 PQK327701:PQK327744 QAG327701:QAG327744 QKC327701:QKC327744 QTY327701:QTY327744 RDU327701:RDU327744 RNQ327701:RNQ327744 RXM327701:RXM327744 SHI327701:SHI327744 SRE327701:SRE327744 TBA327701:TBA327744 TKW327701:TKW327744 TUS327701:TUS327744 UEO327701:UEO327744 UOK327701:UOK327744 UYG327701:UYG327744 VIC327701:VIC327744 VRY327701:VRY327744 WBU327701:WBU327744 WLQ327701:WLQ327744 WVM327701:WVM327744 C393237:C393280 JA393237:JA393280 SW393237:SW393280 ACS393237:ACS393280 AMO393237:AMO393280 AWK393237:AWK393280 BGG393237:BGG393280 BQC393237:BQC393280 BZY393237:BZY393280 CJU393237:CJU393280 CTQ393237:CTQ393280 DDM393237:DDM393280 DNI393237:DNI393280 DXE393237:DXE393280 EHA393237:EHA393280 EQW393237:EQW393280 FAS393237:FAS393280 FKO393237:FKO393280 FUK393237:FUK393280 GEG393237:GEG393280 GOC393237:GOC393280 GXY393237:GXY393280 HHU393237:HHU393280 HRQ393237:HRQ393280 IBM393237:IBM393280 ILI393237:ILI393280 IVE393237:IVE393280 JFA393237:JFA393280 JOW393237:JOW393280 JYS393237:JYS393280 KIO393237:KIO393280 KSK393237:KSK393280 LCG393237:LCG393280 LMC393237:LMC393280 LVY393237:LVY393280 MFU393237:MFU393280 MPQ393237:MPQ393280 MZM393237:MZM393280 NJI393237:NJI393280 NTE393237:NTE393280 ODA393237:ODA393280 OMW393237:OMW393280 OWS393237:OWS393280 PGO393237:PGO393280 PQK393237:PQK393280 QAG393237:QAG393280 QKC393237:QKC393280 QTY393237:QTY393280 RDU393237:RDU393280 RNQ393237:RNQ393280 RXM393237:RXM393280 SHI393237:SHI393280 SRE393237:SRE393280 TBA393237:TBA393280 TKW393237:TKW393280 TUS393237:TUS393280 UEO393237:UEO393280 UOK393237:UOK393280 UYG393237:UYG393280 VIC393237:VIC393280 VRY393237:VRY393280 WBU393237:WBU393280 WLQ393237:WLQ393280 WVM393237:WVM393280 C458773:C458816 JA458773:JA458816 SW458773:SW458816 ACS458773:ACS458816 AMO458773:AMO458816 AWK458773:AWK458816 BGG458773:BGG458816 BQC458773:BQC458816 BZY458773:BZY458816 CJU458773:CJU458816 CTQ458773:CTQ458816 DDM458773:DDM458816 DNI458773:DNI458816 DXE458773:DXE458816 EHA458773:EHA458816 EQW458773:EQW458816 FAS458773:FAS458816 FKO458773:FKO458816 FUK458773:FUK458816 GEG458773:GEG458816 GOC458773:GOC458816 GXY458773:GXY458816 HHU458773:HHU458816 HRQ458773:HRQ458816 IBM458773:IBM458816 ILI458773:ILI458816 IVE458773:IVE458816 JFA458773:JFA458816 JOW458773:JOW458816 JYS458773:JYS458816 KIO458773:KIO458816 KSK458773:KSK458816 LCG458773:LCG458816 LMC458773:LMC458816 LVY458773:LVY458816 MFU458773:MFU458816 MPQ458773:MPQ458816 MZM458773:MZM458816 NJI458773:NJI458816 NTE458773:NTE458816 ODA458773:ODA458816 OMW458773:OMW458816 OWS458773:OWS458816 PGO458773:PGO458816 PQK458773:PQK458816 QAG458773:QAG458816 QKC458773:QKC458816 QTY458773:QTY458816 RDU458773:RDU458816 RNQ458773:RNQ458816 RXM458773:RXM458816 SHI458773:SHI458816 SRE458773:SRE458816 TBA458773:TBA458816 TKW458773:TKW458816 TUS458773:TUS458816 UEO458773:UEO458816 UOK458773:UOK458816 UYG458773:UYG458816 VIC458773:VIC458816 VRY458773:VRY458816 WBU458773:WBU458816 WLQ458773:WLQ458816 WVM458773:WVM458816 C524309:C524352 JA524309:JA524352 SW524309:SW524352 ACS524309:ACS524352 AMO524309:AMO524352 AWK524309:AWK524352 BGG524309:BGG524352 BQC524309:BQC524352 BZY524309:BZY524352 CJU524309:CJU524352 CTQ524309:CTQ524352 DDM524309:DDM524352 DNI524309:DNI524352 DXE524309:DXE524352 EHA524309:EHA524352 EQW524309:EQW524352 FAS524309:FAS524352 FKO524309:FKO524352 FUK524309:FUK524352 GEG524309:GEG524352 GOC524309:GOC524352 GXY524309:GXY524352 HHU524309:HHU524352 HRQ524309:HRQ524352 IBM524309:IBM524352 ILI524309:ILI524352 IVE524309:IVE524352 JFA524309:JFA524352 JOW524309:JOW524352 JYS524309:JYS524352 KIO524309:KIO524352 KSK524309:KSK524352 LCG524309:LCG524352 LMC524309:LMC524352 LVY524309:LVY524352 MFU524309:MFU524352 MPQ524309:MPQ524352 MZM524309:MZM524352 NJI524309:NJI524352 NTE524309:NTE524352 ODA524309:ODA524352 OMW524309:OMW524352 OWS524309:OWS524352 PGO524309:PGO524352 PQK524309:PQK524352 QAG524309:QAG524352 QKC524309:QKC524352 QTY524309:QTY524352 RDU524309:RDU524352 RNQ524309:RNQ524352 RXM524309:RXM524352 SHI524309:SHI524352 SRE524309:SRE524352 TBA524309:TBA524352 TKW524309:TKW524352 TUS524309:TUS524352 UEO524309:UEO524352 UOK524309:UOK524352 UYG524309:UYG524352 VIC524309:VIC524352 VRY524309:VRY524352 WBU524309:WBU524352 WLQ524309:WLQ524352 WVM524309:WVM524352 C589845:C589888 JA589845:JA589888 SW589845:SW589888 ACS589845:ACS589888 AMO589845:AMO589888 AWK589845:AWK589888 BGG589845:BGG589888 BQC589845:BQC589888 BZY589845:BZY589888 CJU589845:CJU589888 CTQ589845:CTQ589888 DDM589845:DDM589888 DNI589845:DNI589888 DXE589845:DXE589888 EHA589845:EHA589888 EQW589845:EQW589888 FAS589845:FAS589888 FKO589845:FKO589888 FUK589845:FUK589888 GEG589845:GEG589888 GOC589845:GOC589888 GXY589845:GXY589888 HHU589845:HHU589888 HRQ589845:HRQ589888 IBM589845:IBM589888 ILI589845:ILI589888 IVE589845:IVE589888 JFA589845:JFA589888 JOW589845:JOW589888 JYS589845:JYS589888 KIO589845:KIO589888 KSK589845:KSK589888 LCG589845:LCG589888 LMC589845:LMC589888 LVY589845:LVY589888 MFU589845:MFU589888 MPQ589845:MPQ589888 MZM589845:MZM589888 NJI589845:NJI589888 NTE589845:NTE589888 ODA589845:ODA589888 OMW589845:OMW589888 OWS589845:OWS589888 PGO589845:PGO589888 PQK589845:PQK589888 QAG589845:QAG589888 QKC589845:QKC589888 QTY589845:QTY589888 RDU589845:RDU589888 RNQ589845:RNQ589888 RXM589845:RXM589888 SHI589845:SHI589888 SRE589845:SRE589888 TBA589845:TBA589888 TKW589845:TKW589888 TUS589845:TUS589888 UEO589845:UEO589888 UOK589845:UOK589888 UYG589845:UYG589888 VIC589845:VIC589888 VRY589845:VRY589888 WBU589845:WBU589888 WLQ589845:WLQ589888 WVM589845:WVM589888 C655381:C655424 JA655381:JA655424 SW655381:SW655424 ACS655381:ACS655424 AMO655381:AMO655424 AWK655381:AWK655424 BGG655381:BGG655424 BQC655381:BQC655424 BZY655381:BZY655424 CJU655381:CJU655424 CTQ655381:CTQ655424 DDM655381:DDM655424 DNI655381:DNI655424 DXE655381:DXE655424 EHA655381:EHA655424 EQW655381:EQW655424 FAS655381:FAS655424 FKO655381:FKO655424 FUK655381:FUK655424 GEG655381:GEG655424 GOC655381:GOC655424 GXY655381:GXY655424 HHU655381:HHU655424 HRQ655381:HRQ655424 IBM655381:IBM655424 ILI655381:ILI655424 IVE655381:IVE655424 JFA655381:JFA655424 JOW655381:JOW655424 JYS655381:JYS655424 KIO655381:KIO655424 KSK655381:KSK655424 LCG655381:LCG655424 LMC655381:LMC655424 LVY655381:LVY655424 MFU655381:MFU655424 MPQ655381:MPQ655424 MZM655381:MZM655424 NJI655381:NJI655424 NTE655381:NTE655424 ODA655381:ODA655424 OMW655381:OMW655424 OWS655381:OWS655424 PGO655381:PGO655424 PQK655381:PQK655424 QAG655381:QAG655424 QKC655381:QKC655424 QTY655381:QTY655424 RDU655381:RDU655424 RNQ655381:RNQ655424 RXM655381:RXM655424 SHI655381:SHI655424 SRE655381:SRE655424 TBA655381:TBA655424 TKW655381:TKW655424 TUS655381:TUS655424 UEO655381:UEO655424 UOK655381:UOK655424 UYG655381:UYG655424 VIC655381:VIC655424 VRY655381:VRY655424 WBU655381:WBU655424 WLQ655381:WLQ655424 WVM655381:WVM655424 C720917:C720960 JA720917:JA720960 SW720917:SW720960 ACS720917:ACS720960 AMO720917:AMO720960 AWK720917:AWK720960 BGG720917:BGG720960 BQC720917:BQC720960 BZY720917:BZY720960 CJU720917:CJU720960 CTQ720917:CTQ720960 DDM720917:DDM720960 DNI720917:DNI720960 DXE720917:DXE720960 EHA720917:EHA720960 EQW720917:EQW720960 FAS720917:FAS720960 FKO720917:FKO720960 FUK720917:FUK720960 GEG720917:GEG720960 GOC720917:GOC720960 GXY720917:GXY720960 HHU720917:HHU720960 HRQ720917:HRQ720960 IBM720917:IBM720960 ILI720917:ILI720960 IVE720917:IVE720960 JFA720917:JFA720960 JOW720917:JOW720960 JYS720917:JYS720960 KIO720917:KIO720960 KSK720917:KSK720960 LCG720917:LCG720960 LMC720917:LMC720960 LVY720917:LVY720960 MFU720917:MFU720960 MPQ720917:MPQ720960 MZM720917:MZM720960 NJI720917:NJI720960 NTE720917:NTE720960 ODA720917:ODA720960 OMW720917:OMW720960 OWS720917:OWS720960 PGO720917:PGO720960 PQK720917:PQK720960 QAG720917:QAG720960 QKC720917:QKC720960 QTY720917:QTY720960 RDU720917:RDU720960 RNQ720917:RNQ720960 RXM720917:RXM720960 SHI720917:SHI720960 SRE720917:SRE720960 TBA720917:TBA720960 TKW720917:TKW720960 TUS720917:TUS720960 UEO720917:UEO720960 UOK720917:UOK720960 UYG720917:UYG720960 VIC720917:VIC720960 VRY720917:VRY720960 WBU720917:WBU720960 WLQ720917:WLQ720960 WVM720917:WVM720960 C786453:C786496 JA786453:JA786496 SW786453:SW786496 ACS786453:ACS786496 AMO786453:AMO786496 AWK786453:AWK786496 BGG786453:BGG786496 BQC786453:BQC786496 BZY786453:BZY786496 CJU786453:CJU786496 CTQ786453:CTQ786496 DDM786453:DDM786496 DNI786453:DNI786496 DXE786453:DXE786496 EHA786453:EHA786496 EQW786453:EQW786496 FAS786453:FAS786496 FKO786453:FKO786496 FUK786453:FUK786496 GEG786453:GEG786496 GOC786453:GOC786496 GXY786453:GXY786496 HHU786453:HHU786496 HRQ786453:HRQ786496 IBM786453:IBM786496 ILI786453:ILI786496 IVE786453:IVE786496 JFA786453:JFA786496 JOW786453:JOW786496 JYS786453:JYS786496 KIO786453:KIO786496 KSK786453:KSK786496 LCG786453:LCG786496 LMC786453:LMC786496 LVY786453:LVY786496 MFU786453:MFU786496 MPQ786453:MPQ786496 MZM786453:MZM786496 NJI786453:NJI786496 NTE786453:NTE786496 ODA786453:ODA786496 OMW786453:OMW786496 OWS786453:OWS786496 PGO786453:PGO786496 PQK786453:PQK786496 QAG786453:QAG786496 QKC786453:QKC786496 QTY786453:QTY786496 RDU786453:RDU786496 RNQ786453:RNQ786496 RXM786453:RXM786496 SHI786453:SHI786496 SRE786453:SRE786496 TBA786453:TBA786496 TKW786453:TKW786496 TUS786453:TUS786496 UEO786453:UEO786496 UOK786453:UOK786496 UYG786453:UYG786496 VIC786453:VIC786496 VRY786453:VRY786496 WBU786453:WBU786496 WLQ786453:WLQ786496 WVM786453:WVM786496 C851989:C852032 JA851989:JA852032 SW851989:SW852032 ACS851989:ACS852032 AMO851989:AMO852032 AWK851989:AWK852032 BGG851989:BGG852032 BQC851989:BQC852032 BZY851989:BZY852032 CJU851989:CJU852032 CTQ851989:CTQ852032 DDM851989:DDM852032 DNI851989:DNI852032 DXE851989:DXE852032 EHA851989:EHA852032 EQW851989:EQW852032 FAS851989:FAS852032 FKO851989:FKO852032 FUK851989:FUK852032 GEG851989:GEG852032 GOC851989:GOC852032 GXY851989:GXY852032 HHU851989:HHU852032 HRQ851989:HRQ852032 IBM851989:IBM852032 ILI851989:ILI852032 IVE851989:IVE852032 JFA851989:JFA852032 JOW851989:JOW852032 JYS851989:JYS852032 KIO851989:KIO852032 KSK851989:KSK852032 LCG851989:LCG852032 LMC851989:LMC852032 LVY851989:LVY852032 MFU851989:MFU852032 MPQ851989:MPQ852032 MZM851989:MZM852032 NJI851989:NJI852032 NTE851989:NTE852032 ODA851989:ODA852032 OMW851989:OMW852032 OWS851989:OWS852032 PGO851989:PGO852032 PQK851989:PQK852032 QAG851989:QAG852032 QKC851989:QKC852032 QTY851989:QTY852032 RDU851989:RDU852032 RNQ851989:RNQ852032 RXM851989:RXM852032 SHI851989:SHI852032 SRE851989:SRE852032 TBA851989:TBA852032 TKW851989:TKW852032 TUS851989:TUS852032 UEO851989:UEO852032 UOK851989:UOK852032 UYG851989:UYG852032 VIC851989:VIC852032 VRY851989:VRY852032 WBU851989:WBU852032 WLQ851989:WLQ852032 WVM851989:WVM852032 C917525:C917568 JA917525:JA917568 SW917525:SW917568 ACS917525:ACS917568 AMO917525:AMO917568 AWK917525:AWK917568 BGG917525:BGG917568 BQC917525:BQC917568 BZY917525:BZY917568 CJU917525:CJU917568 CTQ917525:CTQ917568 DDM917525:DDM917568 DNI917525:DNI917568 DXE917525:DXE917568 EHA917525:EHA917568 EQW917525:EQW917568 FAS917525:FAS917568 FKO917525:FKO917568 FUK917525:FUK917568 GEG917525:GEG917568 GOC917525:GOC917568 GXY917525:GXY917568 HHU917525:HHU917568 HRQ917525:HRQ917568 IBM917525:IBM917568 ILI917525:ILI917568 IVE917525:IVE917568 JFA917525:JFA917568 JOW917525:JOW917568 JYS917525:JYS917568 KIO917525:KIO917568 KSK917525:KSK917568 LCG917525:LCG917568 LMC917525:LMC917568 LVY917525:LVY917568 MFU917525:MFU917568 MPQ917525:MPQ917568 MZM917525:MZM917568 NJI917525:NJI917568 NTE917525:NTE917568 ODA917525:ODA917568 OMW917525:OMW917568 OWS917525:OWS917568 PGO917525:PGO917568 PQK917525:PQK917568 QAG917525:QAG917568 QKC917525:QKC917568 QTY917525:QTY917568 RDU917525:RDU917568 RNQ917525:RNQ917568 RXM917525:RXM917568 SHI917525:SHI917568 SRE917525:SRE917568 TBA917525:TBA917568 TKW917525:TKW917568 TUS917525:TUS917568 UEO917525:UEO917568 UOK917525:UOK917568 UYG917525:UYG917568 VIC917525:VIC917568 VRY917525:VRY917568 WBU917525:WBU917568 WLQ917525:WLQ917568 WVM917525:WVM917568 C983061:C983104 JA983061:JA983104 SW983061:SW983104 ACS983061:ACS983104 AMO983061:AMO983104 AWK983061:AWK983104 BGG983061:BGG983104 BQC983061:BQC983104 BZY983061:BZY983104 CJU983061:CJU983104 CTQ983061:CTQ983104 DDM983061:DDM983104 DNI983061:DNI983104 DXE983061:DXE983104 EHA983061:EHA983104 EQW983061:EQW983104 FAS983061:FAS983104 FKO983061:FKO983104 FUK983061:FUK983104 GEG983061:GEG983104 GOC983061:GOC983104 GXY983061:GXY983104 HHU983061:HHU983104 HRQ983061:HRQ983104 IBM983061:IBM983104 ILI983061:ILI983104 IVE983061:IVE983104 JFA983061:JFA983104 JOW983061:JOW983104 JYS983061:JYS983104 KIO983061:KIO983104 KSK983061:KSK983104 LCG983061:LCG983104 LMC983061:LMC983104 LVY983061:LVY983104 MFU983061:MFU983104 MPQ983061:MPQ983104 MZM983061:MZM983104 NJI983061:NJI983104 NTE983061:NTE983104 ODA983061:ODA983104 OMW983061:OMW983104 OWS983061:OWS983104 PGO983061:PGO983104 PQK983061:PQK983104 QAG983061:QAG983104 QKC983061:QKC983104 QTY983061:QTY983104 RDU983061:RDU983104 RNQ983061:RNQ983104 RXM983061:RXM983104 SHI983061:SHI983104 SRE983061:SRE983104 TBA983061:TBA983104 TKW983061:TKW983104 TUS983061:TUS983104 UEO983061:UEO983104 UOK983061:UOK983104 UYG983061:UYG983104 VIC983061:VIC983104 VRY983061:VRY983104 WBU983061:WBU983104 WLQ983061:WLQ983104 WVM20:WVM64 WLQ20:WLQ64 WBU20:WBU64 VRY20:VRY64 VIC20:VIC64 UYG20:UYG64 UOK20:UOK64 UEO20:UEO64 TUS20:TUS64 TKW20:TKW64 TBA20:TBA64 SRE20:SRE64 SHI20:SHI64 RXM20:RXM64 RNQ20:RNQ64 RDU20:RDU64 QTY20:QTY64 QKC20:QKC64 QAG20:QAG64 PQK20:PQK64 PGO20:PGO64 OWS20:OWS64 OMW20:OMW64 ODA20:ODA64 NTE20:NTE64 NJI20:NJI64 MZM20:MZM64 MPQ20:MPQ64 MFU20:MFU64 LVY20:LVY64 LMC20:LMC64 LCG20:LCG64 KSK20:KSK64 KIO20:KIO64 JYS20:JYS64 JOW20:JOW64 JFA20:JFA64 IVE20:IVE64 ILI20:ILI64 IBM20:IBM64 HRQ20:HRQ64 HHU20:HHU64 GXY20:GXY64 GOC20:GOC64 GEG20:GEG64 FUK20:FUK64 FKO20:FKO64 FAS20:FAS64 EQW20:EQW64 EHA20:EHA64 DXE20:DXE64 DNI20:DNI64 DDM20:DDM64 CTQ20:CTQ64 CJU20:CJU64 BZY20:BZY64 BQC20:BQC64 BGG20:BGG64 AWK20:AWK64 AMO20:AMO64 ACS20:ACS64 SW20:SW64 JA20:JA64 C20:C64 WVM74:WVM118 WLQ74:WLQ118 WBU74:WBU118 VRY74:VRY118 VIC74:VIC118 UYG74:UYG118 UOK74:UOK118 UEO74:UEO118 TUS74:TUS118 TKW74:TKW118 TBA74:TBA118 SRE74:SRE118 SHI74:SHI118 RXM74:RXM118 RNQ74:RNQ118 RDU74:RDU118 QTY74:QTY118 QKC74:QKC118 QAG74:QAG118 PQK74:PQK118 PGO74:PGO118 OWS74:OWS118 OMW74:OMW118 ODA74:ODA118 NTE74:NTE118 NJI74:NJI118 MZM74:MZM118 MPQ74:MPQ118 MFU74:MFU118 LVY74:LVY118 LMC74:LMC118 LCG74:LCG118 KSK74:KSK118 KIO74:KIO118 JYS74:JYS118 JOW74:JOW118 JFA74:JFA118 IVE74:IVE118 ILI74:ILI118 IBM74:IBM118 HRQ74:HRQ118 HHU74:HHU118 GXY74:GXY118 GOC74:GOC118 GEG74:GEG118 FUK74:FUK118 FKO74:FKO118 FAS74:FAS118 EQW74:EQW118 EHA74:EHA118 DXE74:DXE118 DNI74:DNI118 DDM74:DDM118 CTQ74:CTQ118 CJU74:CJU118 BZY74:BZY118 BQC74:BQC118 BGG74:BGG118 AWK74:AWK118 AMO74:AMO118 ACS74:ACS118 SW74:SW118 JA74:JA118 C74:C118" xr:uid="{E6DCB3DE-878F-49AF-ABDC-69E6EC3203C6}">
      <formula1>0</formula1>
    </dataValidation>
    <dataValidation type="decimal" operator="lessThanOrEqual" allowBlank="1" showInputMessage="1" showErrorMessage="1" errorTitle="Positief bedrag" error="Gelieve een negatief bedrag in te geven" sqref="F65557:H65600 JD65557:JD65600 SZ65557:SZ65600 ACV65557:ACV65600 AMR65557:AMR65600 AWN65557:AWN65600 BGJ65557:BGJ65600 BQF65557:BQF65600 CAB65557:CAB65600 CJX65557:CJX65600 CTT65557:CTT65600 DDP65557:DDP65600 DNL65557:DNL65600 DXH65557:DXH65600 EHD65557:EHD65600 EQZ65557:EQZ65600 FAV65557:FAV65600 FKR65557:FKR65600 FUN65557:FUN65600 GEJ65557:GEJ65600 GOF65557:GOF65600 GYB65557:GYB65600 HHX65557:HHX65600 HRT65557:HRT65600 IBP65557:IBP65600 ILL65557:ILL65600 IVH65557:IVH65600 JFD65557:JFD65600 JOZ65557:JOZ65600 JYV65557:JYV65600 KIR65557:KIR65600 KSN65557:KSN65600 LCJ65557:LCJ65600 LMF65557:LMF65600 LWB65557:LWB65600 MFX65557:MFX65600 MPT65557:MPT65600 MZP65557:MZP65600 NJL65557:NJL65600 NTH65557:NTH65600 ODD65557:ODD65600 OMZ65557:OMZ65600 OWV65557:OWV65600 PGR65557:PGR65600 PQN65557:PQN65600 QAJ65557:QAJ65600 QKF65557:QKF65600 QUB65557:QUB65600 RDX65557:RDX65600 RNT65557:RNT65600 RXP65557:RXP65600 SHL65557:SHL65600 SRH65557:SRH65600 TBD65557:TBD65600 TKZ65557:TKZ65600 TUV65557:TUV65600 UER65557:UER65600 UON65557:UON65600 UYJ65557:UYJ65600 VIF65557:VIF65600 VSB65557:VSB65600 WBX65557:WBX65600 WLT65557:WLT65600 WVP65557:WVP65600 F131093:H131136 JD131093:JD131136 SZ131093:SZ131136 ACV131093:ACV131136 AMR131093:AMR131136 AWN131093:AWN131136 BGJ131093:BGJ131136 BQF131093:BQF131136 CAB131093:CAB131136 CJX131093:CJX131136 CTT131093:CTT131136 DDP131093:DDP131136 DNL131093:DNL131136 DXH131093:DXH131136 EHD131093:EHD131136 EQZ131093:EQZ131136 FAV131093:FAV131136 FKR131093:FKR131136 FUN131093:FUN131136 GEJ131093:GEJ131136 GOF131093:GOF131136 GYB131093:GYB131136 HHX131093:HHX131136 HRT131093:HRT131136 IBP131093:IBP131136 ILL131093:ILL131136 IVH131093:IVH131136 JFD131093:JFD131136 JOZ131093:JOZ131136 JYV131093:JYV131136 KIR131093:KIR131136 KSN131093:KSN131136 LCJ131093:LCJ131136 LMF131093:LMF131136 LWB131093:LWB131136 MFX131093:MFX131136 MPT131093:MPT131136 MZP131093:MZP131136 NJL131093:NJL131136 NTH131093:NTH131136 ODD131093:ODD131136 OMZ131093:OMZ131136 OWV131093:OWV131136 PGR131093:PGR131136 PQN131093:PQN131136 QAJ131093:QAJ131136 QKF131093:QKF131136 QUB131093:QUB131136 RDX131093:RDX131136 RNT131093:RNT131136 RXP131093:RXP131136 SHL131093:SHL131136 SRH131093:SRH131136 TBD131093:TBD131136 TKZ131093:TKZ131136 TUV131093:TUV131136 UER131093:UER131136 UON131093:UON131136 UYJ131093:UYJ131136 VIF131093:VIF131136 VSB131093:VSB131136 WBX131093:WBX131136 WLT131093:WLT131136 WVP131093:WVP131136 F196629:H196672 JD196629:JD196672 SZ196629:SZ196672 ACV196629:ACV196672 AMR196629:AMR196672 AWN196629:AWN196672 BGJ196629:BGJ196672 BQF196629:BQF196672 CAB196629:CAB196672 CJX196629:CJX196672 CTT196629:CTT196672 DDP196629:DDP196672 DNL196629:DNL196672 DXH196629:DXH196672 EHD196629:EHD196672 EQZ196629:EQZ196672 FAV196629:FAV196672 FKR196629:FKR196672 FUN196629:FUN196672 GEJ196629:GEJ196672 GOF196629:GOF196672 GYB196629:GYB196672 HHX196629:HHX196672 HRT196629:HRT196672 IBP196629:IBP196672 ILL196629:ILL196672 IVH196629:IVH196672 JFD196629:JFD196672 JOZ196629:JOZ196672 JYV196629:JYV196672 KIR196629:KIR196672 KSN196629:KSN196672 LCJ196629:LCJ196672 LMF196629:LMF196672 LWB196629:LWB196672 MFX196629:MFX196672 MPT196629:MPT196672 MZP196629:MZP196672 NJL196629:NJL196672 NTH196629:NTH196672 ODD196629:ODD196672 OMZ196629:OMZ196672 OWV196629:OWV196672 PGR196629:PGR196672 PQN196629:PQN196672 QAJ196629:QAJ196672 QKF196629:QKF196672 QUB196629:QUB196672 RDX196629:RDX196672 RNT196629:RNT196672 RXP196629:RXP196672 SHL196629:SHL196672 SRH196629:SRH196672 TBD196629:TBD196672 TKZ196629:TKZ196672 TUV196629:TUV196672 UER196629:UER196672 UON196629:UON196672 UYJ196629:UYJ196672 VIF196629:VIF196672 VSB196629:VSB196672 WBX196629:WBX196672 WLT196629:WLT196672 WVP196629:WVP196672 F262165:H262208 JD262165:JD262208 SZ262165:SZ262208 ACV262165:ACV262208 AMR262165:AMR262208 AWN262165:AWN262208 BGJ262165:BGJ262208 BQF262165:BQF262208 CAB262165:CAB262208 CJX262165:CJX262208 CTT262165:CTT262208 DDP262165:DDP262208 DNL262165:DNL262208 DXH262165:DXH262208 EHD262165:EHD262208 EQZ262165:EQZ262208 FAV262165:FAV262208 FKR262165:FKR262208 FUN262165:FUN262208 GEJ262165:GEJ262208 GOF262165:GOF262208 GYB262165:GYB262208 HHX262165:HHX262208 HRT262165:HRT262208 IBP262165:IBP262208 ILL262165:ILL262208 IVH262165:IVH262208 JFD262165:JFD262208 JOZ262165:JOZ262208 JYV262165:JYV262208 KIR262165:KIR262208 KSN262165:KSN262208 LCJ262165:LCJ262208 LMF262165:LMF262208 LWB262165:LWB262208 MFX262165:MFX262208 MPT262165:MPT262208 MZP262165:MZP262208 NJL262165:NJL262208 NTH262165:NTH262208 ODD262165:ODD262208 OMZ262165:OMZ262208 OWV262165:OWV262208 PGR262165:PGR262208 PQN262165:PQN262208 QAJ262165:QAJ262208 QKF262165:QKF262208 QUB262165:QUB262208 RDX262165:RDX262208 RNT262165:RNT262208 RXP262165:RXP262208 SHL262165:SHL262208 SRH262165:SRH262208 TBD262165:TBD262208 TKZ262165:TKZ262208 TUV262165:TUV262208 UER262165:UER262208 UON262165:UON262208 UYJ262165:UYJ262208 VIF262165:VIF262208 VSB262165:VSB262208 WBX262165:WBX262208 WLT262165:WLT262208 WVP262165:WVP262208 F327701:H327744 JD327701:JD327744 SZ327701:SZ327744 ACV327701:ACV327744 AMR327701:AMR327744 AWN327701:AWN327744 BGJ327701:BGJ327744 BQF327701:BQF327744 CAB327701:CAB327744 CJX327701:CJX327744 CTT327701:CTT327744 DDP327701:DDP327744 DNL327701:DNL327744 DXH327701:DXH327744 EHD327701:EHD327744 EQZ327701:EQZ327744 FAV327701:FAV327744 FKR327701:FKR327744 FUN327701:FUN327744 GEJ327701:GEJ327744 GOF327701:GOF327744 GYB327701:GYB327744 HHX327701:HHX327744 HRT327701:HRT327744 IBP327701:IBP327744 ILL327701:ILL327744 IVH327701:IVH327744 JFD327701:JFD327744 JOZ327701:JOZ327744 JYV327701:JYV327744 KIR327701:KIR327744 KSN327701:KSN327744 LCJ327701:LCJ327744 LMF327701:LMF327744 LWB327701:LWB327744 MFX327701:MFX327744 MPT327701:MPT327744 MZP327701:MZP327744 NJL327701:NJL327744 NTH327701:NTH327744 ODD327701:ODD327744 OMZ327701:OMZ327744 OWV327701:OWV327744 PGR327701:PGR327744 PQN327701:PQN327744 QAJ327701:QAJ327744 QKF327701:QKF327744 QUB327701:QUB327744 RDX327701:RDX327744 RNT327701:RNT327744 RXP327701:RXP327744 SHL327701:SHL327744 SRH327701:SRH327744 TBD327701:TBD327744 TKZ327701:TKZ327744 TUV327701:TUV327744 UER327701:UER327744 UON327701:UON327744 UYJ327701:UYJ327744 VIF327701:VIF327744 VSB327701:VSB327744 WBX327701:WBX327744 WLT327701:WLT327744 WVP327701:WVP327744 F393237:H393280 JD393237:JD393280 SZ393237:SZ393280 ACV393237:ACV393280 AMR393237:AMR393280 AWN393237:AWN393280 BGJ393237:BGJ393280 BQF393237:BQF393280 CAB393237:CAB393280 CJX393237:CJX393280 CTT393237:CTT393280 DDP393237:DDP393280 DNL393237:DNL393280 DXH393237:DXH393280 EHD393237:EHD393280 EQZ393237:EQZ393280 FAV393237:FAV393280 FKR393237:FKR393280 FUN393237:FUN393280 GEJ393237:GEJ393280 GOF393237:GOF393280 GYB393237:GYB393280 HHX393237:HHX393280 HRT393237:HRT393280 IBP393237:IBP393280 ILL393237:ILL393280 IVH393237:IVH393280 JFD393237:JFD393280 JOZ393237:JOZ393280 JYV393237:JYV393280 KIR393237:KIR393280 KSN393237:KSN393280 LCJ393237:LCJ393280 LMF393237:LMF393280 LWB393237:LWB393280 MFX393237:MFX393280 MPT393237:MPT393280 MZP393237:MZP393280 NJL393237:NJL393280 NTH393237:NTH393280 ODD393237:ODD393280 OMZ393237:OMZ393280 OWV393237:OWV393280 PGR393237:PGR393280 PQN393237:PQN393280 QAJ393237:QAJ393280 QKF393237:QKF393280 QUB393237:QUB393280 RDX393237:RDX393280 RNT393237:RNT393280 RXP393237:RXP393280 SHL393237:SHL393280 SRH393237:SRH393280 TBD393237:TBD393280 TKZ393237:TKZ393280 TUV393237:TUV393280 UER393237:UER393280 UON393237:UON393280 UYJ393237:UYJ393280 VIF393237:VIF393280 VSB393237:VSB393280 WBX393237:WBX393280 WLT393237:WLT393280 WVP393237:WVP393280 F458773:H458816 JD458773:JD458816 SZ458773:SZ458816 ACV458773:ACV458816 AMR458773:AMR458816 AWN458773:AWN458816 BGJ458773:BGJ458816 BQF458773:BQF458816 CAB458773:CAB458816 CJX458773:CJX458816 CTT458773:CTT458816 DDP458773:DDP458816 DNL458773:DNL458816 DXH458773:DXH458816 EHD458773:EHD458816 EQZ458773:EQZ458816 FAV458773:FAV458816 FKR458773:FKR458816 FUN458773:FUN458816 GEJ458773:GEJ458816 GOF458773:GOF458816 GYB458773:GYB458816 HHX458773:HHX458816 HRT458773:HRT458816 IBP458773:IBP458816 ILL458773:ILL458816 IVH458773:IVH458816 JFD458773:JFD458816 JOZ458773:JOZ458816 JYV458773:JYV458816 KIR458773:KIR458816 KSN458773:KSN458816 LCJ458773:LCJ458816 LMF458773:LMF458816 LWB458773:LWB458816 MFX458773:MFX458816 MPT458773:MPT458816 MZP458773:MZP458816 NJL458773:NJL458816 NTH458773:NTH458816 ODD458773:ODD458816 OMZ458773:OMZ458816 OWV458773:OWV458816 PGR458773:PGR458816 PQN458773:PQN458816 QAJ458773:QAJ458816 QKF458773:QKF458816 QUB458773:QUB458816 RDX458773:RDX458816 RNT458773:RNT458816 RXP458773:RXP458816 SHL458773:SHL458816 SRH458773:SRH458816 TBD458773:TBD458816 TKZ458773:TKZ458816 TUV458773:TUV458816 UER458773:UER458816 UON458773:UON458816 UYJ458773:UYJ458816 VIF458773:VIF458816 VSB458773:VSB458816 WBX458773:WBX458816 WLT458773:WLT458816 WVP458773:WVP458816 F524309:H524352 JD524309:JD524352 SZ524309:SZ524352 ACV524309:ACV524352 AMR524309:AMR524352 AWN524309:AWN524352 BGJ524309:BGJ524352 BQF524309:BQF524352 CAB524309:CAB524352 CJX524309:CJX524352 CTT524309:CTT524352 DDP524309:DDP524352 DNL524309:DNL524352 DXH524309:DXH524352 EHD524309:EHD524352 EQZ524309:EQZ524352 FAV524309:FAV524352 FKR524309:FKR524352 FUN524309:FUN524352 GEJ524309:GEJ524352 GOF524309:GOF524352 GYB524309:GYB524352 HHX524309:HHX524352 HRT524309:HRT524352 IBP524309:IBP524352 ILL524309:ILL524352 IVH524309:IVH524352 JFD524309:JFD524352 JOZ524309:JOZ524352 JYV524309:JYV524352 KIR524309:KIR524352 KSN524309:KSN524352 LCJ524309:LCJ524352 LMF524309:LMF524352 LWB524309:LWB524352 MFX524309:MFX524352 MPT524309:MPT524352 MZP524309:MZP524352 NJL524309:NJL524352 NTH524309:NTH524352 ODD524309:ODD524352 OMZ524309:OMZ524352 OWV524309:OWV524352 PGR524309:PGR524352 PQN524309:PQN524352 QAJ524309:QAJ524352 QKF524309:QKF524352 QUB524309:QUB524352 RDX524309:RDX524352 RNT524309:RNT524352 RXP524309:RXP524352 SHL524309:SHL524352 SRH524309:SRH524352 TBD524309:TBD524352 TKZ524309:TKZ524352 TUV524309:TUV524352 UER524309:UER524352 UON524309:UON524352 UYJ524309:UYJ524352 VIF524309:VIF524352 VSB524309:VSB524352 WBX524309:WBX524352 WLT524309:WLT524352 WVP524309:WVP524352 F589845:H589888 JD589845:JD589888 SZ589845:SZ589888 ACV589845:ACV589888 AMR589845:AMR589888 AWN589845:AWN589888 BGJ589845:BGJ589888 BQF589845:BQF589888 CAB589845:CAB589888 CJX589845:CJX589888 CTT589845:CTT589888 DDP589845:DDP589888 DNL589845:DNL589888 DXH589845:DXH589888 EHD589845:EHD589888 EQZ589845:EQZ589888 FAV589845:FAV589888 FKR589845:FKR589888 FUN589845:FUN589888 GEJ589845:GEJ589888 GOF589845:GOF589888 GYB589845:GYB589888 HHX589845:HHX589888 HRT589845:HRT589888 IBP589845:IBP589888 ILL589845:ILL589888 IVH589845:IVH589888 JFD589845:JFD589888 JOZ589845:JOZ589888 JYV589845:JYV589888 KIR589845:KIR589888 KSN589845:KSN589888 LCJ589845:LCJ589888 LMF589845:LMF589888 LWB589845:LWB589888 MFX589845:MFX589888 MPT589845:MPT589888 MZP589845:MZP589888 NJL589845:NJL589888 NTH589845:NTH589888 ODD589845:ODD589888 OMZ589845:OMZ589888 OWV589845:OWV589888 PGR589845:PGR589888 PQN589845:PQN589888 QAJ589845:QAJ589888 QKF589845:QKF589888 QUB589845:QUB589888 RDX589845:RDX589888 RNT589845:RNT589888 RXP589845:RXP589888 SHL589845:SHL589888 SRH589845:SRH589888 TBD589845:TBD589888 TKZ589845:TKZ589888 TUV589845:TUV589888 UER589845:UER589888 UON589845:UON589888 UYJ589845:UYJ589888 VIF589845:VIF589888 VSB589845:VSB589888 WBX589845:WBX589888 WLT589845:WLT589888 WVP589845:WVP589888 F655381:H655424 JD655381:JD655424 SZ655381:SZ655424 ACV655381:ACV655424 AMR655381:AMR655424 AWN655381:AWN655424 BGJ655381:BGJ655424 BQF655381:BQF655424 CAB655381:CAB655424 CJX655381:CJX655424 CTT655381:CTT655424 DDP655381:DDP655424 DNL655381:DNL655424 DXH655381:DXH655424 EHD655381:EHD655424 EQZ655381:EQZ655424 FAV655381:FAV655424 FKR655381:FKR655424 FUN655381:FUN655424 GEJ655381:GEJ655424 GOF655381:GOF655424 GYB655381:GYB655424 HHX655381:HHX655424 HRT655381:HRT655424 IBP655381:IBP655424 ILL655381:ILL655424 IVH655381:IVH655424 JFD655381:JFD655424 JOZ655381:JOZ655424 JYV655381:JYV655424 KIR655381:KIR655424 KSN655381:KSN655424 LCJ655381:LCJ655424 LMF655381:LMF655424 LWB655381:LWB655424 MFX655381:MFX655424 MPT655381:MPT655424 MZP655381:MZP655424 NJL655381:NJL655424 NTH655381:NTH655424 ODD655381:ODD655424 OMZ655381:OMZ655424 OWV655381:OWV655424 PGR655381:PGR655424 PQN655381:PQN655424 QAJ655381:QAJ655424 QKF655381:QKF655424 QUB655381:QUB655424 RDX655381:RDX655424 RNT655381:RNT655424 RXP655381:RXP655424 SHL655381:SHL655424 SRH655381:SRH655424 TBD655381:TBD655424 TKZ655381:TKZ655424 TUV655381:TUV655424 UER655381:UER655424 UON655381:UON655424 UYJ655381:UYJ655424 VIF655381:VIF655424 VSB655381:VSB655424 WBX655381:WBX655424 WLT655381:WLT655424 WVP655381:WVP655424 F720917:H720960 JD720917:JD720960 SZ720917:SZ720960 ACV720917:ACV720960 AMR720917:AMR720960 AWN720917:AWN720960 BGJ720917:BGJ720960 BQF720917:BQF720960 CAB720917:CAB720960 CJX720917:CJX720960 CTT720917:CTT720960 DDP720917:DDP720960 DNL720917:DNL720960 DXH720917:DXH720960 EHD720917:EHD720960 EQZ720917:EQZ720960 FAV720917:FAV720960 FKR720917:FKR720960 FUN720917:FUN720960 GEJ720917:GEJ720960 GOF720917:GOF720960 GYB720917:GYB720960 HHX720917:HHX720960 HRT720917:HRT720960 IBP720917:IBP720960 ILL720917:ILL720960 IVH720917:IVH720960 JFD720917:JFD720960 JOZ720917:JOZ720960 JYV720917:JYV720960 KIR720917:KIR720960 KSN720917:KSN720960 LCJ720917:LCJ720960 LMF720917:LMF720960 LWB720917:LWB720960 MFX720917:MFX720960 MPT720917:MPT720960 MZP720917:MZP720960 NJL720917:NJL720960 NTH720917:NTH720960 ODD720917:ODD720960 OMZ720917:OMZ720960 OWV720917:OWV720960 PGR720917:PGR720960 PQN720917:PQN720960 QAJ720917:QAJ720960 QKF720917:QKF720960 QUB720917:QUB720960 RDX720917:RDX720960 RNT720917:RNT720960 RXP720917:RXP720960 SHL720917:SHL720960 SRH720917:SRH720960 TBD720917:TBD720960 TKZ720917:TKZ720960 TUV720917:TUV720960 UER720917:UER720960 UON720917:UON720960 UYJ720917:UYJ720960 VIF720917:VIF720960 VSB720917:VSB720960 WBX720917:WBX720960 WLT720917:WLT720960 WVP720917:WVP720960 F786453:H786496 JD786453:JD786496 SZ786453:SZ786496 ACV786453:ACV786496 AMR786453:AMR786496 AWN786453:AWN786496 BGJ786453:BGJ786496 BQF786453:BQF786496 CAB786453:CAB786496 CJX786453:CJX786496 CTT786453:CTT786496 DDP786453:DDP786496 DNL786453:DNL786496 DXH786453:DXH786496 EHD786453:EHD786496 EQZ786453:EQZ786496 FAV786453:FAV786496 FKR786453:FKR786496 FUN786453:FUN786496 GEJ786453:GEJ786496 GOF786453:GOF786496 GYB786453:GYB786496 HHX786453:HHX786496 HRT786453:HRT786496 IBP786453:IBP786496 ILL786453:ILL786496 IVH786453:IVH786496 JFD786453:JFD786496 JOZ786453:JOZ786496 JYV786453:JYV786496 KIR786453:KIR786496 KSN786453:KSN786496 LCJ786453:LCJ786496 LMF786453:LMF786496 LWB786453:LWB786496 MFX786453:MFX786496 MPT786453:MPT786496 MZP786453:MZP786496 NJL786453:NJL786496 NTH786453:NTH786496 ODD786453:ODD786496 OMZ786453:OMZ786496 OWV786453:OWV786496 PGR786453:PGR786496 PQN786453:PQN786496 QAJ786453:QAJ786496 QKF786453:QKF786496 QUB786453:QUB786496 RDX786453:RDX786496 RNT786453:RNT786496 RXP786453:RXP786496 SHL786453:SHL786496 SRH786453:SRH786496 TBD786453:TBD786496 TKZ786453:TKZ786496 TUV786453:TUV786496 UER786453:UER786496 UON786453:UON786496 UYJ786453:UYJ786496 VIF786453:VIF786496 VSB786453:VSB786496 WBX786453:WBX786496 WLT786453:WLT786496 WVP786453:WVP786496 F851989:H852032 JD851989:JD852032 SZ851989:SZ852032 ACV851989:ACV852032 AMR851989:AMR852032 AWN851989:AWN852032 BGJ851989:BGJ852032 BQF851989:BQF852032 CAB851989:CAB852032 CJX851989:CJX852032 CTT851989:CTT852032 DDP851989:DDP852032 DNL851989:DNL852032 DXH851989:DXH852032 EHD851989:EHD852032 EQZ851989:EQZ852032 FAV851989:FAV852032 FKR851989:FKR852032 FUN851989:FUN852032 GEJ851989:GEJ852032 GOF851989:GOF852032 GYB851989:GYB852032 HHX851989:HHX852032 HRT851989:HRT852032 IBP851989:IBP852032 ILL851989:ILL852032 IVH851989:IVH852032 JFD851989:JFD852032 JOZ851989:JOZ852032 JYV851989:JYV852032 KIR851989:KIR852032 KSN851989:KSN852032 LCJ851989:LCJ852032 LMF851989:LMF852032 LWB851989:LWB852032 MFX851989:MFX852032 MPT851989:MPT852032 MZP851989:MZP852032 NJL851989:NJL852032 NTH851989:NTH852032 ODD851989:ODD852032 OMZ851989:OMZ852032 OWV851989:OWV852032 PGR851989:PGR852032 PQN851989:PQN852032 QAJ851989:QAJ852032 QKF851989:QKF852032 QUB851989:QUB852032 RDX851989:RDX852032 RNT851989:RNT852032 RXP851989:RXP852032 SHL851989:SHL852032 SRH851989:SRH852032 TBD851989:TBD852032 TKZ851989:TKZ852032 TUV851989:TUV852032 UER851989:UER852032 UON851989:UON852032 UYJ851989:UYJ852032 VIF851989:VIF852032 VSB851989:VSB852032 WBX851989:WBX852032 WLT851989:WLT852032 WVP851989:WVP852032 F917525:H917568 JD917525:JD917568 SZ917525:SZ917568 ACV917525:ACV917568 AMR917525:AMR917568 AWN917525:AWN917568 BGJ917525:BGJ917568 BQF917525:BQF917568 CAB917525:CAB917568 CJX917525:CJX917568 CTT917525:CTT917568 DDP917525:DDP917568 DNL917525:DNL917568 DXH917525:DXH917568 EHD917525:EHD917568 EQZ917525:EQZ917568 FAV917525:FAV917568 FKR917525:FKR917568 FUN917525:FUN917568 GEJ917525:GEJ917568 GOF917525:GOF917568 GYB917525:GYB917568 HHX917525:HHX917568 HRT917525:HRT917568 IBP917525:IBP917568 ILL917525:ILL917568 IVH917525:IVH917568 JFD917525:JFD917568 JOZ917525:JOZ917568 JYV917525:JYV917568 KIR917525:KIR917568 KSN917525:KSN917568 LCJ917525:LCJ917568 LMF917525:LMF917568 LWB917525:LWB917568 MFX917525:MFX917568 MPT917525:MPT917568 MZP917525:MZP917568 NJL917525:NJL917568 NTH917525:NTH917568 ODD917525:ODD917568 OMZ917525:OMZ917568 OWV917525:OWV917568 PGR917525:PGR917568 PQN917525:PQN917568 QAJ917525:QAJ917568 QKF917525:QKF917568 QUB917525:QUB917568 RDX917525:RDX917568 RNT917525:RNT917568 RXP917525:RXP917568 SHL917525:SHL917568 SRH917525:SRH917568 TBD917525:TBD917568 TKZ917525:TKZ917568 TUV917525:TUV917568 UER917525:UER917568 UON917525:UON917568 UYJ917525:UYJ917568 VIF917525:VIF917568 VSB917525:VSB917568 WBX917525:WBX917568 WLT917525:WLT917568 WVP917525:WVP917568 F983061:H983104 JD983061:JD983104 SZ983061:SZ983104 ACV983061:ACV983104 AMR983061:AMR983104 AWN983061:AWN983104 BGJ983061:BGJ983104 BQF983061:BQF983104 CAB983061:CAB983104 CJX983061:CJX983104 CTT983061:CTT983104 DDP983061:DDP983104 DNL983061:DNL983104 DXH983061:DXH983104 EHD983061:EHD983104 EQZ983061:EQZ983104 FAV983061:FAV983104 FKR983061:FKR983104 FUN983061:FUN983104 GEJ983061:GEJ983104 GOF983061:GOF983104 GYB983061:GYB983104 HHX983061:HHX983104 HRT983061:HRT983104 IBP983061:IBP983104 ILL983061:ILL983104 IVH983061:IVH983104 JFD983061:JFD983104 JOZ983061:JOZ983104 JYV983061:JYV983104 KIR983061:KIR983104 KSN983061:KSN983104 LCJ983061:LCJ983104 LMF983061:LMF983104 LWB983061:LWB983104 MFX983061:MFX983104 MPT983061:MPT983104 MZP983061:MZP983104 NJL983061:NJL983104 NTH983061:NTH983104 ODD983061:ODD983104 OMZ983061:OMZ983104 OWV983061:OWV983104 PGR983061:PGR983104 PQN983061:PQN983104 QAJ983061:QAJ983104 QKF983061:QKF983104 QUB983061:QUB983104 RDX983061:RDX983104 RNT983061:RNT983104 RXP983061:RXP983104 SHL983061:SHL983104 SRH983061:SRH983104 TBD983061:TBD983104 TKZ983061:TKZ983104 TUV983061:TUV983104 UER983061:UER983104 UON983061:UON983104 UYJ983061:UYJ983104 VIF983061:VIF983104 VSB983061:VSB983104 WBX983061:WBX983104 WLT983061:WLT983104 WVP983061:WVP983104 WVN983061:WVN983104 D65557:D65600 JB65557:JB65600 SX65557:SX65600 ACT65557:ACT65600 AMP65557:AMP65600 AWL65557:AWL65600 BGH65557:BGH65600 BQD65557:BQD65600 BZZ65557:BZZ65600 CJV65557:CJV65600 CTR65557:CTR65600 DDN65557:DDN65600 DNJ65557:DNJ65600 DXF65557:DXF65600 EHB65557:EHB65600 EQX65557:EQX65600 FAT65557:FAT65600 FKP65557:FKP65600 FUL65557:FUL65600 GEH65557:GEH65600 GOD65557:GOD65600 GXZ65557:GXZ65600 HHV65557:HHV65600 HRR65557:HRR65600 IBN65557:IBN65600 ILJ65557:ILJ65600 IVF65557:IVF65600 JFB65557:JFB65600 JOX65557:JOX65600 JYT65557:JYT65600 KIP65557:KIP65600 KSL65557:KSL65600 LCH65557:LCH65600 LMD65557:LMD65600 LVZ65557:LVZ65600 MFV65557:MFV65600 MPR65557:MPR65600 MZN65557:MZN65600 NJJ65557:NJJ65600 NTF65557:NTF65600 ODB65557:ODB65600 OMX65557:OMX65600 OWT65557:OWT65600 PGP65557:PGP65600 PQL65557:PQL65600 QAH65557:QAH65600 QKD65557:QKD65600 QTZ65557:QTZ65600 RDV65557:RDV65600 RNR65557:RNR65600 RXN65557:RXN65600 SHJ65557:SHJ65600 SRF65557:SRF65600 TBB65557:TBB65600 TKX65557:TKX65600 TUT65557:TUT65600 UEP65557:UEP65600 UOL65557:UOL65600 UYH65557:UYH65600 VID65557:VID65600 VRZ65557:VRZ65600 WBV65557:WBV65600 WLR65557:WLR65600 WVN65557:WVN65600 D131093:D131136 JB131093:JB131136 SX131093:SX131136 ACT131093:ACT131136 AMP131093:AMP131136 AWL131093:AWL131136 BGH131093:BGH131136 BQD131093:BQD131136 BZZ131093:BZZ131136 CJV131093:CJV131136 CTR131093:CTR131136 DDN131093:DDN131136 DNJ131093:DNJ131136 DXF131093:DXF131136 EHB131093:EHB131136 EQX131093:EQX131136 FAT131093:FAT131136 FKP131093:FKP131136 FUL131093:FUL131136 GEH131093:GEH131136 GOD131093:GOD131136 GXZ131093:GXZ131136 HHV131093:HHV131136 HRR131093:HRR131136 IBN131093:IBN131136 ILJ131093:ILJ131136 IVF131093:IVF131136 JFB131093:JFB131136 JOX131093:JOX131136 JYT131093:JYT131136 KIP131093:KIP131136 KSL131093:KSL131136 LCH131093:LCH131136 LMD131093:LMD131136 LVZ131093:LVZ131136 MFV131093:MFV131136 MPR131093:MPR131136 MZN131093:MZN131136 NJJ131093:NJJ131136 NTF131093:NTF131136 ODB131093:ODB131136 OMX131093:OMX131136 OWT131093:OWT131136 PGP131093:PGP131136 PQL131093:PQL131136 QAH131093:QAH131136 QKD131093:QKD131136 QTZ131093:QTZ131136 RDV131093:RDV131136 RNR131093:RNR131136 RXN131093:RXN131136 SHJ131093:SHJ131136 SRF131093:SRF131136 TBB131093:TBB131136 TKX131093:TKX131136 TUT131093:TUT131136 UEP131093:UEP131136 UOL131093:UOL131136 UYH131093:UYH131136 VID131093:VID131136 VRZ131093:VRZ131136 WBV131093:WBV131136 WLR131093:WLR131136 WVN131093:WVN131136 D196629:D196672 JB196629:JB196672 SX196629:SX196672 ACT196629:ACT196672 AMP196629:AMP196672 AWL196629:AWL196672 BGH196629:BGH196672 BQD196629:BQD196672 BZZ196629:BZZ196672 CJV196629:CJV196672 CTR196629:CTR196672 DDN196629:DDN196672 DNJ196629:DNJ196672 DXF196629:DXF196672 EHB196629:EHB196672 EQX196629:EQX196672 FAT196629:FAT196672 FKP196629:FKP196672 FUL196629:FUL196672 GEH196629:GEH196672 GOD196629:GOD196672 GXZ196629:GXZ196672 HHV196629:HHV196672 HRR196629:HRR196672 IBN196629:IBN196672 ILJ196629:ILJ196672 IVF196629:IVF196672 JFB196629:JFB196672 JOX196629:JOX196672 JYT196629:JYT196672 KIP196629:KIP196672 KSL196629:KSL196672 LCH196629:LCH196672 LMD196629:LMD196672 LVZ196629:LVZ196672 MFV196629:MFV196672 MPR196629:MPR196672 MZN196629:MZN196672 NJJ196629:NJJ196672 NTF196629:NTF196672 ODB196629:ODB196672 OMX196629:OMX196672 OWT196629:OWT196672 PGP196629:PGP196672 PQL196629:PQL196672 QAH196629:QAH196672 QKD196629:QKD196672 QTZ196629:QTZ196672 RDV196629:RDV196672 RNR196629:RNR196672 RXN196629:RXN196672 SHJ196629:SHJ196672 SRF196629:SRF196672 TBB196629:TBB196672 TKX196629:TKX196672 TUT196629:TUT196672 UEP196629:UEP196672 UOL196629:UOL196672 UYH196629:UYH196672 VID196629:VID196672 VRZ196629:VRZ196672 WBV196629:WBV196672 WLR196629:WLR196672 WVN196629:WVN196672 D262165:D262208 JB262165:JB262208 SX262165:SX262208 ACT262165:ACT262208 AMP262165:AMP262208 AWL262165:AWL262208 BGH262165:BGH262208 BQD262165:BQD262208 BZZ262165:BZZ262208 CJV262165:CJV262208 CTR262165:CTR262208 DDN262165:DDN262208 DNJ262165:DNJ262208 DXF262165:DXF262208 EHB262165:EHB262208 EQX262165:EQX262208 FAT262165:FAT262208 FKP262165:FKP262208 FUL262165:FUL262208 GEH262165:GEH262208 GOD262165:GOD262208 GXZ262165:GXZ262208 HHV262165:HHV262208 HRR262165:HRR262208 IBN262165:IBN262208 ILJ262165:ILJ262208 IVF262165:IVF262208 JFB262165:JFB262208 JOX262165:JOX262208 JYT262165:JYT262208 KIP262165:KIP262208 KSL262165:KSL262208 LCH262165:LCH262208 LMD262165:LMD262208 LVZ262165:LVZ262208 MFV262165:MFV262208 MPR262165:MPR262208 MZN262165:MZN262208 NJJ262165:NJJ262208 NTF262165:NTF262208 ODB262165:ODB262208 OMX262165:OMX262208 OWT262165:OWT262208 PGP262165:PGP262208 PQL262165:PQL262208 QAH262165:QAH262208 QKD262165:QKD262208 QTZ262165:QTZ262208 RDV262165:RDV262208 RNR262165:RNR262208 RXN262165:RXN262208 SHJ262165:SHJ262208 SRF262165:SRF262208 TBB262165:TBB262208 TKX262165:TKX262208 TUT262165:TUT262208 UEP262165:UEP262208 UOL262165:UOL262208 UYH262165:UYH262208 VID262165:VID262208 VRZ262165:VRZ262208 WBV262165:WBV262208 WLR262165:WLR262208 WVN262165:WVN262208 D327701:D327744 JB327701:JB327744 SX327701:SX327744 ACT327701:ACT327744 AMP327701:AMP327744 AWL327701:AWL327744 BGH327701:BGH327744 BQD327701:BQD327744 BZZ327701:BZZ327744 CJV327701:CJV327744 CTR327701:CTR327744 DDN327701:DDN327744 DNJ327701:DNJ327744 DXF327701:DXF327744 EHB327701:EHB327744 EQX327701:EQX327744 FAT327701:FAT327744 FKP327701:FKP327744 FUL327701:FUL327744 GEH327701:GEH327744 GOD327701:GOD327744 GXZ327701:GXZ327744 HHV327701:HHV327744 HRR327701:HRR327744 IBN327701:IBN327744 ILJ327701:ILJ327744 IVF327701:IVF327744 JFB327701:JFB327744 JOX327701:JOX327744 JYT327701:JYT327744 KIP327701:KIP327744 KSL327701:KSL327744 LCH327701:LCH327744 LMD327701:LMD327744 LVZ327701:LVZ327744 MFV327701:MFV327744 MPR327701:MPR327744 MZN327701:MZN327744 NJJ327701:NJJ327744 NTF327701:NTF327744 ODB327701:ODB327744 OMX327701:OMX327744 OWT327701:OWT327744 PGP327701:PGP327744 PQL327701:PQL327744 QAH327701:QAH327744 QKD327701:QKD327744 QTZ327701:QTZ327744 RDV327701:RDV327744 RNR327701:RNR327744 RXN327701:RXN327744 SHJ327701:SHJ327744 SRF327701:SRF327744 TBB327701:TBB327744 TKX327701:TKX327744 TUT327701:TUT327744 UEP327701:UEP327744 UOL327701:UOL327744 UYH327701:UYH327744 VID327701:VID327744 VRZ327701:VRZ327744 WBV327701:WBV327744 WLR327701:WLR327744 WVN327701:WVN327744 D393237:D393280 JB393237:JB393280 SX393237:SX393280 ACT393237:ACT393280 AMP393237:AMP393280 AWL393237:AWL393280 BGH393237:BGH393280 BQD393237:BQD393280 BZZ393237:BZZ393280 CJV393237:CJV393280 CTR393237:CTR393280 DDN393237:DDN393280 DNJ393237:DNJ393280 DXF393237:DXF393280 EHB393237:EHB393280 EQX393237:EQX393280 FAT393237:FAT393280 FKP393237:FKP393280 FUL393237:FUL393280 GEH393237:GEH393280 GOD393237:GOD393280 GXZ393237:GXZ393280 HHV393237:HHV393280 HRR393237:HRR393280 IBN393237:IBN393280 ILJ393237:ILJ393280 IVF393237:IVF393280 JFB393237:JFB393280 JOX393237:JOX393280 JYT393237:JYT393280 KIP393237:KIP393280 KSL393237:KSL393280 LCH393237:LCH393280 LMD393237:LMD393280 LVZ393237:LVZ393280 MFV393237:MFV393280 MPR393237:MPR393280 MZN393237:MZN393280 NJJ393237:NJJ393280 NTF393237:NTF393280 ODB393237:ODB393280 OMX393237:OMX393280 OWT393237:OWT393280 PGP393237:PGP393280 PQL393237:PQL393280 QAH393237:QAH393280 QKD393237:QKD393280 QTZ393237:QTZ393280 RDV393237:RDV393280 RNR393237:RNR393280 RXN393237:RXN393280 SHJ393237:SHJ393280 SRF393237:SRF393280 TBB393237:TBB393280 TKX393237:TKX393280 TUT393237:TUT393280 UEP393237:UEP393280 UOL393237:UOL393280 UYH393237:UYH393280 VID393237:VID393280 VRZ393237:VRZ393280 WBV393237:WBV393280 WLR393237:WLR393280 WVN393237:WVN393280 D458773:D458816 JB458773:JB458816 SX458773:SX458816 ACT458773:ACT458816 AMP458773:AMP458816 AWL458773:AWL458816 BGH458773:BGH458816 BQD458773:BQD458816 BZZ458773:BZZ458816 CJV458773:CJV458816 CTR458773:CTR458816 DDN458773:DDN458816 DNJ458773:DNJ458816 DXF458773:DXF458816 EHB458773:EHB458816 EQX458773:EQX458816 FAT458773:FAT458816 FKP458773:FKP458816 FUL458773:FUL458816 GEH458773:GEH458816 GOD458773:GOD458816 GXZ458773:GXZ458816 HHV458773:HHV458816 HRR458773:HRR458816 IBN458773:IBN458816 ILJ458773:ILJ458816 IVF458773:IVF458816 JFB458773:JFB458816 JOX458773:JOX458816 JYT458773:JYT458816 KIP458773:KIP458816 KSL458773:KSL458816 LCH458773:LCH458816 LMD458773:LMD458816 LVZ458773:LVZ458816 MFV458773:MFV458816 MPR458773:MPR458816 MZN458773:MZN458816 NJJ458773:NJJ458816 NTF458773:NTF458816 ODB458773:ODB458816 OMX458773:OMX458816 OWT458773:OWT458816 PGP458773:PGP458816 PQL458773:PQL458816 QAH458773:QAH458816 QKD458773:QKD458816 QTZ458773:QTZ458816 RDV458773:RDV458816 RNR458773:RNR458816 RXN458773:RXN458816 SHJ458773:SHJ458816 SRF458773:SRF458816 TBB458773:TBB458816 TKX458773:TKX458816 TUT458773:TUT458816 UEP458773:UEP458816 UOL458773:UOL458816 UYH458773:UYH458816 VID458773:VID458816 VRZ458773:VRZ458816 WBV458773:WBV458816 WLR458773:WLR458816 WVN458773:WVN458816 D524309:D524352 JB524309:JB524352 SX524309:SX524352 ACT524309:ACT524352 AMP524309:AMP524352 AWL524309:AWL524352 BGH524309:BGH524352 BQD524309:BQD524352 BZZ524309:BZZ524352 CJV524309:CJV524352 CTR524309:CTR524352 DDN524309:DDN524352 DNJ524309:DNJ524352 DXF524309:DXF524352 EHB524309:EHB524352 EQX524309:EQX524352 FAT524309:FAT524352 FKP524309:FKP524352 FUL524309:FUL524352 GEH524309:GEH524352 GOD524309:GOD524352 GXZ524309:GXZ524352 HHV524309:HHV524352 HRR524309:HRR524352 IBN524309:IBN524352 ILJ524309:ILJ524352 IVF524309:IVF524352 JFB524309:JFB524352 JOX524309:JOX524352 JYT524309:JYT524352 KIP524309:KIP524352 KSL524309:KSL524352 LCH524309:LCH524352 LMD524309:LMD524352 LVZ524309:LVZ524352 MFV524309:MFV524352 MPR524309:MPR524352 MZN524309:MZN524352 NJJ524309:NJJ524352 NTF524309:NTF524352 ODB524309:ODB524352 OMX524309:OMX524352 OWT524309:OWT524352 PGP524309:PGP524352 PQL524309:PQL524352 QAH524309:QAH524352 QKD524309:QKD524352 QTZ524309:QTZ524352 RDV524309:RDV524352 RNR524309:RNR524352 RXN524309:RXN524352 SHJ524309:SHJ524352 SRF524309:SRF524352 TBB524309:TBB524352 TKX524309:TKX524352 TUT524309:TUT524352 UEP524309:UEP524352 UOL524309:UOL524352 UYH524309:UYH524352 VID524309:VID524352 VRZ524309:VRZ524352 WBV524309:WBV524352 WLR524309:WLR524352 WVN524309:WVN524352 D589845:D589888 JB589845:JB589888 SX589845:SX589888 ACT589845:ACT589888 AMP589845:AMP589888 AWL589845:AWL589888 BGH589845:BGH589888 BQD589845:BQD589888 BZZ589845:BZZ589888 CJV589845:CJV589888 CTR589845:CTR589888 DDN589845:DDN589888 DNJ589845:DNJ589888 DXF589845:DXF589888 EHB589845:EHB589888 EQX589845:EQX589888 FAT589845:FAT589888 FKP589845:FKP589888 FUL589845:FUL589888 GEH589845:GEH589888 GOD589845:GOD589888 GXZ589845:GXZ589888 HHV589845:HHV589888 HRR589845:HRR589888 IBN589845:IBN589888 ILJ589845:ILJ589888 IVF589845:IVF589888 JFB589845:JFB589888 JOX589845:JOX589888 JYT589845:JYT589888 KIP589845:KIP589888 KSL589845:KSL589888 LCH589845:LCH589888 LMD589845:LMD589888 LVZ589845:LVZ589888 MFV589845:MFV589888 MPR589845:MPR589888 MZN589845:MZN589888 NJJ589845:NJJ589888 NTF589845:NTF589888 ODB589845:ODB589888 OMX589845:OMX589888 OWT589845:OWT589888 PGP589845:PGP589888 PQL589845:PQL589888 QAH589845:QAH589888 QKD589845:QKD589888 QTZ589845:QTZ589888 RDV589845:RDV589888 RNR589845:RNR589888 RXN589845:RXN589888 SHJ589845:SHJ589888 SRF589845:SRF589888 TBB589845:TBB589888 TKX589845:TKX589888 TUT589845:TUT589888 UEP589845:UEP589888 UOL589845:UOL589888 UYH589845:UYH589888 VID589845:VID589888 VRZ589845:VRZ589888 WBV589845:WBV589888 WLR589845:WLR589888 WVN589845:WVN589888 D655381:D655424 JB655381:JB655424 SX655381:SX655424 ACT655381:ACT655424 AMP655381:AMP655424 AWL655381:AWL655424 BGH655381:BGH655424 BQD655381:BQD655424 BZZ655381:BZZ655424 CJV655381:CJV655424 CTR655381:CTR655424 DDN655381:DDN655424 DNJ655381:DNJ655424 DXF655381:DXF655424 EHB655381:EHB655424 EQX655381:EQX655424 FAT655381:FAT655424 FKP655381:FKP655424 FUL655381:FUL655424 GEH655381:GEH655424 GOD655381:GOD655424 GXZ655381:GXZ655424 HHV655381:HHV655424 HRR655381:HRR655424 IBN655381:IBN655424 ILJ655381:ILJ655424 IVF655381:IVF655424 JFB655381:JFB655424 JOX655381:JOX655424 JYT655381:JYT655424 KIP655381:KIP655424 KSL655381:KSL655424 LCH655381:LCH655424 LMD655381:LMD655424 LVZ655381:LVZ655424 MFV655381:MFV655424 MPR655381:MPR655424 MZN655381:MZN655424 NJJ655381:NJJ655424 NTF655381:NTF655424 ODB655381:ODB655424 OMX655381:OMX655424 OWT655381:OWT655424 PGP655381:PGP655424 PQL655381:PQL655424 QAH655381:QAH655424 QKD655381:QKD655424 QTZ655381:QTZ655424 RDV655381:RDV655424 RNR655381:RNR655424 RXN655381:RXN655424 SHJ655381:SHJ655424 SRF655381:SRF655424 TBB655381:TBB655424 TKX655381:TKX655424 TUT655381:TUT655424 UEP655381:UEP655424 UOL655381:UOL655424 UYH655381:UYH655424 VID655381:VID655424 VRZ655381:VRZ655424 WBV655381:WBV655424 WLR655381:WLR655424 WVN655381:WVN655424 D720917:D720960 JB720917:JB720960 SX720917:SX720960 ACT720917:ACT720960 AMP720917:AMP720960 AWL720917:AWL720960 BGH720917:BGH720960 BQD720917:BQD720960 BZZ720917:BZZ720960 CJV720917:CJV720960 CTR720917:CTR720960 DDN720917:DDN720960 DNJ720917:DNJ720960 DXF720917:DXF720960 EHB720917:EHB720960 EQX720917:EQX720960 FAT720917:FAT720960 FKP720917:FKP720960 FUL720917:FUL720960 GEH720917:GEH720960 GOD720917:GOD720960 GXZ720917:GXZ720960 HHV720917:HHV720960 HRR720917:HRR720960 IBN720917:IBN720960 ILJ720917:ILJ720960 IVF720917:IVF720960 JFB720917:JFB720960 JOX720917:JOX720960 JYT720917:JYT720960 KIP720917:KIP720960 KSL720917:KSL720960 LCH720917:LCH720960 LMD720917:LMD720960 LVZ720917:LVZ720960 MFV720917:MFV720960 MPR720917:MPR720960 MZN720917:MZN720960 NJJ720917:NJJ720960 NTF720917:NTF720960 ODB720917:ODB720960 OMX720917:OMX720960 OWT720917:OWT720960 PGP720917:PGP720960 PQL720917:PQL720960 QAH720917:QAH720960 QKD720917:QKD720960 QTZ720917:QTZ720960 RDV720917:RDV720960 RNR720917:RNR720960 RXN720917:RXN720960 SHJ720917:SHJ720960 SRF720917:SRF720960 TBB720917:TBB720960 TKX720917:TKX720960 TUT720917:TUT720960 UEP720917:UEP720960 UOL720917:UOL720960 UYH720917:UYH720960 VID720917:VID720960 VRZ720917:VRZ720960 WBV720917:WBV720960 WLR720917:WLR720960 WVN720917:WVN720960 D786453:D786496 JB786453:JB786496 SX786453:SX786496 ACT786453:ACT786496 AMP786453:AMP786496 AWL786453:AWL786496 BGH786453:BGH786496 BQD786453:BQD786496 BZZ786453:BZZ786496 CJV786453:CJV786496 CTR786453:CTR786496 DDN786453:DDN786496 DNJ786453:DNJ786496 DXF786453:DXF786496 EHB786453:EHB786496 EQX786453:EQX786496 FAT786453:FAT786496 FKP786453:FKP786496 FUL786453:FUL786496 GEH786453:GEH786496 GOD786453:GOD786496 GXZ786453:GXZ786496 HHV786453:HHV786496 HRR786453:HRR786496 IBN786453:IBN786496 ILJ786453:ILJ786496 IVF786453:IVF786496 JFB786453:JFB786496 JOX786453:JOX786496 JYT786453:JYT786496 KIP786453:KIP786496 KSL786453:KSL786496 LCH786453:LCH786496 LMD786453:LMD786496 LVZ786453:LVZ786496 MFV786453:MFV786496 MPR786453:MPR786496 MZN786453:MZN786496 NJJ786453:NJJ786496 NTF786453:NTF786496 ODB786453:ODB786496 OMX786453:OMX786496 OWT786453:OWT786496 PGP786453:PGP786496 PQL786453:PQL786496 QAH786453:QAH786496 QKD786453:QKD786496 QTZ786453:QTZ786496 RDV786453:RDV786496 RNR786453:RNR786496 RXN786453:RXN786496 SHJ786453:SHJ786496 SRF786453:SRF786496 TBB786453:TBB786496 TKX786453:TKX786496 TUT786453:TUT786496 UEP786453:UEP786496 UOL786453:UOL786496 UYH786453:UYH786496 VID786453:VID786496 VRZ786453:VRZ786496 WBV786453:WBV786496 WLR786453:WLR786496 WVN786453:WVN786496 D851989:D852032 JB851989:JB852032 SX851989:SX852032 ACT851989:ACT852032 AMP851989:AMP852032 AWL851989:AWL852032 BGH851989:BGH852032 BQD851989:BQD852032 BZZ851989:BZZ852032 CJV851989:CJV852032 CTR851989:CTR852032 DDN851989:DDN852032 DNJ851989:DNJ852032 DXF851989:DXF852032 EHB851989:EHB852032 EQX851989:EQX852032 FAT851989:FAT852032 FKP851989:FKP852032 FUL851989:FUL852032 GEH851989:GEH852032 GOD851989:GOD852032 GXZ851989:GXZ852032 HHV851989:HHV852032 HRR851989:HRR852032 IBN851989:IBN852032 ILJ851989:ILJ852032 IVF851989:IVF852032 JFB851989:JFB852032 JOX851989:JOX852032 JYT851989:JYT852032 KIP851989:KIP852032 KSL851989:KSL852032 LCH851989:LCH852032 LMD851989:LMD852032 LVZ851989:LVZ852032 MFV851989:MFV852032 MPR851989:MPR852032 MZN851989:MZN852032 NJJ851989:NJJ852032 NTF851989:NTF852032 ODB851989:ODB852032 OMX851989:OMX852032 OWT851989:OWT852032 PGP851989:PGP852032 PQL851989:PQL852032 QAH851989:QAH852032 QKD851989:QKD852032 QTZ851989:QTZ852032 RDV851989:RDV852032 RNR851989:RNR852032 RXN851989:RXN852032 SHJ851989:SHJ852032 SRF851989:SRF852032 TBB851989:TBB852032 TKX851989:TKX852032 TUT851989:TUT852032 UEP851989:UEP852032 UOL851989:UOL852032 UYH851989:UYH852032 VID851989:VID852032 VRZ851989:VRZ852032 WBV851989:WBV852032 WLR851989:WLR852032 WVN851989:WVN852032 D917525:D917568 JB917525:JB917568 SX917525:SX917568 ACT917525:ACT917568 AMP917525:AMP917568 AWL917525:AWL917568 BGH917525:BGH917568 BQD917525:BQD917568 BZZ917525:BZZ917568 CJV917525:CJV917568 CTR917525:CTR917568 DDN917525:DDN917568 DNJ917525:DNJ917568 DXF917525:DXF917568 EHB917525:EHB917568 EQX917525:EQX917568 FAT917525:FAT917568 FKP917525:FKP917568 FUL917525:FUL917568 GEH917525:GEH917568 GOD917525:GOD917568 GXZ917525:GXZ917568 HHV917525:HHV917568 HRR917525:HRR917568 IBN917525:IBN917568 ILJ917525:ILJ917568 IVF917525:IVF917568 JFB917525:JFB917568 JOX917525:JOX917568 JYT917525:JYT917568 KIP917525:KIP917568 KSL917525:KSL917568 LCH917525:LCH917568 LMD917525:LMD917568 LVZ917525:LVZ917568 MFV917525:MFV917568 MPR917525:MPR917568 MZN917525:MZN917568 NJJ917525:NJJ917568 NTF917525:NTF917568 ODB917525:ODB917568 OMX917525:OMX917568 OWT917525:OWT917568 PGP917525:PGP917568 PQL917525:PQL917568 QAH917525:QAH917568 QKD917525:QKD917568 QTZ917525:QTZ917568 RDV917525:RDV917568 RNR917525:RNR917568 RXN917525:RXN917568 SHJ917525:SHJ917568 SRF917525:SRF917568 TBB917525:TBB917568 TKX917525:TKX917568 TUT917525:TUT917568 UEP917525:UEP917568 UOL917525:UOL917568 UYH917525:UYH917568 VID917525:VID917568 VRZ917525:VRZ917568 WBV917525:WBV917568 WLR917525:WLR917568 WVN917525:WVN917568 D983061:D983104 JB983061:JB983104 SX983061:SX983104 ACT983061:ACT983104 AMP983061:AMP983104 AWL983061:AWL983104 BGH983061:BGH983104 BQD983061:BQD983104 BZZ983061:BZZ983104 CJV983061:CJV983104 CTR983061:CTR983104 DDN983061:DDN983104 DNJ983061:DNJ983104 DXF983061:DXF983104 EHB983061:EHB983104 EQX983061:EQX983104 FAT983061:FAT983104 FKP983061:FKP983104 FUL983061:FUL983104 GEH983061:GEH983104 GOD983061:GOD983104 GXZ983061:GXZ983104 HHV983061:HHV983104 HRR983061:HRR983104 IBN983061:IBN983104 ILJ983061:ILJ983104 IVF983061:IVF983104 JFB983061:JFB983104 JOX983061:JOX983104 JYT983061:JYT983104 KIP983061:KIP983104 KSL983061:KSL983104 LCH983061:LCH983104 LMD983061:LMD983104 LVZ983061:LVZ983104 MFV983061:MFV983104 MPR983061:MPR983104 MZN983061:MZN983104 NJJ983061:NJJ983104 NTF983061:NTF983104 ODB983061:ODB983104 OMX983061:OMX983104 OWT983061:OWT983104 PGP983061:PGP983104 PQL983061:PQL983104 QAH983061:QAH983104 QKD983061:QKD983104 QTZ983061:QTZ983104 RDV983061:RDV983104 RNR983061:RNR983104 RXN983061:RXN983104 SHJ983061:SHJ983104 SRF983061:SRF983104 TBB983061:TBB983104 TKX983061:TKX983104 TUT983061:TUT983104 UEP983061:UEP983104 UOL983061:UOL983104 UYH983061:UYH983104 VID983061:VID983104 VRZ983061:VRZ983104 WBV983061:WBV983104 WLR983061:WLR983104 WVN20:WVN64 WLR20:WLR64 WBV20:WBV64 VRZ20:VRZ64 VID20:VID64 UYH20:UYH64 UOL20:UOL64 UEP20:UEP64 TUT20:TUT64 TKX20:TKX64 TBB20:TBB64 SRF20:SRF64 SHJ20:SHJ64 RXN20:RXN64 RNR20:RNR64 RDV20:RDV64 QTZ20:QTZ64 QKD20:QKD64 QAH20:QAH64 PQL20:PQL64 PGP20:PGP64 OWT20:OWT64 OMX20:OMX64 ODB20:ODB64 NTF20:NTF64 NJJ20:NJJ64 MZN20:MZN64 MPR20:MPR64 MFV20:MFV64 LVZ20:LVZ64 LMD20:LMD64 LCH20:LCH64 KSL20:KSL64 KIP20:KIP64 JYT20:JYT64 JOX20:JOX64 JFB20:JFB64 IVF20:IVF64 ILJ20:ILJ64 IBN20:IBN64 HRR20:HRR64 HHV20:HHV64 GXZ20:GXZ64 GOD20:GOD64 GEH20:GEH64 FUL20:FUL64 FKP20:FKP64 FAT20:FAT64 EQX20:EQX64 EHB20:EHB64 DXF20:DXF64 DNJ20:DNJ64 DDN20:DDN64 CTR20:CTR64 CJV20:CJV64 BZZ20:BZZ64 BQD20:BQD64 BGH20:BGH64 AWL20:AWL64 AMP20:AMP64 ACT20:ACT64 SX20:SX64 JB20:JB64 WVP20:WVP64 WLT20:WLT64 WBX20:WBX64 VSB20:VSB64 VIF20:VIF64 UYJ20:UYJ64 UON20:UON64 UER20:UER64 TUV20:TUV64 TKZ20:TKZ64 TBD20:TBD64 SRH20:SRH64 SHL20:SHL64 RXP20:RXP64 RNT20:RNT64 RDX20:RDX64 QUB20:QUB64 QKF20:QKF64 QAJ20:QAJ64 PQN20:PQN64 PGR20:PGR64 OWV20:OWV64 OMZ20:OMZ64 ODD20:ODD64 NTH20:NTH64 NJL20:NJL64 MZP20:MZP64 MPT20:MPT64 MFX20:MFX64 LWB20:LWB64 LMF20:LMF64 LCJ20:LCJ64 KSN20:KSN64 KIR20:KIR64 JYV20:JYV64 JOZ20:JOZ64 JFD20:JFD64 IVH20:IVH64 ILL20:ILL64 IBP20:IBP64 HRT20:HRT64 HHX20:HHX64 GYB20:GYB64 GOF20:GOF64 GEJ20:GEJ64 FUN20:FUN64 FKR20:FKR64 FAV20:FAV64 EQZ20:EQZ64 EHD20:EHD64 DXH20:DXH64 DNL20:DNL64 DDP20:DDP64 CTT20:CTT64 CJX20:CJX64 CAB20:CAB64 BQF20:BQF64 BGJ20:BGJ64 AWN20:AWN64 AMR20:AMR64 ACV20:ACV64 SZ20:SZ64 JD20:JD64 D20:D64 G74:H118 WVN74:WVN118 WLR74:WLR118 WBV74:WBV118 VRZ74:VRZ118 VID74:VID118 UYH74:UYH118 UOL74:UOL118 UEP74:UEP118 TUT74:TUT118 TKX74:TKX118 TBB74:TBB118 SRF74:SRF118 SHJ74:SHJ118 RXN74:RXN118 RNR74:RNR118 RDV74:RDV118 QTZ74:QTZ118 QKD74:QKD118 QAH74:QAH118 PQL74:PQL118 PGP74:PGP118 OWT74:OWT118 OMX74:OMX118 ODB74:ODB118 NTF74:NTF118 NJJ74:NJJ118 MZN74:MZN118 MPR74:MPR118 MFV74:MFV118 LVZ74:LVZ118 LMD74:LMD118 LCH74:LCH118 KSL74:KSL118 KIP74:KIP118 JYT74:JYT118 JOX74:JOX118 JFB74:JFB118 IVF74:IVF118 ILJ74:ILJ118 IBN74:IBN118 HRR74:HRR118 HHV74:HHV118 GXZ74:GXZ118 GOD74:GOD118 GEH74:GEH118 FUL74:FUL118 FKP74:FKP118 FAT74:FAT118 EQX74:EQX118 EHB74:EHB118 DXF74:DXF118 DNJ74:DNJ118 DDN74:DDN118 CTR74:CTR118 CJV74:CJV118 BZZ74:BZZ118 BQD74:BQD118 BGH74:BGH118 AWL74:AWL118 AMP74:AMP118 ACT74:ACT118 SX74:SX118 JB74:JB118 WVP74:WVP118 WLT74:WLT118 WBX74:WBX118 VSB74:VSB118 VIF74:VIF118 UYJ74:UYJ118 UON74:UON118 UER74:UER118 TUV74:TUV118 TKZ74:TKZ118 TBD74:TBD118 SRH74:SRH118 SHL74:SHL118 RXP74:RXP118 RNT74:RNT118 RDX74:RDX118 QUB74:QUB118 QKF74:QKF118 QAJ74:QAJ118 PQN74:PQN118 PGR74:PGR118 OWV74:OWV118 OMZ74:OMZ118 ODD74:ODD118 NTH74:NTH118 NJL74:NJL118 MZP74:MZP118 MPT74:MPT118 MFX74:MFX118 LWB74:LWB118 LMF74:LMF118 LCJ74:LCJ118 KSN74:KSN118 KIR74:KIR118 JYV74:JYV118 JOZ74:JOZ118 JFD74:JFD118 IVH74:IVH118 ILL74:ILL118 IBP74:IBP118 HRT74:HRT118 HHX74:HHX118 GYB74:GYB118 GOF74:GOF118 GEJ74:GEJ118 FUN74:FUN118 FKR74:FKR118 FAV74:FAV118 EQZ74:EQZ118 EHD74:EHD118 DXH74:DXH118 DNL74:DNL118 DDP74:DDP118 CTT74:CTT118 CJX74:CJX118 CAB74:CAB118 BQF74:BQF118 BGJ74:BGJ118 AWN74:AWN118 AMR74:AMR118 ACV74:ACV118 SZ74:SZ118 JD74:JD118 D74:D118 G20:H64" xr:uid="{BA5731D9-F709-419A-88FE-90C700FEBA4B}">
      <formula1>0</formula1>
    </dataValidation>
  </dataValidations>
  <pageMargins left="0.74803149606299213" right="0.74803149606299213" top="0.98425196850393704" bottom="0.98425196850393704" header="0.51181102362204722" footer="0.51181102362204722"/>
  <pageSetup paperSize="8" scale="75" fitToWidth="3" fitToHeight="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5ED2B17C-FC90-4F68-8C19-F89561C0D8A7}">
            <xm:f>TITELBLAD!$F$16="ex-ante"</xm:f>
            <x14:dxf>
              <fill>
                <patternFill patternType="lightUp"/>
              </fill>
            </x14:dxf>
          </x14:cfRule>
          <xm:sqref>A71:I121</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91137-24E3-4B51-953F-8829F46D74E4}">
  <dimension ref="A1:AB121"/>
  <sheetViews>
    <sheetView zoomScale="80" zoomScaleNormal="80" workbookViewId="0">
      <selection activeCell="F77" sqref="F77"/>
    </sheetView>
  </sheetViews>
  <sheetFormatPr defaultColWidth="9.1796875" defaultRowHeight="12.5" x14ac:dyDescent="0.25"/>
  <cols>
    <col min="1" max="1" width="51.453125" style="167" customWidth="1"/>
    <col min="2" max="2" width="26.54296875" style="167" customWidth="1"/>
    <col min="3" max="9" width="31" style="167" customWidth="1"/>
    <col min="10" max="10" width="8.81640625" style="167" customWidth="1"/>
    <col min="11" max="52" width="9.1796875" style="167" customWidth="1"/>
    <col min="53" max="258" width="9.1796875" style="167"/>
    <col min="259" max="259" width="51.453125" style="167" customWidth="1"/>
    <col min="260" max="260" width="26.54296875" style="167" customWidth="1"/>
    <col min="261" max="265" width="31" style="167" customWidth="1"/>
    <col min="266" max="266" width="8.81640625" style="167" customWidth="1"/>
    <col min="267" max="514" width="9.1796875" style="167"/>
    <col min="515" max="515" width="51.453125" style="167" customWidth="1"/>
    <col min="516" max="516" width="26.54296875" style="167" customWidth="1"/>
    <col min="517" max="521" width="31" style="167" customWidth="1"/>
    <col min="522" max="522" width="8.81640625" style="167" customWidth="1"/>
    <col min="523" max="770" width="9.1796875" style="167"/>
    <col min="771" max="771" width="51.453125" style="167" customWidth="1"/>
    <col min="772" max="772" width="26.54296875" style="167" customWidth="1"/>
    <col min="773" max="777" width="31" style="167" customWidth="1"/>
    <col min="778" max="778" width="8.81640625" style="167" customWidth="1"/>
    <col min="779" max="1026" width="9.1796875" style="167"/>
    <col min="1027" max="1027" width="51.453125" style="167" customWidth="1"/>
    <col min="1028" max="1028" width="26.54296875" style="167" customWidth="1"/>
    <col min="1029" max="1033" width="31" style="167" customWidth="1"/>
    <col min="1034" max="1034" width="8.81640625" style="167" customWidth="1"/>
    <col min="1035" max="1282" width="9.1796875" style="167"/>
    <col min="1283" max="1283" width="51.453125" style="167" customWidth="1"/>
    <col min="1284" max="1284" width="26.54296875" style="167" customWidth="1"/>
    <col min="1285" max="1289" width="31" style="167" customWidth="1"/>
    <col min="1290" max="1290" width="8.81640625" style="167" customWidth="1"/>
    <col min="1291" max="1538" width="9.1796875" style="167"/>
    <col min="1539" max="1539" width="51.453125" style="167" customWidth="1"/>
    <col min="1540" max="1540" width="26.54296875" style="167" customWidth="1"/>
    <col min="1541" max="1545" width="31" style="167" customWidth="1"/>
    <col min="1546" max="1546" width="8.81640625" style="167" customWidth="1"/>
    <col min="1547" max="1794" width="9.1796875" style="167"/>
    <col min="1795" max="1795" width="51.453125" style="167" customWidth="1"/>
    <col min="1796" max="1796" width="26.54296875" style="167" customWidth="1"/>
    <col min="1797" max="1801" width="31" style="167" customWidth="1"/>
    <col min="1802" max="1802" width="8.81640625" style="167" customWidth="1"/>
    <col min="1803" max="2050" width="9.1796875" style="167"/>
    <col min="2051" max="2051" width="51.453125" style="167" customWidth="1"/>
    <col min="2052" max="2052" width="26.54296875" style="167" customWidth="1"/>
    <col min="2053" max="2057" width="31" style="167" customWidth="1"/>
    <col min="2058" max="2058" width="8.81640625" style="167" customWidth="1"/>
    <col min="2059" max="2306" width="9.1796875" style="167"/>
    <col min="2307" max="2307" width="51.453125" style="167" customWidth="1"/>
    <col min="2308" max="2308" width="26.54296875" style="167" customWidth="1"/>
    <col min="2309" max="2313" width="31" style="167" customWidth="1"/>
    <col min="2314" max="2314" width="8.81640625" style="167" customWidth="1"/>
    <col min="2315" max="2562" width="9.1796875" style="167"/>
    <col min="2563" max="2563" width="51.453125" style="167" customWidth="1"/>
    <col min="2564" max="2564" width="26.54296875" style="167" customWidth="1"/>
    <col min="2565" max="2569" width="31" style="167" customWidth="1"/>
    <col min="2570" max="2570" width="8.81640625" style="167" customWidth="1"/>
    <col min="2571" max="2818" width="9.1796875" style="167"/>
    <col min="2819" max="2819" width="51.453125" style="167" customWidth="1"/>
    <col min="2820" max="2820" width="26.54296875" style="167" customWidth="1"/>
    <col min="2821" max="2825" width="31" style="167" customWidth="1"/>
    <col min="2826" max="2826" width="8.81640625" style="167" customWidth="1"/>
    <col min="2827" max="3074" width="9.1796875" style="167"/>
    <col min="3075" max="3075" width="51.453125" style="167" customWidth="1"/>
    <col min="3076" max="3076" width="26.54296875" style="167" customWidth="1"/>
    <col min="3077" max="3081" width="31" style="167" customWidth="1"/>
    <col min="3082" max="3082" width="8.81640625" style="167" customWidth="1"/>
    <col min="3083" max="3330" width="9.1796875" style="167"/>
    <col min="3331" max="3331" width="51.453125" style="167" customWidth="1"/>
    <col min="3332" max="3332" width="26.54296875" style="167" customWidth="1"/>
    <col min="3333" max="3337" width="31" style="167" customWidth="1"/>
    <col min="3338" max="3338" width="8.81640625" style="167" customWidth="1"/>
    <col min="3339" max="3586" width="9.1796875" style="167"/>
    <col min="3587" max="3587" width="51.453125" style="167" customWidth="1"/>
    <col min="3588" max="3588" width="26.54296875" style="167" customWidth="1"/>
    <col min="3589" max="3593" width="31" style="167" customWidth="1"/>
    <col min="3594" max="3594" width="8.81640625" style="167" customWidth="1"/>
    <col min="3595" max="3842" width="9.1796875" style="167"/>
    <col min="3843" max="3843" width="51.453125" style="167" customWidth="1"/>
    <col min="3844" max="3844" width="26.54296875" style="167" customWidth="1"/>
    <col min="3845" max="3849" width="31" style="167" customWidth="1"/>
    <col min="3850" max="3850" width="8.81640625" style="167" customWidth="1"/>
    <col min="3851" max="4098" width="9.1796875" style="167"/>
    <col min="4099" max="4099" width="51.453125" style="167" customWidth="1"/>
    <col min="4100" max="4100" width="26.54296875" style="167" customWidth="1"/>
    <col min="4101" max="4105" width="31" style="167" customWidth="1"/>
    <col min="4106" max="4106" width="8.81640625" style="167" customWidth="1"/>
    <col min="4107" max="4354" width="9.1796875" style="167"/>
    <col min="4355" max="4355" width="51.453125" style="167" customWidth="1"/>
    <col min="4356" max="4356" width="26.54296875" style="167" customWidth="1"/>
    <col min="4357" max="4361" width="31" style="167" customWidth="1"/>
    <col min="4362" max="4362" width="8.81640625" style="167" customWidth="1"/>
    <col min="4363" max="4610" width="9.1796875" style="167"/>
    <col min="4611" max="4611" width="51.453125" style="167" customWidth="1"/>
    <col min="4612" max="4612" width="26.54296875" style="167" customWidth="1"/>
    <col min="4613" max="4617" width="31" style="167" customWidth="1"/>
    <col min="4618" max="4618" width="8.81640625" style="167" customWidth="1"/>
    <col min="4619" max="4866" width="9.1796875" style="167"/>
    <col min="4867" max="4867" width="51.453125" style="167" customWidth="1"/>
    <col min="4868" max="4868" width="26.54296875" style="167" customWidth="1"/>
    <col min="4869" max="4873" width="31" style="167" customWidth="1"/>
    <col min="4874" max="4874" width="8.81640625" style="167" customWidth="1"/>
    <col min="4875" max="5122" width="9.1796875" style="167"/>
    <col min="5123" max="5123" width="51.453125" style="167" customWidth="1"/>
    <col min="5124" max="5124" width="26.54296875" style="167" customWidth="1"/>
    <col min="5125" max="5129" width="31" style="167" customWidth="1"/>
    <col min="5130" max="5130" width="8.81640625" style="167" customWidth="1"/>
    <col min="5131" max="5378" width="9.1796875" style="167"/>
    <col min="5379" max="5379" width="51.453125" style="167" customWidth="1"/>
    <col min="5380" max="5380" width="26.54296875" style="167" customWidth="1"/>
    <col min="5381" max="5385" width="31" style="167" customWidth="1"/>
    <col min="5386" max="5386" width="8.81640625" style="167" customWidth="1"/>
    <col min="5387" max="5634" width="9.1796875" style="167"/>
    <col min="5635" max="5635" width="51.453125" style="167" customWidth="1"/>
    <col min="5636" max="5636" width="26.54296875" style="167" customWidth="1"/>
    <col min="5637" max="5641" width="31" style="167" customWidth="1"/>
    <col min="5642" max="5642" width="8.81640625" style="167" customWidth="1"/>
    <col min="5643" max="5890" width="9.1796875" style="167"/>
    <col min="5891" max="5891" width="51.453125" style="167" customWidth="1"/>
    <col min="5892" max="5892" width="26.54296875" style="167" customWidth="1"/>
    <col min="5893" max="5897" width="31" style="167" customWidth="1"/>
    <col min="5898" max="5898" width="8.81640625" style="167" customWidth="1"/>
    <col min="5899" max="6146" width="9.1796875" style="167"/>
    <col min="6147" max="6147" width="51.453125" style="167" customWidth="1"/>
    <col min="6148" max="6148" width="26.54296875" style="167" customWidth="1"/>
    <col min="6149" max="6153" width="31" style="167" customWidth="1"/>
    <col min="6154" max="6154" width="8.81640625" style="167" customWidth="1"/>
    <col min="6155" max="6402" width="9.1796875" style="167"/>
    <col min="6403" max="6403" width="51.453125" style="167" customWidth="1"/>
    <col min="6404" max="6404" width="26.54296875" style="167" customWidth="1"/>
    <col min="6405" max="6409" width="31" style="167" customWidth="1"/>
    <col min="6410" max="6410" width="8.81640625" style="167" customWidth="1"/>
    <col min="6411" max="6658" width="9.1796875" style="167"/>
    <col min="6659" max="6659" width="51.453125" style="167" customWidth="1"/>
    <col min="6660" max="6660" width="26.54296875" style="167" customWidth="1"/>
    <col min="6661" max="6665" width="31" style="167" customWidth="1"/>
    <col min="6666" max="6666" width="8.81640625" style="167" customWidth="1"/>
    <col min="6667" max="6914" width="9.1796875" style="167"/>
    <col min="6915" max="6915" width="51.453125" style="167" customWidth="1"/>
    <col min="6916" max="6916" width="26.54296875" style="167" customWidth="1"/>
    <col min="6917" max="6921" width="31" style="167" customWidth="1"/>
    <col min="6922" max="6922" width="8.81640625" style="167" customWidth="1"/>
    <col min="6923" max="7170" width="9.1796875" style="167"/>
    <col min="7171" max="7171" width="51.453125" style="167" customWidth="1"/>
    <col min="7172" max="7172" width="26.54296875" style="167" customWidth="1"/>
    <col min="7173" max="7177" width="31" style="167" customWidth="1"/>
    <col min="7178" max="7178" width="8.81640625" style="167" customWidth="1"/>
    <col min="7179" max="7426" width="9.1796875" style="167"/>
    <col min="7427" max="7427" width="51.453125" style="167" customWidth="1"/>
    <col min="7428" max="7428" width="26.54296875" style="167" customWidth="1"/>
    <col min="7429" max="7433" width="31" style="167" customWidth="1"/>
    <col min="7434" max="7434" width="8.81640625" style="167" customWidth="1"/>
    <col min="7435" max="7682" width="9.1796875" style="167"/>
    <col min="7683" max="7683" width="51.453125" style="167" customWidth="1"/>
    <col min="7684" max="7684" width="26.54296875" style="167" customWidth="1"/>
    <col min="7685" max="7689" width="31" style="167" customWidth="1"/>
    <col min="7690" max="7690" width="8.81640625" style="167" customWidth="1"/>
    <col min="7691" max="7938" width="9.1796875" style="167"/>
    <col min="7939" max="7939" width="51.453125" style="167" customWidth="1"/>
    <col min="7940" max="7940" width="26.54296875" style="167" customWidth="1"/>
    <col min="7941" max="7945" width="31" style="167" customWidth="1"/>
    <col min="7946" max="7946" width="8.81640625" style="167" customWidth="1"/>
    <col min="7947" max="8194" width="9.1796875" style="167"/>
    <col min="8195" max="8195" width="51.453125" style="167" customWidth="1"/>
    <col min="8196" max="8196" width="26.54296875" style="167" customWidth="1"/>
    <col min="8197" max="8201" width="31" style="167" customWidth="1"/>
    <col min="8202" max="8202" width="8.81640625" style="167" customWidth="1"/>
    <col min="8203" max="8450" width="9.1796875" style="167"/>
    <col min="8451" max="8451" width="51.453125" style="167" customWidth="1"/>
    <col min="8452" max="8452" width="26.54296875" style="167" customWidth="1"/>
    <col min="8453" max="8457" width="31" style="167" customWidth="1"/>
    <col min="8458" max="8458" width="8.81640625" style="167" customWidth="1"/>
    <col min="8459" max="8706" width="9.1796875" style="167"/>
    <col min="8707" max="8707" width="51.453125" style="167" customWidth="1"/>
    <col min="8708" max="8708" width="26.54296875" style="167" customWidth="1"/>
    <col min="8709" max="8713" width="31" style="167" customWidth="1"/>
    <col min="8714" max="8714" width="8.81640625" style="167" customWidth="1"/>
    <col min="8715" max="8962" width="9.1796875" style="167"/>
    <col min="8963" max="8963" width="51.453125" style="167" customWidth="1"/>
    <col min="8964" max="8964" width="26.54296875" style="167" customWidth="1"/>
    <col min="8965" max="8969" width="31" style="167" customWidth="1"/>
    <col min="8970" max="8970" width="8.81640625" style="167" customWidth="1"/>
    <col min="8971" max="9218" width="9.1796875" style="167"/>
    <col min="9219" max="9219" width="51.453125" style="167" customWidth="1"/>
    <col min="9220" max="9220" width="26.54296875" style="167" customWidth="1"/>
    <col min="9221" max="9225" width="31" style="167" customWidth="1"/>
    <col min="9226" max="9226" width="8.81640625" style="167" customWidth="1"/>
    <col min="9227" max="9474" width="9.1796875" style="167"/>
    <col min="9475" max="9475" width="51.453125" style="167" customWidth="1"/>
    <col min="9476" max="9476" width="26.54296875" style="167" customWidth="1"/>
    <col min="9477" max="9481" width="31" style="167" customWidth="1"/>
    <col min="9482" max="9482" width="8.81640625" style="167" customWidth="1"/>
    <col min="9483" max="9730" width="9.1796875" style="167"/>
    <col min="9731" max="9731" width="51.453125" style="167" customWidth="1"/>
    <col min="9732" max="9732" width="26.54296875" style="167" customWidth="1"/>
    <col min="9733" max="9737" width="31" style="167" customWidth="1"/>
    <col min="9738" max="9738" width="8.81640625" style="167" customWidth="1"/>
    <col min="9739" max="9986" width="9.1796875" style="167"/>
    <col min="9987" max="9987" width="51.453125" style="167" customWidth="1"/>
    <col min="9988" max="9988" width="26.54296875" style="167" customWidth="1"/>
    <col min="9989" max="9993" width="31" style="167" customWidth="1"/>
    <col min="9994" max="9994" width="8.81640625" style="167" customWidth="1"/>
    <col min="9995" max="10242" width="9.1796875" style="167"/>
    <col min="10243" max="10243" width="51.453125" style="167" customWidth="1"/>
    <col min="10244" max="10244" width="26.54296875" style="167" customWidth="1"/>
    <col min="10245" max="10249" width="31" style="167" customWidth="1"/>
    <col min="10250" max="10250" width="8.81640625" style="167" customWidth="1"/>
    <col min="10251" max="10498" width="9.1796875" style="167"/>
    <col min="10499" max="10499" width="51.453125" style="167" customWidth="1"/>
    <col min="10500" max="10500" width="26.54296875" style="167" customWidth="1"/>
    <col min="10501" max="10505" width="31" style="167" customWidth="1"/>
    <col min="10506" max="10506" width="8.81640625" style="167" customWidth="1"/>
    <col min="10507" max="10754" width="9.1796875" style="167"/>
    <col min="10755" max="10755" width="51.453125" style="167" customWidth="1"/>
    <col min="10756" max="10756" width="26.54296875" style="167" customWidth="1"/>
    <col min="10757" max="10761" width="31" style="167" customWidth="1"/>
    <col min="10762" max="10762" width="8.81640625" style="167" customWidth="1"/>
    <col min="10763" max="11010" width="9.1796875" style="167"/>
    <col min="11011" max="11011" width="51.453125" style="167" customWidth="1"/>
    <col min="11012" max="11012" width="26.54296875" style="167" customWidth="1"/>
    <col min="11013" max="11017" width="31" style="167" customWidth="1"/>
    <col min="11018" max="11018" width="8.81640625" style="167" customWidth="1"/>
    <col min="11019" max="11266" width="9.1796875" style="167"/>
    <col min="11267" max="11267" width="51.453125" style="167" customWidth="1"/>
    <col min="11268" max="11268" width="26.54296875" style="167" customWidth="1"/>
    <col min="11269" max="11273" width="31" style="167" customWidth="1"/>
    <col min="11274" max="11274" width="8.81640625" style="167" customWidth="1"/>
    <col min="11275" max="11522" width="9.1796875" style="167"/>
    <col min="11523" max="11523" width="51.453125" style="167" customWidth="1"/>
    <col min="11524" max="11524" width="26.54296875" style="167" customWidth="1"/>
    <col min="11525" max="11529" width="31" style="167" customWidth="1"/>
    <col min="11530" max="11530" width="8.81640625" style="167" customWidth="1"/>
    <col min="11531" max="11778" width="9.1796875" style="167"/>
    <col min="11779" max="11779" width="51.453125" style="167" customWidth="1"/>
    <col min="11780" max="11780" width="26.54296875" style="167" customWidth="1"/>
    <col min="11781" max="11785" width="31" style="167" customWidth="1"/>
    <col min="11786" max="11786" width="8.81640625" style="167" customWidth="1"/>
    <col min="11787" max="12034" width="9.1796875" style="167"/>
    <col min="12035" max="12035" width="51.453125" style="167" customWidth="1"/>
    <col min="12036" max="12036" width="26.54296875" style="167" customWidth="1"/>
    <col min="12037" max="12041" width="31" style="167" customWidth="1"/>
    <col min="12042" max="12042" width="8.81640625" style="167" customWidth="1"/>
    <col min="12043" max="12290" width="9.1796875" style="167"/>
    <col min="12291" max="12291" width="51.453125" style="167" customWidth="1"/>
    <col min="12292" max="12292" width="26.54296875" style="167" customWidth="1"/>
    <col min="12293" max="12297" width="31" style="167" customWidth="1"/>
    <col min="12298" max="12298" width="8.81640625" style="167" customWidth="1"/>
    <col min="12299" max="12546" width="9.1796875" style="167"/>
    <col min="12547" max="12547" width="51.453125" style="167" customWidth="1"/>
    <col min="12548" max="12548" width="26.54296875" style="167" customWidth="1"/>
    <col min="12549" max="12553" width="31" style="167" customWidth="1"/>
    <col min="12554" max="12554" width="8.81640625" style="167" customWidth="1"/>
    <col min="12555" max="12802" width="9.1796875" style="167"/>
    <col min="12803" max="12803" width="51.453125" style="167" customWidth="1"/>
    <col min="12804" max="12804" width="26.54296875" style="167" customWidth="1"/>
    <col min="12805" max="12809" width="31" style="167" customWidth="1"/>
    <col min="12810" max="12810" width="8.81640625" style="167" customWidth="1"/>
    <col min="12811" max="13058" width="9.1796875" style="167"/>
    <col min="13059" max="13059" width="51.453125" style="167" customWidth="1"/>
    <col min="13060" max="13060" width="26.54296875" style="167" customWidth="1"/>
    <col min="13061" max="13065" width="31" style="167" customWidth="1"/>
    <col min="13066" max="13066" width="8.81640625" style="167" customWidth="1"/>
    <col min="13067" max="13314" width="9.1796875" style="167"/>
    <col min="13315" max="13315" width="51.453125" style="167" customWidth="1"/>
    <col min="13316" max="13316" width="26.54296875" style="167" customWidth="1"/>
    <col min="13317" max="13321" width="31" style="167" customWidth="1"/>
    <col min="13322" max="13322" width="8.81640625" style="167" customWidth="1"/>
    <col min="13323" max="13570" width="9.1796875" style="167"/>
    <col min="13571" max="13571" width="51.453125" style="167" customWidth="1"/>
    <col min="13572" max="13572" width="26.54296875" style="167" customWidth="1"/>
    <col min="13573" max="13577" width="31" style="167" customWidth="1"/>
    <col min="13578" max="13578" width="8.81640625" style="167" customWidth="1"/>
    <col min="13579" max="13826" width="9.1796875" style="167"/>
    <col min="13827" max="13827" width="51.453125" style="167" customWidth="1"/>
    <col min="13828" max="13828" width="26.54296875" style="167" customWidth="1"/>
    <col min="13829" max="13833" width="31" style="167" customWidth="1"/>
    <col min="13834" max="13834" width="8.81640625" style="167" customWidth="1"/>
    <col min="13835" max="14082" width="9.1796875" style="167"/>
    <col min="14083" max="14083" width="51.453125" style="167" customWidth="1"/>
    <col min="14084" max="14084" width="26.54296875" style="167" customWidth="1"/>
    <col min="14085" max="14089" width="31" style="167" customWidth="1"/>
    <col min="14090" max="14090" width="8.81640625" style="167" customWidth="1"/>
    <col min="14091" max="14338" width="9.1796875" style="167"/>
    <col min="14339" max="14339" width="51.453125" style="167" customWidth="1"/>
    <col min="14340" max="14340" width="26.54296875" style="167" customWidth="1"/>
    <col min="14341" max="14345" width="31" style="167" customWidth="1"/>
    <col min="14346" max="14346" width="8.81640625" style="167" customWidth="1"/>
    <col min="14347" max="14594" width="9.1796875" style="167"/>
    <col min="14595" max="14595" width="51.453125" style="167" customWidth="1"/>
    <col min="14596" max="14596" width="26.54296875" style="167" customWidth="1"/>
    <col min="14597" max="14601" width="31" style="167" customWidth="1"/>
    <col min="14602" max="14602" width="8.81640625" style="167" customWidth="1"/>
    <col min="14603" max="14850" width="9.1796875" style="167"/>
    <col min="14851" max="14851" width="51.453125" style="167" customWidth="1"/>
    <col min="14852" max="14852" width="26.54296875" style="167" customWidth="1"/>
    <col min="14853" max="14857" width="31" style="167" customWidth="1"/>
    <col min="14858" max="14858" width="8.81640625" style="167" customWidth="1"/>
    <col min="14859" max="15106" width="9.1796875" style="167"/>
    <col min="15107" max="15107" width="51.453125" style="167" customWidth="1"/>
    <col min="15108" max="15108" width="26.54296875" style="167" customWidth="1"/>
    <col min="15109" max="15113" width="31" style="167" customWidth="1"/>
    <col min="15114" max="15114" width="8.81640625" style="167" customWidth="1"/>
    <col min="15115" max="15362" width="9.1796875" style="167"/>
    <col min="15363" max="15363" width="51.453125" style="167" customWidth="1"/>
    <col min="15364" max="15364" width="26.54296875" style="167" customWidth="1"/>
    <col min="15365" max="15369" width="31" style="167" customWidth="1"/>
    <col min="15370" max="15370" width="8.81640625" style="167" customWidth="1"/>
    <col min="15371" max="15618" width="9.1796875" style="167"/>
    <col min="15619" max="15619" width="51.453125" style="167" customWidth="1"/>
    <col min="15620" max="15620" width="26.54296875" style="167" customWidth="1"/>
    <col min="15621" max="15625" width="31" style="167" customWidth="1"/>
    <col min="15626" max="15626" width="8.81640625" style="167" customWidth="1"/>
    <col min="15627" max="15874" width="9.1796875" style="167"/>
    <col min="15875" max="15875" width="51.453125" style="167" customWidth="1"/>
    <col min="15876" max="15876" width="26.54296875" style="167" customWidth="1"/>
    <col min="15877" max="15881" width="31" style="167" customWidth="1"/>
    <col min="15882" max="15882" width="8.81640625" style="167" customWidth="1"/>
    <col min="15883" max="16130" width="9.1796875" style="167"/>
    <col min="16131" max="16131" width="51.453125" style="167" customWidth="1"/>
    <col min="16132" max="16132" width="26.54296875" style="167" customWidth="1"/>
    <col min="16133" max="16137" width="31" style="167" customWidth="1"/>
    <col min="16138" max="16138" width="8.81640625" style="167" customWidth="1"/>
    <col min="16139" max="16384" width="9.1796875" style="167"/>
  </cols>
  <sheetData>
    <row r="1" spans="1:28" ht="26.5" customHeight="1" thickBot="1" x14ac:dyDescent="0.3">
      <c r="A1" s="1348" t="s">
        <v>434</v>
      </c>
      <c r="B1" s="1349"/>
      <c r="C1" s="1349"/>
      <c r="D1" s="1349"/>
      <c r="E1" s="1349"/>
      <c r="F1" s="1349"/>
      <c r="G1" s="1349"/>
      <c r="H1" s="1349"/>
      <c r="I1" s="1350"/>
      <c r="J1" s="296"/>
      <c r="K1" s="209" t="str">
        <f>+TITELBLAD!C10</f>
        <v>elektriciteit</v>
      </c>
      <c r="L1" s="296"/>
      <c r="M1" s="296"/>
      <c r="N1" s="296"/>
      <c r="O1" s="296"/>
      <c r="P1" s="296"/>
      <c r="Q1" s="296"/>
      <c r="R1" s="296"/>
      <c r="S1" s="296"/>
      <c r="T1" s="296"/>
      <c r="U1" s="296"/>
      <c r="V1" s="296"/>
      <c r="W1" s="296"/>
      <c r="X1" s="296"/>
      <c r="Y1" s="296"/>
      <c r="Z1" s="296"/>
      <c r="AA1" s="296"/>
      <c r="AB1" s="296"/>
    </row>
    <row r="2" spans="1:28" x14ac:dyDescent="0.25">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row>
    <row r="3" spans="1:28" ht="13" x14ac:dyDescent="0.25">
      <c r="A3" s="296"/>
      <c r="B3" s="296"/>
      <c r="C3" s="1063" t="s">
        <v>346</v>
      </c>
      <c r="D3" s="1063" t="s">
        <v>347</v>
      </c>
      <c r="E3" s="296"/>
      <c r="F3" s="296"/>
      <c r="G3" s="296"/>
      <c r="H3" s="296"/>
      <c r="I3" s="296"/>
      <c r="J3" s="296"/>
      <c r="K3" s="296"/>
      <c r="L3" s="296"/>
      <c r="M3" s="296"/>
      <c r="N3" s="296"/>
      <c r="O3" s="296"/>
      <c r="P3" s="296"/>
      <c r="Q3" s="296"/>
      <c r="R3" s="296"/>
      <c r="S3" s="296"/>
      <c r="T3" s="296"/>
      <c r="U3" s="296"/>
      <c r="V3" s="296"/>
      <c r="W3" s="296"/>
      <c r="X3" s="296"/>
      <c r="Y3" s="296"/>
      <c r="Z3" s="296"/>
      <c r="AA3" s="296"/>
      <c r="AB3" s="296"/>
    </row>
    <row r="4" spans="1:28" ht="13" x14ac:dyDescent="0.25">
      <c r="A4" s="358" t="s">
        <v>440</v>
      </c>
      <c r="B4" s="1080">
        <f>+TITELBLAD!E16</f>
        <v>2021</v>
      </c>
      <c r="C4" s="1081">
        <f>-G66</f>
        <v>0</v>
      </c>
      <c r="D4" s="1081">
        <f>-G120</f>
        <v>0</v>
      </c>
      <c r="E4" s="1082"/>
      <c r="I4" s="296"/>
      <c r="J4" s="296"/>
      <c r="K4" s="296"/>
      <c r="L4" s="296"/>
      <c r="M4" s="296"/>
      <c r="N4" s="296"/>
      <c r="O4" s="296"/>
      <c r="P4" s="296"/>
      <c r="Q4" s="296"/>
      <c r="R4" s="296"/>
      <c r="S4" s="296"/>
      <c r="T4" s="296"/>
      <c r="U4" s="296"/>
      <c r="V4" s="296"/>
      <c r="W4" s="296"/>
      <c r="X4" s="296"/>
      <c r="Y4" s="296"/>
      <c r="Z4" s="296"/>
      <c r="AA4" s="296"/>
      <c r="AB4" s="296"/>
    </row>
    <row r="5" spans="1:28" x14ac:dyDescent="0.25">
      <c r="D5" s="1082"/>
      <c r="E5" s="1082"/>
      <c r="I5" s="296"/>
      <c r="J5" s="296"/>
      <c r="K5" s="296"/>
      <c r="L5" s="296"/>
      <c r="M5" s="296"/>
      <c r="N5" s="296"/>
      <c r="O5" s="296"/>
      <c r="P5" s="296"/>
      <c r="Q5" s="296"/>
      <c r="R5" s="296"/>
      <c r="S5" s="296"/>
      <c r="T5" s="296"/>
      <c r="U5" s="296"/>
      <c r="V5" s="296"/>
      <c r="W5" s="296"/>
      <c r="X5" s="296"/>
      <c r="Y5" s="296"/>
      <c r="Z5" s="296"/>
      <c r="AA5" s="296"/>
      <c r="AB5" s="296"/>
    </row>
    <row r="6" spans="1:28" x14ac:dyDescent="0.25">
      <c r="I6" s="296"/>
      <c r="J6" s="296"/>
      <c r="K6" s="296"/>
      <c r="L6" s="296"/>
      <c r="M6" s="296"/>
      <c r="N6" s="296"/>
      <c r="O6" s="296"/>
      <c r="P6" s="296"/>
      <c r="Q6" s="296"/>
      <c r="R6" s="296"/>
      <c r="S6" s="296"/>
      <c r="T6" s="296"/>
      <c r="U6" s="296"/>
      <c r="V6" s="296"/>
      <c r="W6" s="296"/>
      <c r="X6" s="296"/>
      <c r="Y6" s="296"/>
      <c r="Z6" s="296"/>
      <c r="AA6" s="296"/>
      <c r="AB6" s="296"/>
    </row>
    <row r="7" spans="1:28" x14ac:dyDescent="0.25">
      <c r="I7" s="296"/>
      <c r="J7" s="296"/>
      <c r="K7" s="296"/>
      <c r="L7" s="296"/>
      <c r="M7" s="296"/>
      <c r="N7" s="296"/>
      <c r="O7" s="296"/>
      <c r="P7" s="296"/>
      <c r="Q7" s="296"/>
      <c r="R7" s="296"/>
      <c r="S7" s="296"/>
      <c r="T7" s="296"/>
      <c r="U7" s="296"/>
      <c r="V7" s="296"/>
      <c r="W7" s="296"/>
      <c r="X7" s="296"/>
      <c r="Y7" s="296"/>
      <c r="Z7" s="296"/>
      <c r="AA7" s="296"/>
      <c r="AB7" s="296"/>
    </row>
    <row r="8" spans="1:28" ht="13" x14ac:dyDescent="0.25">
      <c r="A8" s="358" t="s">
        <v>345</v>
      </c>
      <c r="I8" s="296"/>
      <c r="J8" s="296"/>
      <c r="K8" s="296"/>
      <c r="L8" s="296"/>
      <c r="M8" s="296"/>
      <c r="N8" s="296"/>
      <c r="O8" s="296"/>
      <c r="P8" s="296"/>
      <c r="Q8" s="296"/>
      <c r="R8" s="296"/>
      <c r="S8" s="296"/>
      <c r="T8" s="296"/>
      <c r="U8" s="296"/>
      <c r="V8" s="296"/>
      <c r="W8" s="296"/>
      <c r="X8" s="296"/>
      <c r="Y8" s="296"/>
      <c r="Z8" s="296"/>
      <c r="AA8" s="296"/>
      <c r="AB8" s="296"/>
    </row>
    <row r="9" spans="1:28" ht="13" x14ac:dyDescent="0.25">
      <c r="A9" s="224" t="s">
        <v>309</v>
      </c>
      <c r="I9" s="296"/>
      <c r="J9" s="296"/>
      <c r="K9" s="296"/>
      <c r="L9" s="296"/>
      <c r="M9" s="296"/>
      <c r="N9" s="296"/>
      <c r="O9" s="296"/>
      <c r="P9" s="296"/>
      <c r="Q9" s="296"/>
      <c r="R9" s="296"/>
      <c r="S9" s="296"/>
      <c r="T9" s="296"/>
      <c r="U9" s="296"/>
      <c r="V9" s="296"/>
      <c r="W9" s="296"/>
      <c r="X9" s="296"/>
      <c r="Y9" s="296"/>
      <c r="Z9" s="296"/>
      <c r="AA9" s="296"/>
      <c r="AB9" s="296"/>
    </row>
    <row r="10" spans="1:28" ht="13" x14ac:dyDescent="0.25">
      <c r="A10" s="1083" t="s">
        <v>310</v>
      </c>
      <c r="I10" s="296"/>
      <c r="J10" s="296"/>
      <c r="K10" s="296"/>
      <c r="L10" s="296"/>
      <c r="M10" s="296"/>
      <c r="N10" s="296"/>
      <c r="O10" s="296"/>
      <c r="P10" s="296"/>
      <c r="Q10" s="296"/>
      <c r="R10" s="296"/>
      <c r="S10" s="296"/>
      <c r="T10" s="296"/>
      <c r="U10" s="296"/>
      <c r="V10" s="296"/>
      <c r="W10" s="296"/>
      <c r="X10" s="296"/>
      <c r="Y10" s="296"/>
      <c r="Z10" s="296"/>
      <c r="AA10" s="296"/>
      <c r="AB10" s="296"/>
    </row>
    <row r="11" spans="1:28" ht="13" x14ac:dyDescent="0.25">
      <c r="A11" s="1083" t="s">
        <v>311</v>
      </c>
      <c r="I11" s="296"/>
      <c r="J11" s="296"/>
      <c r="K11" s="296"/>
      <c r="L11" s="296"/>
      <c r="M11" s="296"/>
      <c r="N11" s="296"/>
      <c r="O11" s="296"/>
      <c r="P11" s="296"/>
      <c r="Q11" s="296"/>
      <c r="R11" s="296"/>
      <c r="S11" s="296"/>
      <c r="T11" s="296"/>
      <c r="U11" s="296"/>
      <c r="V11" s="296"/>
      <c r="W11" s="296"/>
      <c r="X11" s="296"/>
      <c r="Y11" s="296"/>
      <c r="Z11" s="296"/>
      <c r="AA11" s="296"/>
      <c r="AB11" s="296"/>
    </row>
    <row r="13" spans="1:28" ht="13" x14ac:dyDescent="0.25">
      <c r="A13" s="358" t="s">
        <v>427</v>
      </c>
    </row>
    <row r="14" spans="1:28" ht="31.5" customHeight="1" x14ac:dyDescent="0.25">
      <c r="A14" s="1358" t="s">
        <v>428</v>
      </c>
      <c r="B14" s="1358"/>
      <c r="C14" s="1358"/>
    </row>
    <row r="15" spans="1:28" x14ac:dyDescent="0.25">
      <c r="I15" s="296"/>
      <c r="J15" s="296"/>
      <c r="K15" s="296"/>
      <c r="L15" s="296"/>
      <c r="M15" s="296"/>
      <c r="N15" s="296"/>
      <c r="O15" s="296"/>
      <c r="P15" s="296"/>
      <c r="Q15" s="296"/>
      <c r="R15" s="296"/>
      <c r="S15" s="296"/>
      <c r="T15" s="296"/>
      <c r="U15" s="296"/>
      <c r="V15" s="296"/>
      <c r="W15" s="296"/>
      <c r="X15" s="296"/>
      <c r="Y15" s="296"/>
      <c r="Z15" s="296"/>
      <c r="AA15" s="296"/>
      <c r="AB15" s="296"/>
    </row>
    <row r="16" spans="1:28" ht="13" thickBot="1" x14ac:dyDescent="0.3"/>
    <row r="17" spans="1:9" ht="20.149999999999999" customHeight="1" thickBot="1" x14ac:dyDescent="0.3">
      <c r="A17" s="1355" t="str">
        <f>"BUDGET "&amp;B4</f>
        <v>BUDGET 2021</v>
      </c>
      <c r="B17" s="1356"/>
      <c r="C17" s="1356"/>
      <c r="D17" s="1356"/>
      <c r="E17" s="1356"/>
      <c r="F17" s="1356"/>
      <c r="G17" s="1356"/>
      <c r="H17" s="1356"/>
      <c r="I17" s="1357"/>
    </row>
    <row r="18" spans="1:9" ht="47.5" customHeight="1" x14ac:dyDescent="0.25">
      <c r="A18" s="1110" t="s">
        <v>312</v>
      </c>
      <c r="B18" s="1111" t="s">
        <v>343</v>
      </c>
      <c r="C18" s="1112" t="str">
        <f>"Oorspronkelijke meerwaarde op basis van iRAB voor activa einde boekjaar "&amp;B4-1</f>
        <v>Oorspronkelijke meerwaarde op basis van iRAB voor activa einde boekjaar 2020</v>
      </c>
      <c r="D18" s="1112" t="str">
        <f>"Gecumuleerde afschrijvingen activa einde boekjaar "&amp; B4-1</f>
        <v>Gecumuleerde afschrijvingen activa einde boekjaar 2020</v>
      </c>
      <c r="E18" s="1112" t="str">
        <f>"Nettoboekwaarde meerwaarde op basis van iRAB einde boekjaar "&amp; B4-1</f>
        <v>Nettoboekwaarde meerwaarde op basis van iRAB einde boekjaar 2020</v>
      </c>
      <c r="F18" s="1112" t="str">
        <f>"Transfers boekjaar "&amp;B4</f>
        <v>Transfers boekjaar 2021</v>
      </c>
      <c r="G18" s="1112" t="str">
        <f>"Afschrijvingen boekjaar "&amp;B4</f>
        <v>Afschrijvingen boekjaar 2021</v>
      </c>
      <c r="H18" s="1112" t="str">
        <f>"Desinvesteringen boekjaar "&amp;B4&amp;" (n.a.v. verkoop of structuurwijziging)"</f>
        <v>Desinvesteringen boekjaar 2021 (n.a.v. verkoop of structuurwijziging)</v>
      </c>
      <c r="I18" s="1112" t="str">
        <f>"Nettoboekwaarde meerwaarde op basis van iRAB einde boekjaar "&amp;B4</f>
        <v>Nettoboekwaarde meerwaarde op basis van iRAB einde boekjaar 2021</v>
      </c>
    </row>
    <row r="19" spans="1:9" ht="13.5" thickBot="1" x14ac:dyDescent="0.3">
      <c r="A19" s="1087"/>
      <c r="B19" s="1088"/>
      <c r="C19" s="1089" t="s">
        <v>4</v>
      </c>
      <c r="D19" s="1089" t="s">
        <v>8</v>
      </c>
      <c r="E19" s="1089"/>
      <c r="F19" s="1089" t="s">
        <v>4</v>
      </c>
      <c r="G19" s="1089" t="s">
        <v>8</v>
      </c>
      <c r="H19" s="1089" t="s">
        <v>8</v>
      </c>
      <c r="I19" s="1090"/>
    </row>
    <row r="20" spans="1:9" x14ac:dyDescent="0.25">
      <c r="A20" s="1091" t="s">
        <v>313</v>
      </c>
      <c r="B20" s="1352">
        <v>0.02</v>
      </c>
      <c r="C20" s="665">
        <v>0</v>
      </c>
      <c r="D20" s="665">
        <v>0</v>
      </c>
      <c r="E20" s="1092">
        <f t="shared" ref="E20:E63" si="0">+C20+D20</f>
        <v>0</v>
      </c>
      <c r="F20" s="665">
        <v>0</v>
      </c>
      <c r="G20" s="665">
        <v>0</v>
      </c>
      <c r="H20" s="665">
        <v>0</v>
      </c>
      <c r="I20" s="1093">
        <f>+SUM(E20:H20)</f>
        <v>0</v>
      </c>
    </row>
    <row r="21" spans="1:9" x14ac:dyDescent="0.25">
      <c r="A21" s="1094" t="s">
        <v>314</v>
      </c>
      <c r="B21" s="1353"/>
      <c r="C21" s="666">
        <v>0</v>
      </c>
      <c r="D21" s="666">
        <v>0</v>
      </c>
      <c r="E21" s="1095">
        <f t="shared" si="0"/>
        <v>0</v>
      </c>
      <c r="F21" s="666">
        <v>0</v>
      </c>
      <c r="G21" s="666">
        <v>0</v>
      </c>
      <c r="H21" s="666">
        <v>0</v>
      </c>
      <c r="I21" s="1096">
        <f t="shared" ref="I21:I64" si="1">+SUM(E21:H21)</f>
        <v>0</v>
      </c>
    </row>
    <row r="22" spans="1:9" x14ac:dyDescent="0.25">
      <c r="A22" s="1094" t="s">
        <v>315</v>
      </c>
      <c r="B22" s="1353"/>
      <c r="C22" s="666">
        <v>0</v>
      </c>
      <c r="D22" s="666">
        <v>0</v>
      </c>
      <c r="E22" s="1095">
        <f t="shared" si="0"/>
        <v>0</v>
      </c>
      <c r="F22" s="666">
        <v>0</v>
      </c>
      <c r="G22" s="666">
        <v>0</v>
      </c>
      <c r="H22" s="666">
        <v>0</v>
      </c>
      <c r="I22" s="1096">
        <f t="shared" si="1"/>
        <v>0</v>
      </c>
    </row>
    <row r="23" spans="1:9" x14ac:dyDescent="0.25">
      <c r="A23" s="1094" t="s">
        <v>316</v>
      </c>
      <c r="B23" s="1353"/>
      <c r="C23" s="666">
        <v>0</v>
      </c>
      <c r="D23" s="666">
        <v>0</v>
      </c>
      <c r="E23" s="1095">
        <f t="shared" si="0"/>
        <v>0</v>
      </c>
      <c r="F23" s="666">
        <v>0</v>
      </c>
      <c r="G23" s="666">
        <v>0</v>
      </c>
      <c r="H23" s="666">
        <v>0</v>
      </c>
      <c r="I23" s="1096">
        <f t="shared" si="1"/>
        <v>0</v>
      </c>
    </row>
    <row r="24" spans="1:9" x14ac:dyDescent="0.25">
      <c r="A24" s="1094" t="s">
        <v>385</v>
      </c>
      <c r="B24" s="1353"/>
      <c r="C24" s="666">
        <v>0</v>
      </c>
      <c r="D24" s="666">
        <v>0</v>
      </c>
      <c r="E24" s="1095">
        <f t="shared" si="0"/>
        <v>0</v>
      </c>
      <c r="F24" s="666">
        <v>0</v>
      </c>
      <c r="G24" s="666">
        <v>0</v>
      </c>
      <c r="H24" s="666">
        <v>0</v>
      </c>
      <c r="I24" s="1096">
        <f t="shared" si="1"/>
        <v>0</v>
      </c>
    </row>
    <row r="25" spans="1:9" x14ac:dyDescent="0.25">
      <c r="A25" s="1094" t="s">
        <v>386</v>
      </c>
      <c r="B25" s="1353"/>
      <c r="C25" s="666">
        <v>0</v>
      </c>
      <c r="D25" s="666">
        <v>0</v>
      </c>
      <c r="E25" s="1095">
        <f t="shared" si="0"/>
        <v>0</v>
      </c>
      <c r="F25" s="666">
        <v>0</v>
      </c>
      <c r="G25" s="666">
        <v>0</v>
      </c>
      <c r="H25" s="666">
        <v>0</v>
      </c>
      <c r="I25" s="1096">
        <f t="shared" si="1"/>
        <v>0</v>
      </c>
    </row>
    <row r="26" spans="1:9" x14ac:dyDescent="0.25">
      <c r="A26" s="1094" t="s">
        <v>317</v>
      </c>
      <c r="B26" s="1353"/>
      <c r="C26" s="666">
        <v>0</v>
      </c>
      <c r="D26" s="666">
        <v>0</v>
      </c>
      <c r="E26" s="1095">
        <f t="shared" si="0"/>
        <v>0</v>
      </c>
      <c r="F26" s="666">
        <v>0</v>
      </c>
      <c r="G26" s="666">
        <v>0</v>
      </c>
      <c r="H26" s="666">
        <v>0</v>
      </c>
      <c r="I26" s="1096">
        <f t="shared" si="1"/>
        <v>0</v>
      </c>
    </row>
    <row r="27" spans="1:9" x14ac:dyDescent="0.25">
      <c r="A27" s="1094" t="s">
        <v>387</v>
      </c>
      <c r="B27" s="1353"/>
      <c r="C27" s="666">
        <v>0</v>
      </c>
      <c r="D27" s="666">
        <v>0</v>
      </c>
      <c r="E27" s="1095">
        <f t="shared" si="0"/>
        <v>0</v>
      </c>
      <c r="F27" s="666">
        <v>0</v>
      </c>
      <c r="G27" s="666">
        <v>0</v>
      </c>
      <c r="H27" s="666">
        <v>0</v>
      </c>
      <c r="I27" s="1096">
        <f t="shared" si="1"/>
        <v>0</v>
      </c>
    </row>
    <row r="28" spans="1:9" x14ac:dyDescent="0.25">
      <c r="A28" s="1094" t="s">
        <v>318</v>
      </c>
      <c r="B28" s="1353"/>
      <c r="C28" s="666">
        <v>0</v>
      </c>
      <c r="D28" s="666">
        <v>0</v>
      </c>
      <c r="E28" s="1095">
        <f t="shared" si="0"/>
        <v>0</v>
      </c>
      <c r="F28" s="666">
        <v>0</v>
      </c>
      <c r="G28" s="666">
        <v>0</v>
      </c>
      <c r="H28" s="666">
        <v>0</v>
      </c>
      <c r="I28" s="1096">
        <f t="shared" si="1"/>
        <v>0</v>
      </c>
    </row>
    <row r="29" spans="1:9" x14ac:dyDescent="0.25">
      <c r="A29" s="1094" t="s">
        <v>388</v>
      </c>
      <c r="B29" s="1353"/>
      <c r="C29" s="666">
        <v>0</v>
      </c>
      <c r="D29" s="666">
        <v>0</v>
      </c>
      <c r="E29" s="1095">
        <f t="shared" si="0"/>
        <v>0</v>
      </c>
      <c r="F29" s="666">
        <v>0</v>
      </c>
      <c r="G29" s="666">
        <v>0</v>
      </c>
      <c r="H29" s="666">
        <v>0</v>
      </c>
      <c r="I29" s="1096">
        <f t="shared" si="1"/>
        <v>0</v>
      </c>
    </row>
    <row r="30" spans="1:9" x14ac:dyDescent="0.25">
      <c r="A30" s="1094" t="s">
        <v>389</v>
      </c>
      <c r="B30" s="1353"/>
      <c r="C30" s="666">
        <v>0</v>
      </c>
      <c r="D30" s="666">
        <v>0</v>
      </c>
      <c r="E30" s="1095">
        <f t="shared" si="0"/>
        <v>0</v>
      </c>
      <c r="F30" s="666">
        <v>0</v>
      </c>
      <c r="G30" s="666">
        <v>0</v>
      </c>
      <c r="H30" s="666">
        <v>0</v>
      </c>
      <c r="I30" s="1096">
        <f t="shared" si="1"/>
        <v>0</v>
      </c>
    </row>
    <row r="31" spans="1:9" x14ac:dyDescent="0.25">
      <c r="A31" s="1094" t="s">
        <v>319</v>
      </c>
      <c r="B31" s="1353"/>
      <c r="C31" s="666">
        <v>0</v>
      </c>
      <c r="D31" s="666">
        <v>0</v>
      </c>
      <c r="E31" s="1095">
        <f t="shared" si="0"/>
        <v>0</v>
      </c>
      <c r="F31" s="666">
        <v>0</v>
      </c>
      <c r="G31" s="666">
        <v>0</v>
      </c>
      <c r="H31" s="666">
        <v>0</v>
      </c>
      <c r="I31" s="1096">
        <f t="shared" si="1"/>
        <v>0</v>
      </c>
    </row>
    <row r="32" spans="1:9" x14ac:dyDescent="0.25">
      <c r="A32" s="1094" t="s">
        <v>390</v>
      </c>
      <c r="B32" s="1353"/>
      <c r="C32" s="666">
        <v>0</v>
      </c>
      <c r="D32" s="666">
        <v>0</v>
      </c>
      <c r="E32" s="1095">
        <f t="shared" si="0"/>
        <v>0</v>
      </c>
      <c r="F32" s="666">
        <v>0</v>
      </c>
      <c r="G32" s="666">
        <v>0</v>
      </c>
      <c r="H32" s="666">
        <v>0</v>
      </c>
      <c r="I32" s="1096">
        <f t="shared" si="1"/>
        <v>0</v>
      </c>
    </row>
    <row r="33" spans="1:9" x14ac:dyDescent="0.25">
      <c r="A33" s="1094" t="s">
        <v>320</v>
      </c>
      <c r="B33" s="1353"/>
      <c r="C33" s="666">
        <v>0</v>
      </c>
      <c r="D33" s="666">
        <v>0</v>
      </c>
      <c r="E33" s="1095">
        <f t="shared" si="0"/>
        <v>0</v>
      </c>
      <c r="F33" s="666">
        <v>0</v>
      </c>
      <c r="G33" s="666">
        <v>0</v>
      </c>
      <c r="H33" s="666">
        <v>0</v>
      </c>
      <c r="I33" s="1096">
        <f t="shared" si="1"/>
        <v>0</v>
      </c>
    </row>
    <row r="34" spans="1:9" x14ac:dyDescent="0.25">
      <c r="A34" s="1094" t="s">
        <v>391</v>
      </c>
      <c r="B34" s="1353"/>
      <c r="C34" s="666">
        <v>0</v>
      </c>
      <c r="D34" s="666">
        <v>0</v>
      </c>
      <c r="E34" s="1095">
        <f t="shared" si="0"/>
        <v>0</v>
      </c>
      <c r="F34" s="666">
        <v>0</v>
      </c>
      <c r="G34" s="666">
        <v>0</v>
      </c>
      <c r="H34" s="666">
        <v>0</v>
      </c>
      <c r="I34" s="1096">
        <f t="shared" si="1"/>
        <v>0</v>
      </c>
    </row>
    <row r="35" spans="1:9" x14ac:dyDescent="0.25">
      <c r="A35" s="1094" t="s">
        <v>392</v>
      </c>
      <c r="B35" s="1353"/>
      <c r="C35" s="666">
        <v>0</v>
      </c>
      <c r="D35" s="666">
        <v>0</v>
      </c>
      <c r="E35" s="1095">
        <f t="shared" si="0"/>
        <v>0</v>
      </c>
      <c r="F35" s="666">
        <v>0</v>
      </c>
      <c r="G35" s="666">
        <v>0</v>
      </c>
      <c r="H35" s="666">
        <v>0</v>
      </c>
      <c r="I35" s="1096">
        <f t="shared" si="1"/>
        <v>0</v>
      </c>
    </row>
    <row r="36" spans="1:9" x14ac:dyDescent="0.25">
      <c r="A36" s="1094" t="s">
        <v>321</v>
      </c>
      <c r="B36" s="1353"/>
      <c r="C36" s="666">
        <v>0</v>
      </c>
      <c r="D36" s="666">
        <v>0</v>
      </c>
      <c r="E36" s="1095">
        <f t="shared" si="0"/>
        <v>0</v>
      </c>
      <c r="F36" s="666">
        <v>0</v>
      </c>
      <c r="G36" s="666">
        <v>0</v>
      </c>
      <c r="H36" s="666">
        <v>0</v>
      </c>
      <c r="I36" s="1096">
        <f t="shared" si="1"/>
        <v>0</v>
      </c>
    </row>
    <row r="37" spans="1:9" x14ac:dyDescent="0.25">
      <c r="A37" s="1094" t="s">
        <v>393</v>
      </c>
      <c r="B37" s="1353"/>
      <c r="C37" s="666">
        <v>0</v>
      </c>
      <c r="D37" s="666">
        <v>0</v>
      </c>
      <c r="E37" s="1095">
        <f t="shared" si="0"/>
        <v>0</v>
      </c>
      <c r="F37" s="666">
        <v>0</v>
      </c>
      <c r="G37" s="666">
        <v>0</v>
      </c>
      <c r="H37" s="666">
        <v>0</v>
      </c>
      <c r="I37" s="1096">
        <f t="shared" si="1"/>
        <v>0</v>
      </c>
    </row>
    <row r="38" spans="1:9" x14ac:dyDescent="0.25">
      <c r="A38" s="1094" t="s">
        <v>322</v>
      </c>
      <c r="B38" s="1353"/>
      <c r="C38" s="666">
        <v>0</v>
      </c>
      <c r="D38" s="666">
        <v>0</v>
      </c>
      <c r="E38" s="1095">
        <f>+C38+D38</f>
        <v>0</v>
      </c>
      <c r="F38" s="666">
        <v>0</v>
      </c>
      <c r="G38" s="666">
        <v>0</v>
      </c>
      <c r="H38" s="666">
        <v>0</v>
      </c>
      <c r="I38" s="1096">
        <f t="shared" si="1"/>
        <v>0</v>
      </c>
    </row>
    <row r="39" spans="1:9" x14ac:dyDescent="0.25">
      <c r="A39" s="1094" t="s">
        <v>323</v>
      </c>
      <c r="B39" s="1353"/>
      <c r="C39" s="666">
        <v>0</v>
      </c>
      <c r="D39" s="666">
        <v>0</v>
      </c>
      <c r="E39" s="1095">
        <f t="shared" si="0"/>
        <v>0</v>
      </c>
      <c r="F39" s="666">
        <v>0</v>
      </c>
      <c r="G39" s="666">
        <v>0</v>
      </c>
      <c r="H39" s="666">
        <v>0</v>
      </c>
      <c r="I39" s="1096">
        <f t="shared" si="1"/>
        <v>0</v>
      </c>
    </row>
    <row r="40" spans="1:9" x14ac:dyDescent="0.25">
      <c r="A40" s="1094" t="s">
        <v>394</v>
      </c>
      <c r="B40" s="1353"/>
      <c r="C40" s="666">
        <v>0</v>
      </c>
      <c r="D40" s="666">
        <v>0</v>
      </c>
      <c r="E40" s="1095">
        <f t="shared" si="0"/>
        <v>0</v>
      </c>
      <c r="F40" s="666">
        <v>0</v>
      </c>
      <c r="G40" s="666">
        <v>0</v>
      </c>
      <c r="H40" s="666">
        <v>0</v>
      </c>
      <c r="I40" s="1096">
        <f t="shared" si="1"/>
        <v>0</v>
      </c>
    </row>
    <row r="41" spans="1:9" x14ac:dyDescent="0.25">
      <c r="A41" s="1094" t="s">
        <v>395</v>
      </c>
      <c r="B41" s="1353"/>
      <c r="C41" s="666">
        <v>0</v>
      </c>
      <c r="D41" s="666">
        <v>0</v>
      </c>
      <c r="E41" s="1095">
        <f t="shared" si="0"/>
        <v>0</v>
      </c>
      <c r="F41" s="666">
        <v>0</v>
      </c>
      <c r="G41" s="666">
        <v>0</v>
      </c>
      <c r="H41" s="666">
        <v>0</v>
      </c>
      <c r="I41" s="1096">
        <f t="shared" si="1"/>
        <v>0</v>
      </c>
    </row>
    <row r="42" spans="1:9" x14ac:dyDescent="0.25">
      <c r="A42" s="1094" t="s">
        <v>324</v>
      </c>
      <c r="B42" s="1353"/>
      <c r="C42" s="666">
        <v>0</v>
      </c>
      <c r="D42" s="666">
        <v>0</v>
      </c>
      <c r="E42" s="1095">
        <f t="shared" si="0"/>
        <v>0</v>
      </c>
      <c r="F42" s="666">
        <v>0</v>
      </c>
      <c r="G42" s="666">
        <v>0</v>
      </c>
      <c r="H42" s="666">
        <v>0</v>
      </c>
      <c r="I42" s="1096">
        <f t="shared" si="1"/>
        <v>0</v>
      </c>
    </row>
    <row r="43" spans="1:9" x14ac:dyDescent="0.25">
      <c r="A43" s="1094" t="s">
        <v>396</v>
      </c>
      <c r="B43" s="1353"/>
      <c r="C43" s="666">
        <v>0</v>
      </c>
      <c r="D43" s="666">
        <v>0</v>
      </c>
      <c r="E43" s="1095">
        <f t="shared" si="0"/>
        <v>0</v>
      </c>
      <c r="F43" s="666">
        <v>0</v>
      </c>
      <c r="G43" s="666">
        <v>0</v>
      </c>
      <c r="H43" s="666">
        <v>0</v>
      </c>
      <c r="I43" s="1096">
        <f t="shared" si="1"/>
        <v>0</v>
      </c>
    </row>
    <row r="44" spans="1:9" x14ac:dyDescent="0.25">
      <c r="A44" s="1094" t="s">
        <v>325</v>
      </c>
      <c r="B44" s="1353"/>
      <c r="C44" s="666">
        <v>0</v>
      </c>
      <c r="D44" s="666">
        <v>0</v>
      </c>
      <c r="E44" s="1095">
        <f t="shared" si="0"/>
        <v>0</v>
      </c>
      <c r="F44" s="666">
        <v>0</v>
      </c>
      <c r="G44" s="666">
        <v>0</v>
      </c>
      <c r="H44" s="666">
        <v>0</v>
      </c>
      <c r="I44" s="1096">
        <f t="shared" si="1"/>
        <v>0</v>
      </c>
    </row>
    <row r="45" spans="1:9" x14ac:dyDescent="0.25">
      <c r="A45" s="1094" t="s">
        <v>397</v>
      </c>
      <c r="B45" s="1353"/>
      <c r="C45" s="666">
        <v>0</v>
      </c>
      <c r="D45" s="666">
        <v>0</v>
      </c>
      <c r="E45" s="1095">
        <f t="shared" si="0"/>
        <v>0</v>
      </c>
      <c r="F45" s="666">
        <v>0</v>
      </c>
      <c r="G45" s="666">
        <v>0</v>
      </c>
      <c r="H45" s="666">
        <v>0</v>
      </c>
      <c r="I45" s="1096">
        <f t="shared" si="1"/>
        <v>0</v>
      </c>
    </row>
    <row r="46" spans="1:9" x14ac:dyDescent="0.25">
      <c r="A46" s="1094" t="s">
        <v>398</v>
      </c>
      <c r="B46" s="1353"/>
      <c r="C46" s="666">
        <v>0</v>
      </c>
      <c r="D46" s="666">
        <v>0</v>
      </c>
      <c r="E46" s="1095">
        <f t="shared" si="0"/>
        <v>0</v>
      </c>
      <c r="F46" s="666">
        <v>0</v>
      </c>
      <c r="G46" s="666">
        <v>0</v>
      </c>
      <c r="H46" s="666">
        <v>0</v>
      </c>
      <c r="I46" s="1096">
        <f t="shared" si="1"/>
        <v>0</v>
      </c>
    </row>
    <row r="47" spans="1:9" x14ac:dyDescent="0.25">
      <c r="A47" s="1094" t="s">
        <v>326</v>
      </c>
      <c r="B47" s="1353"/>
      <c r="C47" s="666">
        <v>0</v>
      </c>
      <c r="D47" s="666">
        <v>0</v>
      </c>
      <c r="E47" s="1095">
        <f t="shared" si="0"/>
        <v>0</v>
      </c>
      <c r="F47" s="666">
        <v>0</v>
      </c>
      <c r="G47" s="666">
        <v>0</v>
      </c>
      <c r="H47" s="666">
        <v>0</v>
      </c>
      <c r="I47" s="1096">
        <f t="shared" si="1"/>
        <v>0</v>
      </c>
    </row>
    <row r="48" spans="1:9" x14ac:dyDescent="0.25">
      <c r="A48" s="1094" t="s">
        <v>399</v>
      </c>
      <c r="B48" s="1353"/>
      <c r="C48" s="666">
        <v>0</v>
      </c>
      <c r="D48" s="666">
        <v>0</v>
      </c>
      <c r="E48" s="1095">
        <f t="shared" si="0"/>
        <v>0</v>
      </c>
      <c r="F48" s="666">
        <v>0</v>
      </c>
      <c r="G48" s="666">
        <v>0</v>
      </c>
      <c r="H48" s="666">
        <v>0</v>
      </c>
      <c r="I48" s="1096">
        <f t="shared" si="1"/>
        <v>0</v>
      </c>
    </row>
    <row r="49" spans="1:9" x14ac:dyDescent="0.25">
      <c r="A49" s="1094" t="s">
        <v>327</v>
      </c>
      <c r="B49" s="1353"/>
      <c r="C49" s="666">
        <v>0</v>
      </c>
      <c r="D49" s="666">
        <v>0</v>
      </c>
      <c r="E49" s="1095">
        <f t="shared" si="0"/>
        <v>0</v>
      </c>
      <c r="F49" s="666">
        <v>0</v>
      </c>
      <c r="G49" s="666">
        <v>0</v>
      </c>
      <c r="H49" s="666">
        <v>0</v>
      </c>
      <c r="I49" s="1096">
        <f t="shared" si="1"/>
        <v>0</v>
      </c>
    </row>
    <row r="50" spans="1:9" x14ac:dyDescent="0.25">
      <c r="A50" s="1094" t="s">
        <v>328</v>
      </c>
      <c r="B50" s="1353"/>
      <c r="C50" s="666">
        <v>0</v>
      </c>
      <c r="D50" s="666">
        <v>0</v>
      </c>
      <c r="E50" s="1095">
        <f t="shared" si="0"/>
        <v>0</v>
      </c>
      <c r="F50" s="666">
        <v>0</v>
      </c>
      <c r="G50" s="666">
        <v>0</v>
      </c>
      <c r="H50" s="666">
        <v>0</v>
      </c>
      <c r="I50" s="1096">
        <f t="shared" si="1"/>
        <v>0</v>
      </c>
    </row>
    <row r="51" spans="1:9" x14ac:dyDescent="0.25">
      <c r="A51" s="1094" t="s">
        <v>329</v>
      </c>
      <c r="B51" s="1353"/>
      <c r="C51" s="666">
        <v>0</v>
      </c>
      <c r="D51" s="666">
        <v>0</v>
      </c>
      <c r="E51" s="1095">
        <f t="shared" si="0"/>
        <v>0</v>
      </c>
      <c r="F51" s="666">
        <v>0</v>
      </c>
      <c r="G51" s="666">
        <v>0</v>
      </c>
      <c r="H51" s="666">
        <v>0</v>
      </c>
      <c r="I51" s="1096">
        <f t="shared" si="1"/>
        <v>0</v>
      </c>
    </row>
    <row r="52" spans="1:9" x14ac:dyDescent="0.25">
      <c r="A52" s="1094" t="s">
        <v>330</v>
      </c>
      <c r="B52" s="1353"/>
      <c r="C52" s="666">
        <v>0</v>
      </c>
      <c r="D52" s="666">
        <v>0</v>
      </c>
      <c r="E52" s="1095">
        <f t="shared" si="0"/>
        <v>0</v>
      </c>
      <c r="F52" s="666">
        <v>0</v>
      </c>
      <c r="G52" s="666">
        <v>0</v>
      </c>
      <c r="H52" s="666">
        <v>0</v>
      </c>
      <c r="I52" s="1096">
        <f t="shared" si="1"/>
        <v>0</v>
      </c>
    </row>
    <row r="53" spans="1:9" x14ac:dyDescent="0.25">
      <c r="A53" s="1094" t="s">
        <v>331</v>
      </c>
      <c r="B53" s="1353"/>
      <c r="C53" s="666">
        <v>0</v>
      </c>
      <c r="D53" s="666">
        <v>0</v>
      </c>
      <c r="E53" s="1095">
        <f t="shared" si="0"/>
        <v>0</v>
      </c>
      <c r="F53" s="666">
        <v>0</v>
      </c>
      <c r="G53" s="666">
        <v>0</v>
      </c>
      <c r="H53" s="666">
        <v>0</v>
      </c>
      <c r="I53" s="1096">
        <f t="shared" si="1"/>
        <v>0</v>
      </c>
    </row>
    <row r="54" spans="1:9" x14ac:dyDescent="0.25">
      <c r="A54" s="1094" t="s">
        <v>332</v>
      </c>
      <c r="B54" s="1353"/>
      <c r="C54" s="666">
        <v>0</v>
      </c>
      <c r="D54" s="666">
        <v>0</v>
      </c>
      <c r="E54" s="1095">
        <f t="shared" si="0"/>
        <v>0</v>
      </c>
      <c r="F54" s="666">
        <v>0</v>
      </c>
      <c r="G54" s="666">
        <v>0</v>
      </c>
      <c r="H54" s="666">
        <v>0</v>
      </c>
      <c r="I54" s="1096">
        <f t="shared" si="1"/>
        <v>0</v>
      </c>
    </row>
    <row r="55" spans="1:9" x14ac:dyDescent="0.25">
      <c r="A55" s="1094" t="s">
        <v>333</v>
      </c>
      <c r="B55" s="1353"/>
      <c r="C55" s="666">
        <v>0</v>
      </c>
      <c r="D55" s="666">
        <v>0</v>
      </c>
      <c r="E55" s="1095">
        <f t="shared" si="0"/>
        <v>0</v>
      </c>
      <c r="F55" s="666">
        <v>0</v>
      </c>
      <c r="G55" s="666">
        <v>0</v>
      </c>
      <c r="H55" s="666">
        <v>0</v>
      </c>
      <c r="I55" s="1096">
        <f t="shared" si="1"/>
        <v>0</v>
      </c>
    </row>
    <row r="56" spans="1:9" x14ac:dyDescent="0.25">
      <c r="A56" s="1094" t="s">
        <v>344</v>
      </c>
      <c r="B56" s="1353"/>
      <c r="C56" s="666">
        <v>0</v>
      </c>
      <c r="D56" s="666">
        <v>0</v>
      </c>
      <c r="E56" s="1095">
        <f t="shared" si="0"/>
        <v>0</v>
      </c>
      <c r="F56" s="666">
        <v>0</v>
      </c>
      <c r="G56" s="666">
        <v>0</v>
      </c>
      <c r="H56" s="666">
        <v>0</v>
      </c>
      <c r="I56" s="1096">
        <f t="shared" si="1"/>
        <v>0</v>
      </c>
    </row>
    <row r="57" spans="1:9" x14ac:dyDescent="0.25">
      <c r="A57" s="1094" t="s">
        <v>334</v>
      </c>
      <c r="B57" s="1353"/>
      <c r="C57" s="666">
        <v>0</v>
      </c>
      <c r="D57" s="666">
        <v>0</v>
      </c>
      <c r="E57" s="1095">
        <f t="shared" si="0"/>
        <v>0</v>
      </c>
      <c r="F57" s="666">
        <v>0</v>
      </c>
      <c r="G57" s="666">
        <v>0</v>
      </c>
      <c r="H57" s="666">
        <v>0</v>
      </c>
      <c r="I57" s="1096">
        <f t="shared" si="1"/>
        <v>0</v>
      </c>
    </row>
    <row r="58" spans="1:9" x14ac:dyDescent="0.25">
      <c r="A58" s="1094" t="s">
        <v>335</v>
      </c>
      <c r="B58" s="1353"/>
      <c r="C58" s="666">
        <v>0</v>
      </c>
      <c r="D58" s="666">
        <v>0</v>
      </c>
      <c r="E58" s="1095">
        <f t="shared" si="0"/>
        <v>0</v>
      </c>
      <c r="F58" s="666">
        <v>0</v>
      </c>
      <c r="G58" s="666">
        <v>0</v>
      </c>
      <c r="H58" s="666">
        <v>0</v>
      </c>
      <c r="I58" s="1096">
        <f t="shared" si="1"/>
        <v>0</v>
      </c>
    </row>
    <row r="59" spans="1:9" x14ac:dyDescent="0.25">
      <c r="A59" s="1094" t="s">
        <v>336</v>
      </c>
      <c r="B59" s="1353"/>
      <c r="C59" s="666">
        <v>0</v>
      </c>
      <c r="D59" s="666">
        <v>0</v>
      </c>
      <c r="E59" s="1095">
        <f t="shared" si="0"/>
        <v>0</v>
      </c>
      <c r="F59" s="666">
        <v>0</v>
      </c>
      <c r="G59" s="666">
        <v>0</v>
      </c>
      <c r="H59" s="666">
        <v>0</v>
      </c>
      <c r="I59" s="1096">
        <f t="shared" si="1"/>
        <v>0</v>
      </c>
    </row>
    <row r="60" spans="1:9" x14ac:dyDescent="0.25">
      <c r="A60" s="1094" t="s">
        <v>337</v>
      </c>
      <c r="B60" s="1353"/>
      <c r="C60" s="666">
        <v>0</v>
      </c>
      <c r="D60" s="666">
        <v>0</v>
      </c>
      <c r="E60" s="1095">
        <f t="shared" si="0"/>
        <v>0</v>
      </c>
      <c r="F60" s="666">
        <v>0</v>
      </c>
      <c r="G60" s="666">
        <v>0</v>
      </c>
      <c r="H60" s="666">
        <v>0</v>
      </c>
      <c r="I60" s="1096">
        <f t="shared" si="1"/>
        <v>0</v>
      </c>
    </row>
    <row r="61" spans="1:9" x14ac:dyDescent="0.25">
      <c r="A61" s="1094" t="s">
        <v>338</v>
      </c>
      <c r="B61" s="1353"/>
      <c r="C61" s="666">
        <v>0</v>
      </c>
      <c r="D61" s="666">
        <v>0</v>
      </c>
      <c r="E61" s="1095">
        <f t="shared" si="0"/>
        <v>0</v>
      </c>
      <c r="F61" s="666">
        <v>0</v>
      </c>
      <c r="G61" s="666">
        <v>0</v>
      </c>
      <c r="H61" s="666">
        <v>0</v>
      </c>
      <c r="I61" s="1096">
        <f t="shared" si="1"/>
        <v>0</v>
      </c>
    </row>
    <row r="62" spans="1:9" x14ac:dyDescent="0.25">
      <c r="A62" s="1094" t="s">
        <v>339</v>
      </c>
      <c r="B62" s="1353"/>
      <c r="C62" s="667">
        <v>0</v>
      </c>
      <c r="D62" s="666">
        <v>0</v>
      </c>
      <c r="E62" s="1095">
        <f t="shared" si="0"/>
        <v>0</v>
      </c>
      <c r="F62" s="666">
        <v>0</v>
      </c>
      <c r="G62" s="666">
        <v>0</v>
      </c>
      <c r="H62" s="666">
        <v>0</v>
      </c>
      <c r="I62" s="1096">
        <f t="shared" si="1"/>
        <v>0</v>
      </c>
    </row>
    <row r="63" spans="1:9" x14ac:dyDescent="0.25">
      <c r="A63" s="1094" t="s">
        <v>340</v>
      </c>
      <c r="B63" s="1353"/>
      <c r="C63" s="666">
        <v>0</v>
      </c>
      <c r="D63" s="666">
        <v>0</v>
      </c>
      <c r="E63" s="1095">
        <f t="shared" si="0"/>
        <v>0</v>
      </c>
      <c r="F63" s="666">
        <v>0</v>
      </c>
      <c r="G63" s="666">
        <v>0</v>
      </c>
      <c r="H63" s="666">
        <v>0</v>
      </c>
      <c r="I63" s="1096">
        <f t="shared" si="1"/>
        <v>0</v>
      </c>
    </row>
    <row r="64" spans="1:9" ht="13" thickBot="1" x14ac:dyDescent="0.3">
      <c r="A64" s="1097" t="s">
        <v>341</v>
      </c>
      <c r="B64" s="1354"/>
      <c r="C64" s="668">
        <v>0</v>
      </c>
      <c r="D64" s="668">
        <v>0</v>
      </c>
      <c r="E64" s="1098">
        <f>+C64+D64</f>
        <v>0</v>
      </c>
      <c r="F64" s="668">
        <v>0</v>
      </c>
      <c r="G64" s="668">
        <v>0</v>
      </c>
      <c r="H64" s="668">
        <v>0</v>
      </c>
      <c r="I64" s="1099">
        <f t="shared" si="1"/>
        <v>0</v>
      </c>
    </row>
    <row r="65" spans="1:9" ht="13" x14ac:dyDescent="0.25">
      <c r="A65" s="1100"/>
      <c r="B65" s="1101"/>
      <c r="C65" s="1102"/>
      <c r="D65" s="1102"/>
      <c r="E65" s="1102"/>
      <c r="F65" s="1102"/>
      <c r="G65" s="1102"/>
      <c r="H65" s="1102"/>
      <c r="I65" s="1102"/>
    </row>
    <row r="66" spans="1:9" ht="13" x14ac:dyDescent="0.25">
      <c r="A66" s="1100" t="s">
        <v>342</v>
      </c>
      <c r="B66" s="1101"/>
      <c r="C66" s="1103">
        <f t="shared" ref="C66:H66" si="2">SUM(C20:C64)</f>
        <v>0</v>
      </c>
      <c r="D66" s="1103">
        <f t="shared" si="2"/>
        <v>0</v>
      </c>
      <c r="E66" s="1103">
        <f t="shared" si="2"/>
        <v>0</v>
      </c>
      <c r="F66" s="1103">
        <f t="shared" ref="F66" si="3">SUM(F20:F64)</f>
        <v>0</v>
      </c>
      <c r="G66" s="1103">
        <f t="shared" si="2"/>
        <v>0</v>
      </c>
      <c r="H66" s="1103">
        <f t="shared" si="2"/>
        <v>0</v>
      </c>
      <c r="I66" s="1103">
        <f>SUM(I20:I64)</f>
        <v>0</v>
      </c>
    </row>
    <row r="67" spans="1:9" ht="13.5" thickBot="1" x14ac:dyDescent="0.3">
      <c r="A67" s="1104"/>
      <c r="B67" s="1105"/>
      <c r="C67" s="1106"/>
      <c r="D67" s="1106"/>
      <c r="E67" s="1106"/>
      <c r="F67" s="1106"/>
      <c r="G67" s="1106"/>
      <c r="H67" s="1106"/>
      <c r="I67" s="1107"/>
    </row>
    <row r="68" spans="1:9" s="1109" customFormat="1" ht="12" x14ac:dyDescent="0.25">
      <c r="A68" s="1108"/>
      <c r="B68" s="1108"/>
    </row>
    <row r="69" spans="1:9" s="1109" customFormat="1" ht="12" x14ac:dyDescent="0.25"/>
    <row r="70" spans="1:9" ht="13" thickBot="1" x14ac:dyDescent="0.3"/>
    <row r="71" spans="1:9" ht="20.149999999999999" customHeight="1" thickBot="1" x14ac:dyDescent="0.3">
      <c r="A71" s="1355" t="str">
        <f>"REALITEIT "&amp;B4</f>
        <v>REALITEIT 2021</v>
      </c>
      <c r="B71" s="1356"/>
      <c r="C71" s="1356"/>
      <c r="D71" s="1356"/>
      <c r="E71" s="1356"/>
      <c r="F71" s="1356"/>
      <c r="G71" s="1356"/>
      <c r="H71" s="1356"/>
      <c r="I71" s="1357"/>
    </row>
    <row r="72" spans="1:9" ht="47.5" customHeight="1" x14ac:dyDescent="0.25">
      <c r="A72" s="1110" t="s">
        <v>312</v>
      </c>
      <c r="B72" s="1111" t="s">
        <v>343</v>
      </c>
      <c r="C72" s="1112" t="str">
        <f>"Oorspronkelijke meerwaarde op basis van iRAB voor activa einde boekjaar "&amp;B4-1</f>
        <v>Oorspronkelijke meerwaarde op basis van iRAB voor activa einde boekjaar 2020</v>
      </c>
      <c r="D72" s="1112" t="str">
        <f>"Gecumuleerde afschrijvingen activa einde boekjaar "&amp; B4-1</f>
        <v>Gecumuleerde afschrijvingen activa einde boekjaar 2020</v>
      </c>
      <c r="E72" s="1112" t="str">
        <f>"Nettoboekwaarde meerwaarde op basis van iRAB einde boekjaar "&amp; B4-1</f>
        <v>Nettoboekwaarde meerwaarde op basis van iRAB einde boekjaar 2020</v>
      </c>
      <c r="F72" s="1112" t="str">
        <f>"Transfers boekjaar "&amp;B4</f>
        <v>Transfers boekjaar 2021</v>
      </c>
      <c r="G72" s="1112" t="str">
        <f>"Afschrijvingen boekjaar "&amp;B4</f>
        <v>Afschrijvingen boekjaar 2021</v>
      </c>
      <c r="H72" s="1112" t="str">
        <f>"Desinvesteringen boekjaar "&amp;B4&amp;" (n.a.v. verkoop of structuurwijziging)"</f>
        <v>Desinvesteringen boekjaar 2021 (n.a.v. verkoop of structuurwijziging)</v>
      </c>
      <c r="I72" s="1112" t="str">
        <f>"Nettoboekwaarde meerwaarde op basis van iRAB einde boekjaar "&amp;B4</f>
        <v>Nettoboekwaarde meerwaarde op basis van iRAB einde boekjaar 2021</v>
      </c>
    </row>
    <row r="73" spans="1:9" ht="13.5" thickBot="1" x14ac:dyDescent="0.3">
      <c r="A73" s="1087"/>
      <c r="B73" s="1088"/>
      <c r="C73" s="1089" t="s">
        <v>4</v>
      </c>
      <c r="D73" s="1089" t="s">
        <v>8</v>
      </c>
      <c r="E73" s="1089"/>
      <c r="F73" s="1089" t="s">
        <v>4</v>
      </c>
      <c r="G73" s="1089" t="s">
        <v>8</v>
      </c>
      <c r="H73" s="1089" t="s">
        <v>8</v>
      </c>
      <c r="I73" s="1090"/>
    </row>
    <row r="74" spans="1:9" x14ac:dyDescent="0.25">
      <c r="A74" s="1091" t="s">
        <v>313</v>
      </c>
      <c r="B74" s="1352">
        <v>0.02</v>
      </c>
      <c r="C74" s="665">
        <v>0</v>
      </c>
      <c r="D74" s="665">
        <v>0</v>
      </c>
      <c r="E74" s="1092">
        <f t="shared" ref="E74:E91" si="4">+C74+D74</f>
        <v>0</v>
      </c>
      <c r="F74" s="665">
        <v>0</v>
      </c>
      <c r="G74" s="665">
        <v>0</v>
      </c>
      <c r="H74" s="665">
        <v>0</v>
      </c>
      <c r="I74" s="1093">
        <f>+SUM(E74:H74)</f>
        <v>0</v>
      </c>
    </row>
    <row r="75" spans="1:9" x14ac:dyDescent="0.25">
      <c r="A75" s="1094" t="s">
        <v>314</v>
      </c>
      <c r="B75" s="1353"/>
      <c r="C75" s="666">
        <v>0</v>
      </c>
      <c r="D75" s="666">
        <v>0</v>
      </c>
      <c r="E75" s="1095">
        <f t="shared" si="4"/>
        <v>0</v>
      </c>
      <c r="F75" s="666">
        <v>0</v>
      </c>
      <c r="G75" s="666">
        <v>0</v>
      </c>
      <c r="H75" s="666">
        <v>0</v>
      </c>
      <c r="I75" s="1096">
        <f t="shared" ref="I75:I118" si="5">+SUM(E75:H75)</f>
        <v>0</v>
      </c>
    </row>
    <row r="76" spans="1:9" x14ac:dyDescent="0.25">
      <c r="A76" s="1094" t="s">
        <v>315</v>
      </c>
      <c r="B76" s="1353"/>
      <c r="C76" s="666">
        <v>0</v>
      </c>
      <c r="D76" s="666">
        <v>0</v>
      </c>
      <c r="E76" s="1095">
        <f t="shared" si="4"/>
        <v>0</v>
      </c>
      <c r="F76" s="666">
        <v>0</v>
      </c>
      <c r="G76" s="666">
        <v>0</v>
      </c>
      <c r="H76" s="666">
        <v>0</v>
      </c>
      <c r="I76" s="1096">
        <f t="shared" si="5"/>
        <v>0</v>
      </c>
    </row>
    <row r="77" spans="1:9" x14ac:dyDescent="0.25">
      <c r="A77" s="1094" t="s">
        <v>316</v>
      </c>
      <c r="B77" s="1353"/>
      <c r="C77" s="666">
        <v>0</v>
      </c>
      <c r="D77" s="666">
        <v>0</v>
      </c>
      <c r="E77" s="1095">
        <f t="shared" si="4"/>
        <v>0</v>
      </c>
      <c r="F77" s="666">
        <v>0</v>
      </c>
      <c r="G77" s="666">
        <v>0</v>
      </c>
      <c r="H77" s="666">
        <v>0</v>
      </c>
      <c r="I77" s="1096">
        <f t="shared" si="5"/>
        <v>0</v>
      </c>
    </row>
    <row r="78" spans="1:9" x14ac:dyDescent="0.25">
      <c r="A78" s="1094" t="s">
        <v>385</v>
      </c>
      <c r="B78" s="1353"/>
      <c r="C78" s="666">
        <v>0</v>
      </c>
      <c r="D78" s="666">
        <v>0</v>
      </c>
      <c r="E78" s="1095">
        <f t="shared" si="4"/>
        <v>0</v>
      </c>
      <c r="F78" s="666">
        <v>0</v>
      </c>
      <c r="G78" s="666">
        <v>0</v>
      </c>
      <c r="H78" s="666">
        <v>0</v>
      </c>
      <c r="I78" s="1096">
        <f t="shared" si="5"/>
        <v>0</v>
      </c>
    </row>
    <row r="79" spans="1:9" x14ac:dyDescent="0.25">
      <c r="A79" s="1094" t="s">
        <v>386</v>
      </c>
      <c r="B79" s="1353"/>
      <c r="C79" s="666">
        <v>0</v>
      </c>
      <c r="D79" s="666">
        <v>0</v>
      </c>
      <c r="E79" s="1095">
        <f t="shared" si="4"/>
        <v>0</v>
      </c>
      <c r="F79" s="666">
        <v>0</v>
      </c>
      <c r="G79" s="666">
        <v>0</v>
      </c>
      <c r="H79" s="666">
        <v>0</v>
      </c>
      <c r="I79" s="1096">
        <f t="shared" si="5"/>
        <v>0</v>
      </c>
    </row>
    <row r="80" spans="1:9" x14ac:dyDescent="0.25">
      <c r="A80" s="1094" t="s">
        <v>317</v>
      </c>
      <c r="B80" s="1353"/>
      <c r="C80" s="666">
        <v>0</v>
      </c>
      <c r="D80" s="666">
        <v>0</v>
      </c>
      <c r="E80" s="1095">
        <f t="shared" si="4"/>
        <v>0</v>
      </c>
      <c r="F80" s="666">
        <v>0</v>
      </c>
      <c r="G80" s="666">
        <v>0</v>
      </c>
      <c r="H80" s="666">
        <v>0</v>
      </c>
      <c r="I80" s="1096">
        <f t="shared" si="5"/>
        <v>0</v>
      </c>
    </row>
    <row r="81" spans="1:9" x14ac:dyDescent="0.25">
      <c r="A81" s="1094" t="s">
        <v>387</v>
      </c>
      <c r="B81" s="1353"/>
      <c r="C81" s="666">
        <v>0</v>
      </c>
      <c r="D81" s="666">
        <v>0</v>
      </c>
      <c r="E81" s="1095">
        <f t="shared" si="4"/>
        <v>0</v>
      </c>
      <c r="F81" s="666">
        <v>0</v>
      </c>
      <c r="G81" s="666">
        <v>0</v>
      </c>
      <c r="H81" s="666">
        <v>0</v>
      </c>
      <c r="I81" s="1096">
        <f t="shared" si="5"/>
        <v>0</v>
      </c>
    </row>
    <row r="82" spans="1:9" x14ac:dyDescent="0.25">
      <c r="A82" s="1094" t="s">
        <v>318</v>
      </c>
      <c r="B82" s="1353"/>
      <c r="C82" s="666">
        <v>0</v>
      </c>
      <c r="D82" s="666">
        <v>0</v>
      </c>
      <c r="E82" s="1095">
        <f t="shared" si="4"/>
        <v>0</v>
      </c>
      <c r="F82" s="666">
        <v>0</v>
      </c>
      <c r="G82" s="666">
        <v>0</v>
      </c>
      <c r="H82" s="666">
        <v>0</v>
      </c>
      <c r="I82" s="1096">
        <f t="shared" si="5"/>
        <v>0</v>
      </c>
    </row>
    <row r="83" spans="1:9" x14ac:dyDescent="0.25">
      <c r="A83" s="1094" t="s">
        <v>388</v>
      </c>
      <c r="B83" s="1353"/>
      <c r="C83" s="666">
        <v>0</v>
      </c>
      <c r="D83" s="666">
        <v>0</v>
      </c>
      <c r="E83" s="1095">
        <f t="shared" si="4"/>
        <v>0</v>
      </c>
      <c r="F83" s="666">
        <v>0</v>
      </c>
      <c r="G83" s="666">
        <v>0</v>
      </c>
      <c r="H83" s="666">
        <v>0</v>
      </c>
      <c r="I83" s="1096">
        <f t="shared" si="5"/>
        <v>0</v>
      </c>
    </row>
    <row r="84" spans="1:9" x14ac:dyDescent="0.25">
      <c r="A84" s="1094" t="s">
        <v>389</v>
      </c>
      <c r="B84" s="1353"/>
      <c r="C84" s="666">
        <v>0</v>
      </c>
      <c r="D84" s="666">
        <v>0</v>
      </c>
      <c r="E84" s="1095">
        <f t="shared" si="4"/>
        <v>0</v>
      </c>
      <c r="F84" s="666">
        <v>0</v>
      </c>
      <c r="G84" s="666">
        <v>0</v>
      </c>
      <c r="H84" s="666">
        <v>0</v>
      </c>
      <c r="I84" s="1096">
        <f t="shared" si="5"/>
        <v>0</v>
      </c>
    </row>
    <row r="85" spans="1:9" x14ac:dyDescent="0.25">
      <c r="A85" s="1094" t="s">
        <v>319</v>
      </c>
      <c r="B85" s="1353"/>
      <c r="C85" s="666">
        <v>0</v>
      </c>
      <c r="D85" s="666">
        <v>0</v>
      </c>
      <c r="E85" s="1095">
        <f t="shared" si="4"/>
        <v>0</v>
      </c>
      <c r="F85" s="666">
        <v>0</v>
      </c>
      <c r="G85" s="666">
        <v>0</v>
      </c>
      <c r="H85" s="666">
        <v>0</v>
      </c>
      <c r="I85" s="1096">
        <f t="shared" si="5"/>
        <v>0</v>
      </c>
    </row>
    <row r="86" spans="1:9" x14ac:dyDescent="0.25">
      <c r="A86" s="1094" t="s">
        <v>390</v>
      </c>
      <c r="B86" s="1353"/>
      <c r="C86" s="666">
        <v>0</v>
      </c>
      <c r="D86" s="666">
        <v>0</v>
      </c>
      <c r="E86" s="1095">
        <f t="shared" si="4"/>
        <v>0</v>
      </c>
      <c r="F86" s="666">
        <v>0</v>
      </c>
      <c r="G86" s="666">
        <v>0</v>
      </c>
      <c r="H86" s="666">
        <v>0</v>
      </c>
      <c r="I86" s="1096">
        <f t="shared" si="5"/>
        <v>0</v>
      </c>
    </row>
    <row r="87" spans="1:9" x14ac:dyDescent="0.25">
      <c r="A87" s="1094" t="s">
        <v>320</v>
      </c>
      <c r="B87" s="1353"/>
      <c r="C87" s="666">
        <v>0</v>
      </c>
      <c r="D87" s="666">
        <v>0</v>
      </c>
      <c r="E87" s="1095">
        <f t="shared" si="4"/>
        <v>0</v>
      </c>
      <c r="F87" s="666">
        <v>0</v>
      </c>
      <c r="G87" s="666">
        <v>0</v>
      </c>
      <c r="H87" s="666">
        <v>0</v>
      </c>
      <c r="I87" s="1096">
        <f t="shared" si="5"/>
        <v>0</v>
      </c>
    </row>
    <row r="88" spans="1:9" x14ac:dyDescent="0.25">
      <c r="A88" s="1094" t="s">
        <v>391</v>
      </c>
      <c r="B88" s="1353"/>
      <c r="C88" s="666">
        <v>0</v>
      </c>
      <c r="D88" s="666">
        <v>0</v>
      </c>
      <c r="E88" s="1095">
        <f t="shared" si="4"/>
        <v>0</v>
      </c>
      <c r="F88" s="666">
        <v>0</v>
      </c>
      <c r="G88" s="666">
        <v>0</v>
      </c>
      <c r="H88" s="666">
        <v>0</v>
      </c>
      <c r="I88" s="1096">
        <f t="shared" si="5"/>
        <v>0</v>
      </c>
    </row>
    <row r="89" spans="1:9" x14ac:dyDescent="0.25">
      <c r="A89" s="1094" t="s">
        <v>392</v>
      </c>
      <c r="B89" s="1353"/>
      <c r="C89" s="666">
        <v>0</v>
      </c>
      <c r="D89" s="666">
        <v>0</v>
      </c>
      <c r="E89" s="1095">
        <f t="shared" si="4"/>
        <v>0</v>
      </c>
      <c r="F89" s="666">
        <v>0</v>
      </c>
      <c r="G89" s="666">
        <v>0</v>
      </c>
      <c r="H89" s="666">
        <v>0</v>
      </c>
      <c r="I89" s="1096">
        <f t="shared" si="5"/>
        <v>0</v>
      </c>
    </row>
    <row r="90" spans="1:9" x14ac:dyDescent="0.25">
      <c r="A90" s="1094" t="s">
        <v>321</v>
      </c>
      <c r="B90" s="1353"/>
      <c r="C90" s="666">
        <v>0</v>
      </c>
      <c r="D90" s="666">
        <v>0</v>
      </c>
      <c r="E90" s="1095">
        <f t="shared" si="4"/>
        <v>0</v>
      </c>
      <c r="F90" s="666">
        <v>0</v>
      </c>
      <c r="G90" s="666">
        <v>0</v>
      </c>
      <c r="H90" s="666">
        <v>0</v>
      </c>
      <c r="I90" s="1096">
        <f t="shared" si="5"/>
        <v>0</v>
      </c>
    </row>
    <row r="91" spans="1:9" x14ac:dyDescent="0.25">
      <c r="A91" s="1094" t="s">
        <v>393</v>
      </c>
      <c r="B91" s="1353"/>
      <c r="C91" s="666">
        <v>0</v>
      </c>
      <c r="D91" s="666">
        <v>0</v>
      </c>
      <c r="E91" s="1095">
        <f t="shared" si="4"/>
        <v>0</v>
      </c>
      <c r="F91" s="666">
        <v>0</v>
      </c>
      <c r="G91" s="666">
        <v>0</v>
      </c>
      <c r="H91" s="666">
        <v>0</v>
      </c>
      <c r="I91" s="1096">
        <f t="shared" si="5"/>
        <v>0</v>
      </c>
    </row>
    <row r="92" spans="1:9" x14ac:dyDescent="0.25">
      <c r="A92" s="1094" t="s">
        <v>322</v>
      </c>
      <c r="B92" s="1353"/>
      <c r="C92" s="666">
        <v>0</v>
      </c>
      <c r="D92" s="666">
        <v>0</v>
      </c>
      <c r="E92" s="1095">
        <f>+C92+D92</f>
        <v>0</v>
      </c>
      <c r="F92" s="666">
        <v>0</v>
      </c>
      <c r="G92" s="666">
        <v>0</v>
      </c>
      <c r="H92" s="666">
        <v>0</v>
      </c>
      <c r="I92" s="1096">
        <f t="shared" si="5"/>
        <v>0</v>
      </c>
    </row>
    <row r="93" spans="1:9" x14ac:dyDescent="0.25">
      <c r="A93" s="1094" t="s">
        <v>323</v>
      </c>
      <c r="B93" s="1353"/>
      <c r="C93" s="666">
        <v>0</v>
      </c>
      <c r="D93" s="666">
        <v>0</v>
      </c>
      <c r="E93" s="1095">
        <f t="shared" ref="E93:E117" si="6">+C93+D93</f>
        <v>0</v>
      </c>
      <c r="F93" s="666">
        <v>0</v>
      </c>
      <c r="G93" s="666">
        <v>0</v>
      </c>
      <c r="H93" s="666">
        <v>0</v>
      </c>
      <c r="I93" s="1096">
        <f t="shared" si="5"/>
        <v>0</v>
      </c>
    </row>
    <row r="94" spans="1:9" x14ac:dyDescent="0.25">
      <c r="A94" s="1094" t="s">
        <v>394</v>
      </c>
      <c r="B94" s="1353"/>
      <c r="C94" s="666">
        <v>0</v>
      </c>
      <c r="D94" s="666">
        <v>0</v>
      </c>
      <c r="E94" s="1095">
        <f t="shared" si="6"/>
        <v>0</v>
      </c>
      <c r="F94" s="666">
        <v>0</v>
      </c>
      <c r="G94" s="666">
        <v>0</v>
      </c>
      <c r="H94" s="666">
        <v>0</v>
      </c>
      <c r="I94" s="1096">
        <f t="shared" si="5"/>
        <v>0</v>
      </c>
    </row>
    <row r="95" spans="1:9" x14ac:dyDescent="0.25">
      <c r="A95" s="1094" t="s">
        <v>395</v>
      </c>
      <c r="B95" s="1353"/>
      <c r="C95" s="666">
        <v>0</v>
      </c>
      <c r="D95" s="666">
        <v>0</v>
      </c>
      <c r="E95" s="1095">
        <f t="shared" si="6"/>
        <v>0</v>
      </c>
      <c r="F95" s="666">
        <v>0</v>
      </c>
      <c r="G95" s="666">
        <v>0</v>
      </c>
      <c r="H95" s="666">
        <v>0</v>
      </c>
      <c r="I95" s="1096">
        <f t="shared" si="5"/>
        <v>0</v>
      </c>
    </row>
    <row r="96" spans="1:9" x14ac:dyDescent="0.25">
      <c r="A96" s="1094" t="s">
        <v>324</v>
      </c>
      <c r="B96" s="1353"/>
      <c r="C96" s="666">
        <v>0</v>
      </c>
      <c r="D96" s="666">
        <v>0</v>
      </c>
      <c r="E96" s="1095">
        <f t="shared" si="6"/>
        <v>0</v>
      </c>
      <c r="F96" s="666">
        <v>0</v>
      </c>
      <c r="G96" s="666">
        <v>0</v>
      </c>
      <c r="H96" s="666">
        <v>0</v>
      </c>
      <c r="I96" s="1096">
        <f t="shared" si="5"/>
        <v>0</v>
      </c>
    </row>
    <row r="97" spans="1:9" x14ac:dyDescent="0.25">
      <c r="A97" s="1094" t="s">
        <v>396</v>
      </c>
      <c r="B97" s="1353"/>
      <c r="C97" s="666">
        <v>0</v>
      </c>
      <c r="D97" s="666">
        <v>0</v>
      </c>
      <c r="E97" s="1095">
        <f t="shared" si="6"/>
        <v>0</v>
      </c>
      <c r="F97" s="666">
        <v>0</v>
      </c>
      <c r="G97" s="666">
        <v>0</v>
      </c>
      <c r="H97" s="666">
        <v>0</v>
      </c>
      <c r="I97" s="1096">
        <f t="shared" si="5"/>
        <v>0</v>
      </c>
    </row>
    <row r="98" spans="1:9" x14ac:dyDescent="0.25">
      <c r="A98" s="1094" t="s">
        <v>325</v>
      </c>
      <c r="B98" s="1353"/>
      <c r="C98" s="666">
        <v>0</v>
      </c>
      <c r="D98" s="666">
        <v>0</v>
      </c>
      <c r="E98" s="1095">
        <f t="shared" si="6"/>
        <v>0</v>
      </c>
      <c r="F98" s="666">
        <v>0</v>
      </c>
      <c r="G98" s="666">
        <v>0</v>
      </c>
      <c r="H98" s="666">
        <v>0</v>
      </c>
      <c r="I98" s="1096">
        <f t="shared" si="5"/>
        <v>0</v>
      </c>
    </row>
    <row r="99" spans="1:9" x14ac:dyDescent="0.25">
      <c r="A99" s="1094" t="s">
        <v>397</v>
      </c>
      <c r="B99" s="1353"/>
      <c r="C99" s="666">
        <v>0</v>
      </c>
      <c r="D99" s="666">
        <v>0</v>
      </c>
      <c r="E99" s="1095">
        <f t="shared" si="6"/>
        <v>0</v>
      </c>
      <c r="F99" s="666">
        <v>0</v>
      </c>
      <c r="G99" s="666">
        <v>0</v>
      </c>
      <c r="H99" s="666">
        <v>0</v>
      </c>
      <c r="I99" s="1096">
        <f t="shared" si="5"/>
        <v>0</v>
      </c>
    </row>
    <row r="100" spans="1:9" x14ac:dyDescent="0.25">
      <c r="A100" s="1094" t="s">
        <v>398</v>
      </c>
      <c r="B100" s="1353"/>
      <c r="C100" s="666">
        <v>0</v>
      </c>
      <c r="D100" s="666">
        <v>0</v>
      </c>
      <c r="E100" s="1095">
        <f t="shared" si="6"/>
        <v>0</v>
      </c>
      <c r="F100" s="666">
        <v>0</v>
      </c>
      <c r="G100" s="666">
        <v>0</v>
      </c>
      <c r="H100" s="666">
        <v>0</v>
      </c>
      <c r="I100" s="1096">
        <f t="shared" si="5"/>
        <v>0</v>
      </c>
    </row>
    <row r="101" spans="1:9" x14ac:dyDescent="0.25">
      <c r="A101" s="1094" t="s">
        <v>326</v>
      </c>
      <c r="B101" s="1353"/>
      <c r="C101" s="666">
        <v>0</v>
      </c>
      <c r="D101" s="666">
        <v>0</v>
      </c>
      <c r="E101" s="1095">
        <f t="shared" si="6"/>
        <v>0</v>
      </c>
      <c r="F101" s="666">
        <v>0</v>
      </c>
      <c r="G101" s="666">
        <v>0</v>
      </c>
      <c r="H101" s="666">
        <v>0</v>
      </c>
      <c r="I101" s="1096">
        <f t="shared" si="5"/>
        <v>0</v>
      </c>
    </row>
    <row r="102" spans="1:9" x14ac:dyDescent="0.25">
      <c r="A102" s="1094" t="s">
        <v>399</v>
      </c>
      <c r="B102" s="1353"/>
      <c r="C102" s="666">
        <v>0</v>
      </c>
      <c r="D102" s="666">
        <v>0</v>
      </c>
      <c r="E102" s="1095">
        <f t="shared" si="6"/>
        <v>0</v>
      </c>
      <c r="F102" s="666">
        <v>0</v>
      </c>
      <c r="G102" s="666">
        <v>0</v>
      </c>
      <c r="H102" s="666">
        <v>0</v>
      </c>
      <c r="I102" s="1096">
        <f t="shared" si="5"/>
        <v>0</v>
      </c>
    </row>
    <row r="103" spans="1:9" x14ac:dyDescent="0.25">
      <c r="A103" s="1094" t="s">
        <v>327</v>
      </c>
      <c r="B103" s="1353"/>
      <c r="C103" s="666">
        <v>0</v>
      </c>
      <c r="D103" s="666">
        <v>0</v>
      </c>
      <c r="E103" s="1095">
        <f t="shared" si="6"/>
        <v>0</v>
      </c>
      <c r="F103" s="666">
        <v>0</v>
      </c>
      <c r="G103" s="666">
        <v>0</v>
      </c>
      <c r="H103" s="666">
        <v>0</v>
      </c>
      <c r="I103" s="1096">
        <f t="shared" si="5"/>
        <v>0</v>
      </c>
    </row>
    <row r="104" spans="1:9" x14ac:dyDescent="0.25">
      <c r="A104" s="1094" t="s">
        <v>328</v>
      </c>
      <c r="B104" s="1353"/>
      <c r="C104" s="666">
        <v>0</v>
      </c>
      <c r="D104" s="666">
        <v>0</v>
      </c>
      <c r="E104" s="1095">
        <f t="shared" si="6"/>
        <v>0</v>
      </c>
      <c r="F104" s="666">
        <v>0</v>
      </c>
      <c r="G104" s="666">
        <v>0</v>
      </c>
      <c r="H104" s="666">
        <v>0</v>
      </c>
      <c r="I104" s="1096">
        <f t="shared" si="5"/>
        <v>0</v>
      </c>
    </row>
    <row r="105" spans="1:9" x14ac:dyDescent="0.25">
      <c r="A105" s="1094" t="s">
        <v>329</v>
      </c>
      <c r="B105" s="1353"/>
      <c r="C105" s="666">
        <v>0</v>
      </c>
      <c r="D105" s="666">
        <v>0</v>
      </c>
      <c r="E105" s="1095">
        <f t="shared" si="6"/>
        <v>0</v>
      </c>
      <c r="F105" s="666">
        <v>0</v>
      </c>
      <c r="G105" s="666">
        <v>0</v>
      </c>
      <c r="H105" s="666">
        <v>0</v>
      </c>
      <c r="I105" s="1096">
        <f t="shared" si="5"/>
        <v>0</v>
      </c>
    </row>
    <row r="106" spans="1:9" x14ac:dyDescent="0.25">
      <c r="A106" s="1094" t="s">
        <v>330</v>
      </c>
      <c r="B106" s="1353"/>
      <c r="C106" s="666">
        <v>0</v>
      </c>
      <c r="D106" s="666">
        <v>0</v>
      </c>
      <c r="E106" s="1095">
        <f t="shared" si="6"/>
        <v>0</v>
      </c>
      <c r="F106" s="666">
        <v>0</v>
      </c>
      <c r="G106" s="666">
        <v>0</v>
      </c>
      <c r="H106" s="666">
        <v>0</v>
      </c>
      <c r="I106" s="1096">
        <f t="shared" si="5"/>
        <v>0</v>
      </c>
    </row>
    <row r="107" spans="1:9" x14ac:dyDescent="0.25">
      <c r="A107" s="1094" t="s">
        <v>331</v>
      </c>
      <c r="B107" s="1353"/>
      <c r="C107" s="666">
        <v>0</v>
      </c>
      <c r="D107" s="666">
        <v>0</v>
      </c>
      <c r="E107" s="1095">
        <f t="shared" si="6"/>
        <v>0</v>
      </c>
      <c r="F107" s="666">
        <v>0</v>
      </c>
      <c r="G107" s="666">
        <v>0</v>
      </c>
      <c r="H107" s="666">
        <v>0</v>
      </c>
      <c r="I107" s="1096">
        <f t="shared" si="5"/>
        <v>0</v>
      </c>
    </row>
    <row r="108" spans="1:9" x14ac:dyDescent="0.25">
      <c r="A108" s="1094" t="s">
        <v>332</v>
      </c>
      <c r="B108" s="1353"/>
      <c r="C108" s="666">
        <v>0</v>
      </c>
      <c r="D108" s="666">
        <v>0</v>
      </c>
      <c r="E108" s="1095">
        <f t="shared" si="6"/>
        <v>0</v>
      </c>
      <c r="F108" s="666">
        <v>0</v>
      </c>
      <c r="G108" s="666">
        <v>0</v>
      </c>
      <c r="H108" s="666">
        <v>0</v>
      </c>
      <c r="I108" s="1096">
        <f t="shared" si="5"/>
        <v>0</v>
      </c>
    </row>
    <row r="109" spans="1:9" x14ac:dyDescent="0.25">
      <c r="A109" s="1094" t="s">
        <v>333</v>
      </c>
      <c r="B109" s="1353"/>
      <c r="C109" s="666">
        <v>0</v>
      </c>
      <c r="D109" s="666">
        <v>0</v>
      </c>
      <c r="E109" s="1095">
        <f t="shared" si="6"/>
        <v>0</v>
      </c>
      <c r="F109" s="666">
        <v>0</v>
      </c>
      <c r="G109" s="666">
        <v>0</v>
      </c>
      <c r="H109" s="666">
        <v>0</v>
      </c>
      <c r="I109" s="1096">
        <f t="shared" si="5"/>
        <v>0</v>
      </c>
    </row>
    <row r="110" spans="1:9" x14ac:dyDescent="0.25">
      <c r="A110" s="1094" t="s">
        <v>344</v>
      </c>
      <c r="B110" s="1353"/>
      <c r="C110" s="666">
        <v>0</v>
      </c>
      <c r="D110" s="666">
        <v>0</v>
      </c>
      <c r="E110" s="1095">
        <f t="shared" si="6"/>
        <v>0</v>
      </c>
      <c r="F110" s="666">
        <v>0</v>
      </c>
      <c r="G110" s="666">
        <v>0</v>
      </c>
      <c r="H110" s="666">
        <v>0</v>
      </c>
      <c r="I110" s="1096">
        <f t="shared" si="5"/>
        <v>0</v>
      </c>
    </row>
    <row r="111" spans="1:9" x14ac:dyDescent="0.25">
      <c r="A111" s="1094" t="s">
        <v>334</v>
      </c>
      <c r="B111" s="1353"/>
      <c r="C111" s="666">
        <v>0</v>
      </c>
      <c r="D111" s="666">
        <v>0</v>
      </c>
      <c r="E111" s="1095">
        <f t="shared" si="6"/>
        <v>0</v>
      </c>
      <c r="F111" s="666">
        <v>0</v>
      </c>
      <c r="G111" s="666">
        <v>0</v>
      </c>
      <c r="H111" s="666">
        <v>0</v>
      </c>
      <c r="I111" s="1096">
        <f t="shared" si="5"/>
        <v>0</v>
      </c>
    </row>
    <row r="112" spans="1:9" x14ac:dyDescent="0.25">
      <c r="A112" s="1094" t="s">
        <v>335</v>
      </c>
      <c r="B112" s="1353"/>
      <c r="C112" s="666">
        <v>0</v>
      </c>
      <c r="D112" s="666">
        <v>0</v>
      </c>
      <c r="E112" s="1095">
        <f t="shared" si="6"/>
        <v>0</v>
      </c>
      <c r="F112" s="666">
        <v>0</v>
      </c>
      <c r="G112" s="666">
        <v>0</v>
      </c>
      <c r="H112" s="666">
        <v>0</v>
      </c>
      <c r="I112" s="1096">
        <f t="shared" si="5"/>
        <v>0</v>
      </c>
    </row>
    <row r="113" spans="1:9" x14ac:dyDescent="0.25">
      <c r="A113" s="1094" t="s">
        <v>336</v>
      </c>
      <c r="B113" s="1353"/>
      <c r="C113" s="666">
        <v>0</v>
      </c>
      <c r="D113" s="666">
        <v>0</v>
      </c>
      <c r="E113" s="1095">
        <f t="shared" si="6"/>
        <v>0</v>
      </c>
      <c r="F113" s="666">
        <v>0</v>
      </c>
      <c r="G113" s="666">
        <v>0</v>
      </c>
      <c r="H113" s="666">
        <v>0</v>
      </c>
      <c r="I113" s="1096">
        <f t="shared" si="5"/>
        <v>0</v>
      </c>
    </row>
    <row r="114" spans="1:9" x14ac:dyDescent="0.25">
      <c r="A114" s="1094" t="s">
        <v>337</v>
      </c>
      <c r="B114" s="1353"/>
      <c r="C114" s="666">
        <v>0</v>
      </c>
      <c r="D114" s="666">
        <v>0</v>
      </c>
      <c r="E114" s="1095">
        <f t="shared" si="6"/>
        <v>0</v>
      </c>
      <c r="F114" s="666">
        <v>0</v>
      </c>
      <c r="G114" s="666">
        <v>0</v>
      </c>
      <c r="H114" s="666">
        <v>0</v>
      </c>
      <c r="I114" s="1096">
        <f t="shared" si="5"/>
        <v>0</v>
      </c>
    </row>
    <row r="115" spans="1:9" x14ac:dyDescent="0.25">
      <c r="A115" s="1094" t="s">
        <v>338</v>
      </c>
      <c r="B115" s="1353"/>
      <c r="C115" s="666">
        <v>0</v>
      </c>
      <c r="D115" s="666">
        <v>0</v>
      </c>
      <c r="E115" s="1095">
        <f t="shared" si="6"/>
        <v>0</v>
      </c>
      <c r="F115" s="666">
        <v>0</v>
      </c>
      <c r="G115" s="666">
        <v>0</v>
      </c>
      <c r="H115" s="666">
        <v>0</v>
      </c>
      <c r="I115" s="1096">
        <f t="shared" si="5"/>
        <v>0</v>
      </c>
    </row>
    <row r="116" spans="1:9" x14ac:dyDescent="0.25">
      <c r="A116" s="1094" t="s">
        <v>339</v>
      </c>
      <c r="B116" s="1353"/>
      <c r="C116" s="667">
        <v>0</v>
      </c>
      <c r="D116" s="666">
        <v>0</v>
      </c>
      <c r="E116" s="1095">
        <f t="shared" si="6"/>
        <v>0</v>
      </c>
      <c r="F116" s="666">
        <v>0</v>
      </c>
      <c r="G116" s="666">
        <v>0</v>
      </c>
      <c r="H116" s="666">
        <v>0</v>
      </c>
      <c r="I116" s="1096">
        <f t="shared" si="5"/>
        <v>0</v>
      </c>
    </row>
    <row r="117" spans="1:9" x14ac:dyDescent="0.25">
      <c r="A117" s="1094" t="s">
        <v>340</v>
      </c>
      <c r="B117" s="1353"/>
      <c r="C117" s="666">
        <v>0</v>
      </c>
      <c r="D117" s="666">
        <v>0</v>
      </c>
      <c r="E117" s="1095">
        <f t="shared" si="6"/>
        <v>0</v>
      </c>
      <c r="F117" s="666">
        <v>0</v>
      </c>
      <c r="G117" s="666">
        <v>0</v>
      </c>
      <c r="H117" s="666">
        <v>0</v>
      </c>
      <c r="I117" s="1096">
        <f t="shared" si="5"/>
        <v>0</v>
      </c>
    </row>
    <row r="118" spans="1:9" ht="13" thickBot="1" x14ac:dyDescent="0.3">
      <c r="A118" s="1097" t="s">
        <v>341</v>
      </c>
      <c r="B118" s="1354"/>
      <c r="C118" s="668">
        <v>0</v>
      </c>
      <c r="D118" s="668">
        <v>0</v>
      </c>
      <c r="E118" s="1098">
        <f>+C118+D118</f>
        <v>0</v>
      </c>
      <c r="F118" s="668">
        <v>0</v>
      </c>
      <c r="G118" s="668">
        <v>0</v>
      </c>
      <c r="H118" s="668">
        <v>0</v>
      </c>
      <c r="I118" s="1099">
        <f t="shared" si="5"/>
        <v>0</v>
      </c>
    </row>
    <row r="119" spans="1:9" ht="13" x14ac:dyDescent="0.25">
      <c r="A119" s="1100"/>
      <c r="B119" s="1101"/>
      <c r="C119" s="1102"/>
      <c r="D119" s="1102"/>
      <c r="E119" s="1102"/>
      <c r="F119" s="1102"/>
      <c r="G119" s="1102"/>
      <c r="H119" s="1102"/>
      <c r="I119" s="1102"/>
    </row>
    <row r="120" spans="1:9" ht="13" x14ac:dyDescent="0.25">
      <c r="A120" s="1100" t="s">
        <v>342</v>
      </c>
      <c r="B120" s="1101"/>
      <c r="C120" s="1103">
        <f t="shared" ref="C120:I120" si="7">SUM(C74:C118)</f>
        <v>0</v>
      </c>
      <c r="D120" s="1103">
        <f t="shared" si="7"/>
        <v>0</v>
      </c>
      <c r="E120" s="1103">
        <f t="shared" si="7"/>
        <v>0</v>
      </c>
      <c r="F120" s="1103">
        <f t="shared" ref="F120" si="8">SUM(F74:F118)</f>
        <v>0</v>
      </c>
      <c r="G120" s="1103">
        <f t="shared" si="7"/>
        <v>0</v>
      </c>
      <c r="H120" s="1103">
        <f t="shared" si="7"/>
        <v>0</v>
      </c>
      <c r="I120" s="1103">
        <f t="shared" si="7"/>
        <v>0</v>
      </c>
    </row>
    <row r="121" spans="1:9" ht="13.5" thickBot="1" x14ac:dyDescent="0.3">
      <c r="A121" s="1104"/>
      <c r="B121" s="1105"/>
      <c r="C121" s="1106"/>
      <c r="D121" s="1106"/>
      <c r="E121" s="1106"/>
      <c r="F121" s="1106"/>
      <c r="G121" s="1106"/>
      <c r="H121" s="1106"/>
      <c r="I121" s="1107"/>
    </row>
  </sheetData>
  <sheetProtection algorithmName="SHA-512" hashValue="ibib1H2VthZstalW1HFK/9qXD3Fvc9V8sEZOndQ3dhD2VREAryOrfS+laxGF4zZkX1JABqbHjhtz2EzeFs1LUQ==" saltValue="zCZVFuUfSjQX8K0+9R6bYg==" spinCount="100000" sheet="1" objects="1" scenarios="1"/>
  <mergeCells count="6">
    <mergeCell ref="B20:B64"/>
    <mergeCell ref="A17:I17"/>
    <mergeCell ref="A71:I71"/>
    <mergeCell ref="B74:B118"/>
    <mergeCell ref="A1:I1"/>
    <mergeCell ref="A14:C14"/>
  </mergeCells>
  <conditionalFormatting sqref="A1:E11 A15:E1048576 G15:XFD1048576 G1:XFD11">
    <cfRule type="expression" dxfId="23" priority="8">
      <formula>$K$1="gas"</formula>
    </cfRule>
  </conditionalFormatting>
  <conditionalFormatting sqref="A12:E14 G12:XFD14">
    <cfRule type="expression" dxfId="22" priority="4">
      <formula>$L$1="gas"</formula>
    </cfRule>
  </conditionalFormatting>
  <conditionalFormatting sqref="F15:F1048576 F1:F11">
    <cfRule type="expression" dxfId="21" priority="3">
      <formula>$K$1="gas"</formula>
    </cfRule>
  </conditionalFormatting>
  <conditionalFormatting sqref="F12:F14">
    <cfRule type="expression" dxfId="20" priority="1">
      <formula>$L$1="gas"</formula>
    </cfRule>
  </conditionalFormatting>
  <dataValidations count="2">
    <dataValidation type="decimal" operator="lessThanOrEqual" allowBlank="1" showInputMessage="1" showErrorMessage="1" errorTitle="Positief bedrag" error="Gelieve een negatief bedrag in te geven" sqref="F65557:H65600 JD65557:JD65600 SZ65557:SZ65600 ACV65557:ACV65600 AMR65557:AMR65600 AWN65557:AWN65600 BGJ65557:BGJ65600 BQF65557:BQF65600 CAB65557:CAB65600 CJX65557:CJX65600 CTT65557:CTT65600 DDP65557:DDP65600 DNL65557:DNL65600 DXH65557:DXH65600 EHD65557:EHD65600 EQZ65557:EQZ65600 FAV65557:FAV65600 FKR65557:FKR65600 FUN65557:FUN65600 GEJ65557:GEJ65600 GOF65557:GOF65600 GYB65557:GYB65600 HHX65557:HHX65600 HRT65557:HRT65600 IBP65557:IBP65600 ILL65557:ILL65600 IVH65557:IVH65600 JFD65557:JFD65600 JOZ65557:JOZ65600 JYV65557:JYV65600 KIR65557:KIR65600 KSN65557:KSN65600 LCJ65557:LCJ65600 LMF65557:LMF65600 LWB65557:LWB65600 MFX65557:MFX65600 MPT65557:MPT65600 MZP65557:MZP65600 NJL65557:NJL65600 NTH65557:NTH65600 ODD65557:ODD65600 OMZ65557:OMZ65600 OWV65557:OWV65600 PGR65557:PGR65600 PQN65557:PQN65600 QAJ65557:QAJ65600 QKF65557:QKF65600 QUB65557:QUB65600 RDX65557:RDX65600 RNT65557:RNT65600 RXP65557:RXP65600 SHL65557:SHL65600 SRH65557:SRH65600 TBD65557:TBD65600 TKZ65557:TKZ65600 TUV65557:TUV65600 UER65557:UER65600 UON65557:UON65600 UYJ65557:UYJ65600 VIF65557:VIF65600 VSB65557:VSB65600 WBX65557:WBX65600 WLT65557:WLT65600 WVP65557:WVP65600 F131093:H131136 JD131093:JD131136 SZ131093:SZ131136 ACV131093:ACV131136 AMR131093:AMR131136 AWN131093:AWN131136 BGJ131093:BGJ131136 BQF131093:BQF131136 CAB131093:CAB131136 CJX131093:CJX131136 CTT131093:CTT131136 DDP131093:DDP131136 DNL131093:DNL131136 DXH131093:DXH131136 EHD131093:EHD131136 EQZ131093:EQZ131136 FAV131093:FAV131136 FKR131093:FKR131136 FUN131093:FUN131136 GEJ131093:GEJ131136 GOF131093:GOF131136 GYB131093:GYB131136 HHX131093:HHX131136 HRT131093:HRT131136 IBP131093:IBP131136 ILL131093:ILL131136 IVH131093:IVH131136 JFD131093:JFD131136 JOZ131093:JOZ131136 JYV131093:JYV131136 KIR131093:KIR131136 KSN131093:KSN131136 LCJ131093:LCJ131136 LMF131093:LMF131136 LWB131093:LWB131136 MFX131093:MFX131136 MPT131093:MPT131136 MZP131093:MZP131136 NJL131093:NJL131136 NTH131093:NTH131136 ODD131093:ODD131136 OMZ131093:OMZ131136 OWV131093:OWV131136 PGR131093:PGR131136 PQN131093:PQN131136 QAJ131093:QAJ131136 QKF131093:QKF131136 QUB131093:QUB131136 RDX131093:RDX131136 RNT131093:RNT131136 RXP131093:RXP131136 SHL131093:SHL131136 SRH131093:SRH131136 TBD131093:TBD131136 TKZ131093:TKZ131136 TUV131093:TUV131136 UER131093:UER131136 UON131093:UON131136 UYJ131093:UYJ131136 VIF131093:VIF131136 VSB131093:VSB131136 WBX131093:WBX131136 WLT131093:WLT131136 WVP131093:WVP131136 F196629:H196672 JD196629:JD196672 SZ196629:SZ196672 ACV196629:ACV196672 AMR196629:AMR196672 AWN196629:AWN196672 BGJ196629:BGJ196672 BQF196629:BQF196672 CAB196629:CAB196672 CJX196629:CJX196672 CTT196629:CTT196672 DDP196629:DDP196672 DNL196629:DNL196672 DXH196629:DXH196672 EHD196629:EHD196672 EQZ196629:EQZ196672 FAV196629:FAV196672 FKR196629:FKR196672 FUN196629:FUN196672 GEJ196629:GEJ196672 GOF196629:GOF196672 GYB196629:GYB196672 HHX196629:HHX196672 HRT196629:HRT196672 IBP196629:IBP196672 ILL196629:ILL196672 IVH196629:IVH196672 JFD196629:JFD196672 JOZ196629:JOZ196672 JYV196629:JYV196672 KIR196629:KIR196672 KSN196629:KSN196672 LCJ196629:LCJ196672 LMF196629:LMF196672 LWB196629:LWB196672 MFX196629:MFX196672 MPT196629:MPT196672 MZP196629:MZP196672 NJL196629:NJL196672 NTH196629:NTH196672 ODD196629:ODD196672 OMZ196629:OMZ196672 OWV196629:OWV196672 PGR196629:PGR196672 PQN196629:PQN196672 QAJ196629:QAJ196672 QKF196629:QKF196672 QUB196629:QUB196672 RDX196629:RDX196672 RNT196629:RNT196672 RXP196629:RXP196672 SHL196629:SHL196672 SRH196629:SRH196672 TBD196629:TBD196672 TKZ196629:TKZ196672 TUV196629:TUV196672 UER196629:UER196672 UON196629:UON196672 UYJ196629:UYJ196672 VIF196629:VIF196672 VSB196629:VSB196672 WBX196629:WBX196672 WLT196629:WLT196672 WVP196629:WVP196672 F262165:H262208 JD262165:JD262208 SZ262165:SZ262208 ACV262165:ACV262208 AMR262165:AMR262208 AWN262165:AWN262208 BGJ262165:BGJ262208 BQF262165:BQF262208 CAB262165:CAB262208 CJX262165:CJX262208 CTT262165:CTT262208 DDP262165:DDP262208 DNL262165:DNL262208 DXH262165:DXH262208 EHD262165:EHD262208 EQZ262165:EQZ262208 FAV262165:FAV262208 FKR262165:FKR262208 FUN262165:FUN262208 GEJ262165:GEJ262208 GOF262165:GOF262208 GYB262165:GYB262208 HHX262165:HHX262208 HRT262165:HRT262208 IBP262165:IBP262208 ILL262165:ILL262208 IVH262165:IVH262208 JFD262165:JFD262208 JOZ262165:JOZ262208 JYV262165:JYV262208 KIR262165:KIR262208 KSN262165:KSN262208 LCJ262165:LCJ262208 LMF262165:LMF262208 LWB262165:LWB262208 MFX262165:MFX262208 MPT262165:MPT262208 MZP262165:MZP262208 NJL262165:NJL262208 NTH262165:NTH262208 ODD262165:ODD262208 OMZ262165:OMZ262208 OWV262165:OWV262208 PGR262165:PGR262208 PQN262165:PQN262208 QAJ262165:QAJ262208 QKF262165:QKF262208 QUB262165:QUB262208 RDX262165:RDX262208 RNT262165:RNT262208 RXP262165:RXP262208 SHL262165:SHL262208 SRH262165:SRH262208 TBD262165:TBD262208 TKZ262165:TKZ262208 TUV262165:TUV262208 UER262165:UER262208 UON262165:UON262208 UYJ262165:UYJ262208 VIF262165:VIF262208 VSB262165:VSB262208 WBX262165:WBX262208 WLT262165:WLT262208 WVP262165:WVP262208 F327701:H327744 JD327701:JD327744 SZ327701:SZ327744 ACV327701:ACV327744 AMR327701:AMR327744 AWN327701:AWN327744 BGJ327701:BGJ327744 BQF327701:BQF327744 CAB327701:CAB327744 CJX327701:CJX327744 CTT327701:CTT327744 DDP327701:DDP327744 DNL327701:DNL327744 DXH327701:DXH327744 EHD327701:EHD327744 EQZ327701:EQZ327744 FAV327701:FAV327744 FKR327701:FKR327744 FUN327701:FUN327744 GEJ327701:GEJ327744 GOF327701:GOF327744 GYB327701:GYB327744 HHX327701:HHX327744 HRT327701:HRT327744 IBP327701:IBP327744 ILL327701:ILL327744 IVH327701:IVH327744 JFD327701:JFD327744 JOZ327701:JOZ327744 JYV327701:JYV327744 KIR327701:KIR327744 KSN327701:KSN327744 LCJ327701:LCJ327744 LMF327701:LMF327744 LWB327701:LWB327744 MFX327701:MFX327744 MPT327701:MPT327744 MZP327701:MZP327744 NJL327701:NJL327744 NTH327701:NTH327744 ODD327701:ODD327744 OMZ327701:OMZ327744 OWV327701:OWV327744 PGR327701:PGR327744 PQN327701:PQN327744 QAJ327701:QAJ327744 QKF327701:QKF327744 QUB327701:QUB327744 RDX327701:RDX327744 RNT327701:RNT327744 RXP327701:RXP327744 SHL327701:SHL327744 SRH327701:SRH327744 TBD327701:TBD327744 TKZ327701:TKZ327744 TUV327701:TUV327744 UER327701:UER327744 UON327701:UON327744 UYJ327701:UYJ327744 VIF327701:VIF327744 VSB327701:VSB327744 WBX327701:WBX327744 WLT327701:WLT327744 WVP327701:WVP327744 F393237:H393280 JD393237:JD393280 SZ393237:SZ393280 ACV393237:ACV393280 AMR393237:AMR393280 AWN393237:AWN393280 BGJ393237:BGJ393280 BQF393237:BQF393280 CAB393237:CAB393280 CJX393237:CJX393280 CTT393237:CTT393280 DDP393237:DDP393280 DNL393237:DNL393280 DXH393237:DXH393280 EHD393237:EHD393280 EQZ393237:EQZ393280 FAV393237:FAV393280 FKR393237:FKR393280 FUN393237:FUN393280 GEJ393237:GEJ393280 GOF393237:GOF393280 GYB393237:GYB393280 HHX393237:HHX393280 HRT393237:HRT393280 IBP393237:IBP393280 ILL393237:ILL393280 IVH393237:IVH393280 JFD393237:JFD393280 JOZ393237:JOZ393280 JYV393237:JYV393280 KIR393237:KIR393280 KSN393237:KSN393280 LCJ393237:LCJ393280 LMF393237:LMF393280 LWB393237:LWB393280 MFX393237:MFX393280 MPT393237:MPT393280 MZP393237:MZP393280 NJL393237:NJL393280 NTH393237:NTH393280 ODD393237:ODD393280 OMZ393237:OMZ393280 OWV393237:OWV393280 PGR393237:PGR393280 PQN393237:PQN393280 QAJ393237:QAJ393280 QKF393237:QKF393280 QUB393237:QUB393280 RDX393237:RDX393280 RNT393237:RNT393280 RXP393237:RXP393280 SHL393237:SHL393280 SRH393237:SRH393280 TBD393237:TBD393280 TKZ393237:TKZ393280 TUV393237:TUV393280 UER393237:UER393280 UON393237:UON393280 UYJ393237:UYJ393280 VIF393237:VIF393280 VSB393237:VSB393280 WBX393237:WBX393280 WLT393237:WLT393280 WVP393237:WVP393280 F458773:H458816 JD458773:JD458816 SZ458773:SZ458816 ACV458773:ACV458816 AMR458773:AMR458816 AWN458773:AWN458816 BGJ458773:BGJ458816 BQF458773:BQF458816 CAB458773:CAB458816 CJX458773:CJX458816 CTT458773:CTT458816 DDP458773:DDP458816 DNL458773:DNL458816 DXH458773:DXH458816 EHD458773:EHD458816 EQZ458773:EQZ458816 FAV458773:FAV458816 FKR458773:FKR458816 FUN458773:FUN458816 GEJ458773:GEJ458816 GOF458773:GOF458816 GYB458773:GYB458816 HHX458773:HHX458816 HRT458773:HRT458816 IBP458773:IBP458816 ILL458773:ILL458816 IVH458773:IVH458816 JFD458773:JFD458816 JOZ458773:JOZ458816 JYV458773:JYV458816 KIR458773:KIR458816 KSN458773:KSN458816 LCJ458773:LCJ458816 LMF458773:LMF458816 LWB458773:LWB458816 MFX458773:MFX458816 MPT458773:MPT458816 MZP458773:MZP458816 NJL458773:NJL458816 NTH458773:NTH458816 ODD458773:ODD458816 OMZ458773:OMZ458816 OWV458773:OWV458816 PGR458773:PGR458816 PQN458773:PQN458816 QAJ458773:QAJ458816 QKF458773:QKF458816 QUB458773:QUB458816 RDX458773:RDX458816 RNT458773:RNT458816 RXP458773:RXP458816 SHL458773:SHL458816 SRH458773:SRH458816 TBD458773:TBD458816 TKZ458773:TKZ458816 TUV458773:TUV458816 UER458773:UER458816 UON458773:UON458816 UYJ458773:UYJ458816 VIF458773:VIF458816 VSB458773:VSB458816 WBX458773:WBX458816 WLT458773:WLT458816 WVP458773:WVP458816 F524309:H524352 JD524309:JD524352 SZ524309:SZ524352 ACV524309:ACV524352 AMR524309:AMR524352 AWN524309:AWN524352 BGJ524309:BGJ524352 BQF524309:BQF524352 CAB524309:CAB524352 CJX524309:CJX524352 CTT524309:CTT524352 DDP524309:DDP524352 DNL524309:DNL524352 DXH524309:DXH524352 EHD524309:EHD524352 EQZ524309:EQZ524352 FAV524309:FAV524352 FKR524309:FKR524352 FUN524309:FUN524352 GEJ524309:GEJ524352 GOF524309:GOF524352 GYB524309:GYB524352 HHX524309:HHX524352 HRT524309:HRT524352 IBP524309:IBP524352 ILL524309:ILL524352 IVH524309:IVH524352 JFD524309:JFD524352 JOZ524309:JOZ524352 JYV524309:JYV524352 KIR524309:KIR524352 KSN524309:KSN524352 LCJ524309:LCJ524352 LMF524309:LMF524352 LWB524309:LWB524352 MFX524309:MFX524352 MPT524309:MPT524352 MZP524309:MZP524352 NJL524309:NJL524352 NTH524309:NTH524352 ODD524309:ODD524352 OMZ524309:OMZ524352 OWV524309:OWV524352 PGR524309:PGR524352 PQN524309:PQN524352 QAJ524309:QAJ524352 QKF524309:QKF524352 QUB524309:QUB524352 RDX524309:RDX524352 RNT524309:RNT524352 RXP524309:RXP524352 SHL524309:SHL524352 SRH524309:SRH524352 TBD524309:TBD524352 TKZ524309:TKZ524352 TUV524309:TUV524352 UER524309:UER524352 UON524309:UON524352 UYJ524309:UYJ524352 VIF524309:VIF524352 VSB524309:VSB524352 WBX524309:WBX524352 WLT524309:WLT524352 WVP524309:WVP524352 F589845:H589888 JD589845:JD589888 SZ589845:SZ589888 ACV589845:ACV589888 AMR589845:AMR589888 AWN589845:AWN589888 BGJ589845:BGJ589888 BQF589845:BQF589888 CAB589845:CAB589888 CJX589845:CJX589888 CTT589845:CTT589888 DDP589845:DDP589888 DNL589845:DNL589888 DXH589845:DXH589888 EHD589845:EHD589888 EQZ589845:EQZ589888 FAV589845:FAV589888 FKR589845:FKR589888 FUN589845:FUN589888 GEJ589845:GEJ589888 GOF589845:GOF589888 GYB589845:GYB589888 HHX589845:HHX589888 HRT589845:HRT589888 IBP589845:IBP589888 ILL589845:ILL589888 IVH589845:IVH589888 JFD589845:JFD589888 JOZ589845:JOZ589888 JYV589845:JYV589888 KIR589845:KIR589888 KSN589845:KSN589888 LCJ589845:LCJ589888 LMF589845:LMF589888 LWB589845:LWB589888 MFX589845:MFX589888 MPT589845:MPT589888 MZP589845:MZP589888 NJL589845:NJL589888 NTH589845:NTH589888 ODD589845:ODD589888 OMZ589845:OMZ589888 OWV589845:OWV589888 PGR589845:PGR589888 PQN589845:PQN589888 QAJ589845:QAJ589888 QKF589845:QKF589888 QUB589845:QUB589888 RDX589845:RDX589888 RNT589845:RNT589888 RXP589845:RXP589888 SHL589845:SHL589888 SRH589845:SRH589888 TBD589845:TBD589888 TKZ589845:TKZ589888 TUV589845:TUV589888 UER589845:UER589888 UON589845:UON589888 UYJ589845:UYJ589888 VIF589845:VIF589888 VSB589845:VSB589888 WBX589845:WBX589888 WLT589845:WLT589888 WVP589845:WVP589888 F655381:H655424 JD655381:JD655424 SZ655381:SZ655424 ACV655381:ACV655424 AMR655381:AMR655424 AWN655381:AWN655424 BGJ655381:BGJ655424 BQF655381:BQF655424 CAB655381:CAB655424 CJX655381:CJX655424 CTT655381:CTT655424 DDP655381:DDP655424 DNL655381:DNL655424 DXH655381:DXH655424 EHD655381:EHD655424 EQZ655381:EQZ655424 FAV655381:FAV655424 FKR655381:FKR655424 FUN655381:FUN655424 GEJ655381:GEJ655424 GOF655381:GOF655424 GYB655381:GYB655424 HHX655381:HHX655424 HRT655381:HRT655424 IBP655381:IBP655424 ILL655381:ILL655424 IVH655381:IVH655424 JFD655381:JFD655424 JOZ655381:JOZ655424 JYV655381:JYV655424 KIR655381:KIR655424 KSN655381:KSN655424 LCJ655381:LCJ655424 LMF655381:LMF655424 LWB655381:LWB655424 MFX655381:MFX655424 MPT655381:MPT655424 MZP655381:MZP655424 NJL655381:NJL655424 NTH655381:NTH655424 ODD655381:ODD655424 OMZ655381:OMZ655424 OWV655381:OWV655424 PGR655381:PGR655424 PQN655381:PQN655424 QAJ655381:QAJ655424 QKF655381:QKF655424 QUB655381:QUB655424 RDX655381:RDX655424 RNT655381:RNT655424 RXP655381:RXP655424 SHL655381:SHL655424 SRH655381:SRH655424 TBD655381:TBD655424 TKZ655381:TKZ655424 TUV655381:TUV655424 UER655381:UER655424 UON655381:UON655424 UYJ655381:UYJ655424 VIF655381:VIF655424 VSB655381:VSB655424 WBX655381:WBX655424 WLT655381:WLT655424 WVP655381:WVP655424 F720917:H720960 JD720917:JD720960 SZ720917:SZ720960 ACV720917:ACV720960 AMR720917:AMR720960 AWN720917:AWN720960 BGJ720917:BGJ720960 BQF720917:BQF720960 CAB720917:CAB720960 CJX720917:CJX720960 CTT720917:CTT720960 DDP720917:DDP720960 DNL720917:DNL720960 DXH720917:DXH720960 EHD720917:EHD720960 EQZ720917:EQZ720960 FAV720917:FAV720960 FKR720917:FKR720960 FUN720917:FUN720960 GEJ720917:GEJ720960 GOF720917:GOF720960 GYB720917:GYB720960 HHX720917:HHX720960 HRT720917:HRT720960 IBP720917:IBP720960 ILL720917:ILL720960 IVH720917:IVH720960 JFD720917:JFD720960 JOZ720917:JOZ720960 JYV720917:JYV720960 KIR720917:KIR720960 KSN720917:KSN720960 LCJ720917:LCJ720960 LMF720917:LMF720960 LWB720917:LWB720960 MFX720917:MFX720960 MPT720917:MPT720960 MZP720917:MZP720960 NJL720917:NJL720960 NTH720917:NTH720960 ODD720917:ODD720960 OMZ720917:OMZ720960 OWV720917:OWV720960 PGR720917:PGR720960 PQN720917:PQN720960 QAJ720917:QAJ720960 QKF720917:QKF720960 QUB720917:QUB720960 RDX720917:RDX720960 RNT720917:RNT720960 RXP720917:RXP720960 SHL720917:SHL720960 SRH720917:SRH720960 TBD720917:TBD720960 TKZ720917:TKZ720960 TUV720917:TUV720960 UER720917:UER720960 UON720917:UON720960 UYJ720917:UYJ720960 VIF720917:VIF720960 VSB720917:VSB720960 WBX720917:WBX720960 WLT720917:WLT720960 WVP720917:WVP720960 F786453:H786496 JD786453:JD786496 SZ786453:SZ786496 ACV786453:ACV786496 AMR786453:AMR786496 AWN786453:AWN786496 BGJ786453:BGJ786496 BQF786453:BQF786496 CAB786453:CAB786496 CJX786453:CJX786496 CTT786453:CTT786496 DDP786453:DDP786496 DNL786453:DNL786496 DXH786453:DXH786496 EHD786453:EHD786496 EQZ786453:EQZ786496 FAV786453:FAV786496 FKR786453:FKR786496 FUN786453:FUN786496 GEJ786453:GEJ786496 GOF786453:GOF786496 GYB786453:GYB786496 HHX786453:HHX786496 HRT786453:HRT786496 IBP786453:IBP786496 ILL786453:ILL786496 IVH786453:IVH786496 JFD786453:JFD786496 JOZ786453:JOZ786496 JYV786453:JYV786496 KIR786453:KIR786496 KSN786453:KSN786496 LCJ786453:LCJ786496 LMF786453:LMF786496 LWB786453:LWB786496 MFX786453:MFX786496 MPT786453:MPT786496 MZP786453:MZP786496 NJL786453:NJL786496 NTH786453:NTH786496 ODD786453:ODD786496 OMZ786453:OMZ786496 OWV786453:OWV786496 PGR786453:PGR786496 PQN786453:PQN786496 QAJ786453:QAJ786496 QKF786453:QKF786496 QUB786453:QUB786496 RDX786453:RDX786496 RNT786453:RNT786496 RXP786453:RXP786496 SHL786453:SHL786496 SRH786453:SRH786496 TBD786453:TBD786496 TKZ786453:TKZ786496 TUV786453:TUV786496 UER786453:UER786496 UON786453:UON786496 UYJ786453:UYJ786496 VIF786453:VIF786496 VSB786453:VSB786496 WBX786453:WBX786496 WLT786453:WLT786496 WVP786453:WVP786496 F851989:H852032 JD851989:JD852032 SZ851989:SZ852032 ACV851989:ACV852032 AMR851989:AMR852032 AWN851989:AWN852032 BGJ851989:BGJ852032 BQF851989:BQF852032 CAB851989:CAB852032 CJX851989:CJX852032 CTT851989:CTT852032 DDP851989:DDP852032 DNL851989:DNL852032 DXH851989:DXH852032 EHD851989:EHD852032 EQZ851989:EQZ852032 FAV851989:FAV852032 FKR851989:FKR852032 FUN851989:FUN852032 GEJ851989:GEJ852032 GOF851989:GOF852032 GYB851989:GYB852032 HHX851989:HHX852032 HRT851989:HRT852032 IBP851989:IBP852032 ILL851989:ILL852032 IVH851989:IVH852032 JFD851989:JFD852032 JOZ851989:JOZ852032 JYV851989:JYV852032 KIR851989:KIR852032 KSN851989:KSN852032 LCJ851989:LCJ852032 LMF851989:LMF852032 LWB851989:LWB852032 MFX851989:MFX852032 MPT851989:MPT852032 MZP851989:MZP852032 NJL851989:NJL852032 NTH851989:NTH852032 ODD851989:ODD852032 OMZ851989:OMZ852032 OWV851989:OWV852032 PGR851989:PGR852032 PQN851989:PQN852032 QAJ851989:QAJ852032 QKF851989:QKF852032 QUB851989:QUB852032 RDX851989:RDX852032 RNT851989:RNT852032 RXP851989:RXP852032 SHL851989:SHL852032 SRH851989:SRH852032 TBD851989:TBD852032 TKZ851989:TKZ852032 TUV851989:TUV852032 UER851989:UER852032 UON851989:UON852032 UYJ851989:UYJ852032 VIF851989:VIF852032 VSB851989:VSB852032 WBX851989:WBX852032 WLT851989:WLT852032 WVP851989:WVP852032 F917525:H917568 JD917525:JD917568 SZ917525:SZ917568 ACV917525:ACV917568 AMR917525:AMR917568 AWN917525:AWN917568 BGJ917525:BGJ917568 BQF917525:BQF917568 CAB917525:CAB917568 CJX917525:CJX917568 CTT917525:CTT917568 DDP917525:DDP917568 DNL917525:DNL917568 DXH917525:DXH917568 EHD917525:EHD917568 EQZ917525:EQZ917568 FAV917525:FAV917568 FKR917525:FKR917568 FUN917525:FUN917568 GEJ917525:GEJ917568 GOF917525:GOF917568 GYB917525:GYB917568 HHX917525:HHX917568 HRT917525:HRT917568 IBP917525:IBP917568 ILL917525:ILL917568 IVH917525:IVH917568 JFD917525:JFD917568 JOZ917525:JOZ917568 JYV917525:JYV917568 KIR917525:KIR917568 KSN917525:KSN917568 LCJ917525:LCJ917568 LMF917525:LMF917568 LWB917525:LWB917568 MFX917525:MFX917568 MPT917525:MPT917568 MZP917525:MZP917568 NJL917525:NJL917568 NTH917525:NTH917568 ODD917525:ODD917568 OMZ917525:OMZ917568 OWV917525:OWV917568 PGR917525:PGR917568 PQN917525:PQN917568 QAJ917525:QAJ917568 QKF917525:QKF917568 QUB917525:QUB917568 RDX917525:RDX917568 RNT917525:RNT917568 RXP917525:RXP917568 SHL917525:SHL917568 SRH917525:SRH917568 TBD917525:TBD917568 TKZ917525:TKZ917568 TUV917525:TUV917568 UER917525:UER917568 UON917525:UON917568 UYJ917525:UYJ917568 VIF917525:VIF917568 VSB917525:VSB917568 WBX917525:WBX917568 WLT917525:WLT917568 WVP917525:WVP917568 F983061:H983104 JD983061:JD983104 SZ983061:SZ983104 ACV983061:ACV983104 AMR983061:AMR983104 AWN983061:AWN983104 BGJ983061:BGJ983104 BQF983061:BQF983104 CAB983061:CAB983104 CJX983061:CJX983104 CTT983061:CTT983104 DDP983061:DDP983104 DNL983061:DNL983104 DXH983061:DXH983104 EHD983061:EHD983104 EQZ983061:EQZ983104 FAV983061:FAV983104 FKR983061:FKR983104 FUN983061:FUN983104 GEJ983061:GEJ983104 GOF983061:GOF983104 GYB983061:GYB983104 HHX983061:HHX983104 HRT983061:HRT983104 IBP983061:IBP983104 ILL983061:ILL983104 IVH983061:IVH983104 JFD983061:JFD983104 JOZ983061:JOZ983104 JYV983061:JYV983104 KIR983061:KIR983104 KSN983061:KSN983104 LCJ983061:LCJ983104 LMF983061:LMF983104 LWB983061:LWB983104 MFX983061:MFX983104 MPT983061:MPT983104 MZP983061:MZP983104 NJL983061:NJL983104 NTH983061:NTH983104 ODD983061:ODD983104 OMZ983061:OMZ983104 OWV983061:OWV983104 PGR983061:PGR983104 PQN983061:PQN983104 QAJ983061:QAJ983104 QKF983061:QKF983104 QUB983061:QUB983104 RDX983061:RDX983104 RNT983061:RNT983104 RXP983061:RXP983104 SHL983061:SHL983104 SRH983061:SRH983104 TBD983061:TBD983104 TKZ983061:TKZ983104 TUV983061:TUV983104 UER983061:UER983104 UON983061:UON983104 UYJ983061:UYJ983104 VIF983061:VIF983104 VSB983061:VSB983104 WBX983061:WBX983104 WLT983061:WLT983104 WVP983061:WVP983104 WVN983061:WVN983104 D65557:D65600 JB65557:JB65600 SX65557:SX65600 ACT65557:ACT65600 AMP65557:AMP65600 AWL65557:AWL65600 BGH65557:BGH65600 BQD65557:BQD65600 BZZ65557:BZZ65600 CJV65557:CJV65600 CTR65557:CTR65600 DDN65557:DDN65600 DNJ65557:DNJ65600 DXF65557:DXF65600 EHB65557:EHB65600 EQX65557:EQX65600 FAT65557:FAT65600 FKP65557:FKP65600 FUL65557:FUL65600 GEH65557:GEH65600 GOD65557:GOD65600 GXZ65557:GXZ65600 HHV65557:HHV65600 HRR65557:HRR65600 IBN65557:IBN65600 ILJ65557:ILJ65600 IVF65557:IVF65600 JFB65557:JFB65600 JOX65557:JOX65600 JYT65557:JYT65600 KIP65557:KIP65600 KSL65557:KSL65600 LCH65557:LCH65600 LMD65557:LMD65600 LVZ65557:LVZ65600 MFV65557:MFV65600 MPR65557:MPR65600 MZN65557:MZN65600 NJJ65557:NJJ65600 NTF65557:NTF65600 ODB65557:ODB65600 OMX65557:OMX65600 OWT65557:OWT65600 PGP65557:PGP65600 PQL65557:PQL65600 QAH65557:QAH65600 QKD65557:QKD65600 QTZ65557:QTZ65600 RDV65557:RDV65600 RNR65557:RNR65600 RXN65557:RXN65600 SHJ65557:SHJ65600 SRF65557:SRF65600 TBB65557:TBB65600 TKX65557:TKX65600 TUT65557:TUT65600 UEP65557:UEP65600 UOL65557:UOL65600 UYH65557:UYH65600 VID65557:VID65600 VRZ65557:VRZ65600 WBV65557:WBV65600 WLR65557:WLR65600 WVN65557:WVN65600 D131093:D131136 JB131093:JB131136 SX131093:SX131136 ACT131093:ACT131136 AMP131093:AMP131136 AWL131093:AWL131136 BGH131093:BGH131136 BQD131093:BQD131136 BZZ131093:BZZ131136 CJV131093:CJV131136 CTR131093:CTR131136 DDN131093:DDN131136 DNJ131093:DNJ131136 DXF131093:DXF131136 EHB131093:EHB131136 EQX131093:EQX131136 FAT131093:FAT131136 FKP131093:FKP131136 FUL131093:FUL131136 GEH131093:GEH131136 GOD131093:GOD131136 GXZ131093:GXZ131136 HHV131093:HHV131136 HRR131093:HRR131136 IBN131093:IBN131136 ILJ131093:ILJ131136 IVF131093:IVF131136 JFB131093:JFB131136 JOX131093:JOX131136 JYT131093:JYT131136 KIP131093:KIP131136 KSL131093:KSL131136 LCH131093:LCH131136 LMD131093:LMD131136 LVZ131093:LVZ131136 MFV131093:MFV131136 MPR131093:MPR131136 MZN131093:MZN131136 NJJ131093:NJJ131136 NTF131093:NTF131136 ODB131093:ODB131136 OMX131093:OMX131136 OWT131093:OWT131136 PGP131093:PGP131136 PQL131093:PQL131136 QAH131093:QAH131136 QKD131093:QKD131136 QTZ131093:QTZ131136 RDV131093:RDV131136 RNR131093:RNR131136 RXN131093:RXN131136 SHJ131093:SHJ131136 SRF131093:SRF131136 TBB131093:TBB131136 TKX131093:TKX131136 TUT131093:TUT131136 UEP131093:UEP131136 UOL131093:UOL131136 UYH131093:UYH131136 VID131093:VID131136 VRZ131093:VRZ131136 WBV131093:WBV131136 WLR131093:WLR131136 WVN131093:WVN131136 D196629:D196672 JB196629:JB196672 SX196629:SX196672 ACT196629:ACT196672 AMP196629:AMP196672 AWL196629:AWL196672 BGH196629:BGH196672 BQD196629:BQD196672 BZZ196629:BZZ196672 CJV196629:CJV196672 CTR196629:CTR196672 DDN196629:DDN196672 DNJ196629:DNJ196672 DXF196629:DXF196672 EHB196629:EHB196672 EQX196629:EQX196672 FAT196629:FAT196672 FKP196629:FKP196672 FUL196629:FUL196672 GEH196629:GEH196672 GOD196629:GOD196672 GXZ196629:GXZ196672 HHV196629:HHV196672 HRR196629:HRR196672 IBN196629:IBN196672 ILJ196629:ILJ196672 IVF196629:IVF196672 JFB196629:JFB196672 JOX196629:JOX196672 JYT196629:JYT196672 KIP196629:KIP196672 KSL196629:KSL196672 LCH196629:LCH196672 LMD196629:LMD196672 LVZ196629:LVZ196672 MFV196629:MFV196672 MPR196629:MPR196672 MZN196629:MZN196672 NJJ196629:NJJ196672 NTF196629:NTF196672 ODB196629:ODB196672 OMX196629:OMX196672 OWT196629:OWT196672 PGP196629:PGP196672 PQL196629:PQL196672 QAH196629:QAH196672 QKD196629:QKD196672 QTZ196629:QTZ196672 RDV196629:RDV196672 RNR196629:RNR196672 RXN196629:RXN196672 SHJ196629:SHJ196672 SRF196629:SRF196672 TBB196629:TBB196672 TKX196629:TKX196672 TUT196629:TUT196672 UEP196629:UEP196672 UOL196629:UOL196672 UYH196629:UYH196672 VID196629:VID196672 VRZ196629:VRZ196672 WBV196629:WBV196672 WLR196629:WLR196672 WVN196629:WVN196672 D262165:D262208 JB262165:JB262208 SX262165:SX262208 ACT262165:ACT262208 AMP262165:AMP262208 AWL262165:AWL262208 BGH262165:BGH262208 BQD262165:BQD262208 BZZ262165:BZZ262208 CJV262165:CJV262208 CTR262165:CTR262208 DDN262165:DDN262208 DNJ262165:DNJ262208 DXF262165:DXF262208 EHB262165:EHB262208 EQX262165:EQX262208 FAT262165:FAT262208 FKP262165:FKP262208 FUL262165:FUL262208 GEH262165:GEH262208 GOD262165:GOD262208 GXZ262165:GXZ262208 HHV262165:HHV262208 HRR262165:HRR262208 IBN262165:IBN262208 ILJ262165:ILJ262208 IVF262165:IVF262208 JFB262165:JFB262208 JOX262165:JOX262208 JYT262165:JYT262208 KIP262165:KIP262208 KSL262165:KSL262208 LCH262165:LCH262208 LMD262165:LMD262208 LVZ262165:LVZ262208 MFV262165:MFV262208 MPR262165:MPR262208 MZN262165:MZN262208 NJJ262165:NJJ262208 NTF262165:NTF262208 ODB262165:ODB262208 OMX262165:OMX262208 OWT262165:OWT262208 PGP262165:PGP262208 PQL262165:PQL262208 QAH262165:QAH262208 QKD262165:QKD262208 QTZ262165:QTZ262208 RDV262165:RDV262208 RNR262165:RNR262208 RXN262165:RXN262208 SHJ262165:SHJ262208 SRF262165:SRF262208 TBB262165:TBB262208 TKX262165:TKX262208 TUT262165:TUT262208 UEP262165:UEP262208 UOL262165:UOL262208 UYH262165:UYH262208 VID262165:VID262208 VRZ262165:VRZ262208 WBV262165:WBV262208 WLR262165:WLR262208 WVN262165:WVN262208 D327701:D327744 JB327701:JB327744 SX327701:SX327744 ACT327701:ACT327744 AMP327701:AMP327744 AWL327701:AWL327744 BGH327701:BGH327744 BQD327701:BQD327744 BZZ327701:BZZ327744 CJV327701:CJV327744 CTR327701:CTR327744 DDN327701:DDN327744 DNJ327701:DNJ327744 DXF327701:DXF327744 EHB327701:EHB327744 EQX327701:EQX327744 FAT327701:FAT327744 FKP327701:FKP327744 FUL327701:FUL327744 GEH327701:GEH327744 GOD327701:GOD327744 GXZ327701:GXZ327744 HHV327701:HHV327744 HRR327701:HRR327744 IBN327701:IBN327744 ILJ327701:ILJ327744 IVF327701:IVF327744 JFB327701:JFB327744 JOX327701:JOX327744 JYT327701:JYT327744 KIP327701:KIP327744 KSL327701:KSL327744 LCH327701:LCH327744 LMD327701:LMD327744 LVZ327701:LVZ327744 MFV327701:MFV327744 MPR327701:MPR327744 MZN327701:MZN327744 NJJ327701:NJJ327744 NTF327701:NTF327744 ODB327701:ODB327744 OMX327701:OMX327744 OWT327701:OWT327744 PGP327701:PGP327744 PQL327701:PQL327744 QAH327701:QAH327744 QKD327701:QKD327744 QTZ327701:QTZ327744 RDV327701:RDV327744 RNR327701:RNR327744 RXN327701:RXN327744 SHJ327701:SHJ327744 SRF327701:SRF327744 TBB327701:TBB327744 TKX327701:TKX327744 TUT327701:TUT327744 UEP327701:UEP327744 UOL327701:UOL327744 UYH327701:UYH327744 VID327701:VID327744 VRZ327701:VRZ327744 WBV327701:WBV327744 WLR327701:WLR327744 WVN327701:WVN327744 D393237:D393280 JB393237:JB393280 SX393237:SX393280 ACT393237:ACT393280 AMP393237:AMP393280 AWL393237:AWL393280 BGH393237:BGH393280 BQD393237:BQD393280 BZZ393237:BZZ393280 CJV393237:CJV393280 CTR393237:CTR393280 DDN393237:DDN393280 DNJ393237:DNJ393280 DXF393237:DXF393280 EHB393237:EHB393280 EQX393237:EQX393280 FAT393237:FAT393280 FKP393237:FKP393280 FUL393237:FUL393280 GEH393237:GEH393280 GOD393237:GOD393280 GXZ393237:GXZ393280 HHV393237:HHV393280 HRR393237:HRR393280 IBN393237:IBN393280 ILJ393237:ILJ393280 IVF393237:IVF393280 JFB393237:JFB393280 JOX393237:JOX393280 JYT393237:JYT393280 KIP393237:KIP393280 KSL393237:KSL393280 LCH393237:LCH393280 LMD393237:LMD393280 LVZ393237:LVZ393280 MFV393237:MFV393280 MPR393237:MPR393280 MZN393237:MZN393280 NJJ393237:NJJ393280 NTF393237:NTF393280 ODB393237:ODB393280 OMX393237:OMX393280 OWT393237:OWT393280 PGP393237:PGP393280 PQL393237:PQL393280 QAH393237:QAH393280 QKD393237:QKD393280 QTZ393237:QTZ393280 RDV393237:RDV393280 RNR393237:RNR393280 RXN393237:RXN393280 SHJ393237:SHJ393280 SRF393237:SRF393280 TBB393237:TBB393280 TKX393237:TKX393280 TUT393237:TUT393280 UEP393237:UEP393280 UOL393237:UOL393280 UYH393237:UYH393280 VID393237:VID393280 VRZ393237:VRZ393280 WBV393237:WBV393280 WLR393237:WLR393280 WVN393237:WVN393280 D458773:D458816 JB458773:JB458816 SX458773:SX458816 ACT458773:ACT458816 AMP458773:AMP458816 AWL458773:AWL458816 BGH458773:BGH458816 BQD458773:BQD458816 BZZ458773:BZZ458816 CJV458773:CJV458816 CTR458773:CTR458816 DDN458773:DDN458816 DNJ458773:DNJ458816 DXF458773:DXF458816 EHB458773:EHB458816 EQX458773:EQX458816 FAT458773:FAT458816 FKP458773:FKP458816 FUL458773:FUL458816 GEH458773:GEH458816 GOD458773:GOD458816 GXZ458773:GXZ458816 HHV458773:HHV458816 HRR458773:HRR458816 IBN458773:IBN458816 ILJ458773:ILJ458816 IVF458773:IVF458816 JFB458773:JFB458816 JOX458773:JOX458816 JYT458773:JYT458816 KIP458773:KIP458816 KSL458773:KSL458816 LCH458773:LCH458816 LMD458773:LMD458816 LVZ458773:LVZ458816 MFV458773:MFV458816 MPR458773:MPR458816 MZN458773:MZN458816 NJJ458773:NJJ458816 NTF458773:NTF458816 ODB458773:ODB458816 OMX458773:OMX458816 OWT458773:OWT458816 PGP458773:PGP458816 PQL458773:PQL458816 QAH458773:QAH458816 QKD458773:QKD458816 QTZ458773:QTZ458816 RDV458773:RDV458816 RNR458773:RNR458816 RXN458773:RXN458816 SHJ458773:SHJ458816 SRF458773:SRF458816 TBB458773:TBB458816 TKX458773:TKX458816 TUT458773:TUT458816 UEP458773:UEP458816 UOL458773:UOL458816 UYH458773:UYH458816 VID458773:VID458816 VRZ458773:VRZ458816 WBV458773:WBV458816 WLR458773:WLR458816 WVN458773:WVN458816 D524309:D524352 JB524309:JB524352 SX524309:SX524352 ACT524309:ACT524352 AMP524309:AMP524352 AWL524309:AWL524352 BGH524309:BGH524352 BQD524309:BQD524352 BZZ524309:BZZ524352 CJV524309:CJV524352 CTR524309:CTR524352 DDN524309:DDN524352 DNJ524309:DNJ524352 DXF524309:DXF524352 EHB524309:EHB524352 EQX524309:EQX524352 FAT524309:FAT524352 FKP524309:FKP524352 FUL524309:FUL524352 GEH524309:GEH524352 GOD524309:GOD524352 GXZ524309:GXZ524352 HHV524309:HHV524352 HRR524309:HRR524352 IBN524309:IBN524352 ILJ524309:ILJ524352 IVF524309:IVF524352 JFB524309:JFB524352 JOX524309:JOX524352 JYT524309:JYT524352 KIP524309:KIP524352 KSL524309:KSL524352 LCH524309:LCH524352 LMD524309:LMD524352 LVZ524309:LVZ524352 MFV524309:MFV524352 MPR524309:MPR524352 MZN524309:MZN524352 NJJ524309:NJJ524352 NTF524309:NTF524352 ODB524309:ODB524352 OMX524309:OMX524352 OWT524309:OWT524352 PGP524309:PGP524352 PQL524309:PQL524352 QAH524309:QAH524352 QKD524309:QKD524352 QTZ524309:QTZ524352 RDV524309:RDV524352 RNR524309:RNR524352 RXN524309:RXN524352 SHJ524309:SHJ524352 SRF524309:SRF524352 TBB524309:TBB524352 TKX524309:TKX524352 TUT524309:TUT524352 UEP524309:UEP524352 UOL524309:UOL524352 UYH524309:UYH524352 VID524309:VID524352 VRZ524309:VRZ524352 WBV524309:WBV524352 WLR524309:WLR524352 WVN524309:WVN524352 D589845:D589888 JB589845:JB589888 SX589845:SX589888 ACT589845:ACT589888 AMP589845:AMP589888 AWL589845:AWL589888 BGH589845:BGH589888 BQD589845:BQD589888 BZZ589845:BZZ589888 CJV589845:CJV589888 CTR589845:CTR589888 DDN589845:DDN589888 DNJ589845:DNJ589888 DXF589845:DXF589888 EHB589845:EHB589888 EQX589845:EQX589888 FAT589845:FAT589888 FKP589845:FKP589888 FUL589845:FUL589888 GEH589845:GEH589888 GOD589845:GOD589888 GXZ589845:GXZ589888 HHV589845:HHV589888 HRR589845:HRR589888 IBN589845:IBN589888 ILJ589845:ILJ589888 IVF589845:IVF589888 JFB589845:JFB589888 JOX589845:JOX589888 JYT589845:JYT589888 KIP589845:KIP589888 KSL589845:KSL589888 LCH589845:LCH589888 LMD589845:LMD589888 LVZ589845:LVZ589888 MFV589845:MFV589888 MPR589845:MPR589888 MZN589845:MZN589888 NJJ589845:NJJ589888 NTF589845:NTF589888 ODB589845:ODB589888 OMX589845:OMX589888 OWT589845:OWT589888 PGP589845:PGP589888 PQL589845:PQL589888 QAH589845:QAH589888 QKD589845:QKD589888 QTZ589845:QTZ589888 RDV589845:RDV589888 RNR589845:RNR589888 RXN589845:RXN589888 SHJ589845:SHJ589888 SRF589845:SRF589888 TBB589845:TBB589888 TKX589845:TKX589888 TUT589845:TUT589888 UEP589845:UEP589888 UOL589845:UOL589888 UYH589845:UYH589888 VID589845:VID589888 VRZ589845:VRZ589888 WBV589845:WBV589888 WLR589845:WLR589888 WVN589845:WVN589888 D655381:D655424 JB655381:JB655424 SX655381:SX655424 ACT655381:ACT655424 AMP655381:AMP655424 AWL655381:AWL655424 BGH655381:BGH655424 BQD655381:BQD655424 BZZ655381:BZZ655424 CJV655381:CJV655424 CTR655381:CTR655424 DDN655381:DDN655424 DNJ655381:DNJ655424 DXF655381:DXF655424 EHB655381:EHB655424 EQX655381:EQX655424 FAT655381:FAT655424 FKP655381:FKP655424 FUL655381:FUL655424 GEH655381:GEH655424 GOD655381:GOD655424 GXZ655381:GXZ655424 HHV655381:HHV655424 HRR655381:HRR655424 IBN655381:IBN655424 ILJ655381:ILJ655424 IVF655381:IVF655424 JFB655381:JFB655424 JOX655381:JOX655424 JYT655381:JYT655424 KIP655381:KIP655424 KSL655381:KSL655424 LCH655381:LCH655424 LMD655381:LMD655424 LVZ655381:LVZ655424 MFV655381:MFV655424 MPR655381:MPR655424 MZN655381:MZN655424 NJJ655381:NJJ655424 NTF655381:NTF655424 ODB655381:ODB655424 OMX655381:OMX655424 OWT655381:OWT655424 PGP655381:PGP655424 PQL655381:PQL655424 QAH655381:QAH655424 QKD655381:QKD655424 QTZ655381:QTZ655424 RDV655381:RDV655424 RNR655381:RNR655424 RXN655381:RXN655424 SHJ655381:SHJ655424 SRF655381:SRF655424 TBB655381:TBB655424 TKX655381:TKX655424 TUT655381:TUT655424 UEP655381:UEP655424 UOL655381:UOL655424 UYH655381:UYH655424 VID655381:VID655424 VRZ655381:VRZ655424 WBV655381:WBV655424 WLR655381:WLR655424 WVN655381:WVN655424 D720917:D720960 JB720917:JB720960 SX720917:SX720960 ACT720917:ACT720960 AMP720917:AMP720960 AWL720917:AWL720960 BGH720917:BGH720960 BQD720917:BQD720960 BZZ720917:BZZ720960 CJV720917:CJV720960 CTR720917:CTR720960 DDN720917:DDN720960 DNJ720917:DNJ720960 DXF720917:DXF720960 EHB720917:EHB720960 EQX720917:EQX720960 FAT720917:FAT720960 FKP720917:FKP720960 FUL720917:FUL720960 GEH720917:GEH720960 GOD720917:GOD720960 GXZ720917:GXZ720960 HHV720917:HHV720960 HRR720917:HRR720960 IBN720917:IBN720960 ILJ720917:ILJ720960 IVF720917:IVF720960 JFB720917:JFB720960 JOX720917:JOX720960 JYT720917:JYT720960 KIP720917:KIP720960 KSL720917:KSL720960 LCH720917:LCH720960 LMD720917:LMD720960 LVZ720917:LVZ720960 MFV720917:MFV720960 MPR720917:MPR720960 MZN720917:MZN720960 NJJ720917:NJJ720960 NTF720917:NTF720960 ODB720917:ODB720960 OMX720917:OMX720960 OWT720917:OWT720960 PGP720917:PGP720960 PQL720917:PQL720960 QAH720917:QAH720960 QKD720917:QKD720960 QTZ720917:QTZ720960 RDV720917:RDV720960 RNR720917:RNR720960 RXN720917:RXN720960 SHJ720917:SHJ720960 SRF720917:SRF720960 TBB720917:TBB720960 TKX720917:TKX720960 TUT720917:TUT720960 UEP720917:UEP720960 UOL720917:UOL720960 UYH720917:UYH720960 VID720917:VID720960 VRZ720917:VRZ720960 WBV720917:WBV720960 WLR720917:WLR720960 WVN720917:WVN720960 D786453:D786496 JB786453:JB786496 SX786453:SX786496 ACT786453:ACT786496 AMP786453:AMP786496 AWL786453:AWL786496 BGH786453:BGH786496 BQD786453:BQD786496 BZZ786453:BZZ786496 CJV786453:CJV786496 CTR786453:CTR786496 DDN786453:DDN786496 DNJ786453:DNJ786496 DXF786453:DXF786496 EHB786453:EHB786496 EQX786453:EQX786496 FAT786453:FAT786496 FKP786453:FKP786496 FUL786453:FUL786496 GEH786453:GEH786496 GOD786453:GOD786496 GXZ786453:GXZ786496 HHV786453:HHV786496 HRR786453:HRR786496 IBN786453:IBN786496 ILJ786453:ILJ786496 IVF786453:IVF786496 JFB786453:JFB786496 JOX786453:JOX786496 JYT786453:JYT786496 KIP786453:KIP786496 KSL786453:KSL786496 LCH786453:LCH786496 LMD786453:LMD786496 LVZ786453:LVZ786496 MFV786453:MFV786496 MPR786453:MPR786496 MZN786453:MZN786496 NJJ786453:NJJ786496 NTF786453:NTF786496 ODB786453:ODB786496 OMX786453:OMX786496 OWT786453:OWT786496 PGP786453:PGP786496 PQL786453:PQL786496 QAH786453:QAH786496 QKD786453:QKD786496 QTZ786453:QTZ786496 RDV786453:RDV786496 RNR786453:RNR786496 RXN786453:RXN786496 SHJ786453:SHJ786496 SRF786453:SRF786496 TBB786453:TBB786496 TKX786453:TKX786496 TUT786453:TUT786496 UEP786453:UEP786496 UOL786453:UOL786496 UYH786453:UYH786496 VID786453:VID786496 VRZ786453:VRZ786496 WBV786453:WBV786496 WLR786453:WLR786496 WVN786453:WVN786496 D851989:D852032 JB851989:JB852032 SX851989:SX852032 ACT851989:ACT852032 AMP851989:AMP852032 AWL851989:AWL852032 BGH851989:BGH852032 BQD851989:BQD852032 BZZ851989:BZZ852032 CJV851989:CJV852032 CTR851989:CTR852032 DDN851989:DDN852032 DNJ851989:DNJ852032 DXF851989:DXF852032 EHB851989:EHB852032 EQX851989:EQX852032 FAT851989:FAT852032 FKP851989:FKP852032 FUL851989:FUL852032 GEH851989:GEH852032 GOD851989:GOD852032 GXZ851989:GXZ852032 HHV851989:HHV852032 HRR851989:HRR852032 IBN851989:IBN852032 ILJ851989:ILJ852032 IVF851989:IVF852032 JFB851989:JFB852032 JOX851989:JOX852032 JYT851989:JYT852032 KIP851989:KIP852032 KSL851989:KSL852032 LCH851989:LCH852032 LMD851989:LMD852032 LVZ851989:LVZ852032 MFV851989:MFV852032 MPR851989:MPR852032 MZN851989:MZN852032 NJJ851989:NJJ852032 NTF851989:NTF852032 ODB851989:ODB852032 OMX851989:OMX852032 OWT851989:OWT852032 PGP851989:PGP852032 PQL851989:PQL852032 QAH851989:QAH852032 QKD851989:QKD852032 QTZ851989:QTZ852032 RDV851989:RDV852032 RNR851989:RNR852032 RXN851989:RXN852032 SHJ851989:SHJ852032 SRF851989:SRF852032 TBB851989:TBB852032 TKX851989:TKX852032 TUT851989:TUT852032 UEP851989:UEP852032 UOL851989:UOL852032 UYH851989:UYH852032 VID851989:VID852032 VRZ851989:VRZ852032 WBV851989:WBV852032 WLR851989:WLR852032 WVN851989:WVN852032 D917525:D917568 JB917525:JB917568 SX917525:SX917568 ACT917525:ACT917568 AMP917525:AMP917568 AWL917525:AWL917568 BGH917525:BGH917568 BQD917525:BQD917568 BZZ917525:BZZ917568 CJV917525:CJV917568 CTR917525:CTR917568 DDN917525:DDN917568 DNJ917525:DNJ917568 DXF917525:DXF917568 EHB917525:EHB917568 EQX917525:EQX917568 FAT917525:FAT917568 FKP917525:FKP917568 FUL917525:FUL917568 GEH917525:GEH917568 GOD917525:GOD917568 GXZ917525:GXZ917568 HHV917525:HHV917568 HRR917525:HRR917568 IBN917525:IBN917568 ILJ917525:ILJ917568 IVF917525:IVF917568 JFB917525:JFB917568 JOX917525:JOX917568 JYT917525:JYT917568 KIP917525:KIP917568 KSL917525:KSL917568 LCH917525:LCH917568 LMD917525:LMD917568 LVZ917525:LVZ917568 MFV917525:MFV917568 MPR917525:MPR917568 MZN917525:MZN917568 NJJ917525:NJJ917568 NTF917525:NTF917568 ODB917525:ODB917568 OMX917525:OMX917568 OWT917525:OWT917568 PGP917525:PGP917568 PQL917525:PQL917568 QAH917525:QAH917568 QKD917525:QKD917568 QTZ917525:QTZ917568 RDV917525:RDV917568 RNR917525:RNR917568 RXN917525:RXN917568 SHJ917525:SHJ917568 SRF917525:SRF917568 TBB917525:TBB917568 TKX917525:TKX917568 TUT917525:TUT917568 UEP917525:UEP917568 UOL917525:UOL917568 UYH917525:UYH917568 VID917525:VID917568 VRZ917525:VRZ917568 WBV917525:WBV917568 WLR917525:WLR917568 WVN917525:WVN917568 D983061:D983104 JB983061:JB983104 SX983061:SX983104 ACT983061:ACT983104 AMP983061:AMP983104 AWL983061:AWL983104 BGH983061:BGH983104 BQD983061:BQD983104 BZZ983061:BZZ983104 CJV983061:CJV983104 CTR983061:CTR983104 DDN983061:DDN983104 DNJ983061:DNJ983104 DXF983061:DXF983104 EHB983061:EHB983104 EQX983061:EQX983104 FAT983061:FAT983104 FKP983061:FKP983104 FUL983061:FUL983104 GEH983061:GEH983104 GOD983061:GOD983104 GXZ983061:GXZ983104 HHV983061:HHV983104 HRR983061:HRR983104 IBN983061:IBN983104 ILJ983061:ILJ983104 IVF983061:IVF983104 JFB983061:JFB983104 JOX983061:JOX983104 JYT983061:JYT983104 KIP983061:KIP983104 KSL983061:KSL983104 LCH983061:LCH983104 LMD983061:LMD983104 LVZ983061:LVZ983104 MFV983061:MFV983104 MPR983061:MPR983104 MZN983061:MZN983104 NJJ983061:NJJ983104 NTF983061:NTF983104 ODB983061:ODB983104 OMX983061:OMX983104 OWT983061:OWT983104 PGP983061:PGP983104 PQL983061:PQL983104 QAH983061:QAH983104 QKD983061:QKD983104 QTZ983061:QTZ983104 RDV983061:RDV983104 RNR983061:RNR983104 RXN983061:RXN983104 SHJ983061:SHJ983104 SRF983061:SRF983104 TBB983061:TBB983104 TKX983061:TKX983104 TUT983061:TUT983104 UEP983061:UEP983104 UOL983061:UOL983104 UYH983061:UYH983104 VID983061:VID983104 VRZ983061:VRZ983104 WBV983061:WBV983104 WLR983061:WLR983104 WVN20:WVN64 WLR20:WLR64 WBV20:WBV64 VRZ20:VRZ64 VID20:VID64 UYH20:UYH64 UOL20:UOL64 UEP20:UEP64 TUT20:TUT64 TKX20:TKX64 TBB20:TBB64 SRF20:SRF64 SHJ20:SHJ64 RXN20:RXN64 RNR20:RNR64 RDV20:RDV64 QTZ20:QTZ64 QKD20:QKD64 QAH20:QAH64 PQL20:PQL64 PGP20:PGP64 OWT20:OWT64 OMX20:OMX64 ODB20:ODB64 NTF20:NTF64 NJJ20:NJJ64 MZN20:MZN64 MPR20:MPR64 MFV20:MFV64 LVZ20:LVZ64 LMD20:LMD64 LCH20:LCH64 KSL20:KSL64 KIP20:KIP64 JYT20:JYT64 JOX20:JOX64 JFB20:JFB64 IVF20:IVF64 ILJ20:ILJ64 IBN20:IBN64 HRR20:HRR64 HHV20:HHV64 GXZ20:GXZ64 GOD20:GOD64 GEH20:GEH64 FUL20:FUL64 FKP20:FKP64 FAT20:FAT64 EQX20:EQX64 EHB20:EHB64 DXF20:DXF64 DNJ20:DNJ64 DDN20:DDN64 CTR20:CTR64 CJV20:CJV64 BZZ20:BZZ64 BQD20:BQD64 BGH20:BGH64 AWL20:AWL64 AMP20:AMP64 ACT20:ACT64 SX20:SX64 JB20:JB64 WVP20:WVP64 WLT20:WLT64 WBX20:WBX64 VSB20:VSB64 VIF20:VIF64 UYJ20:UYJ64 UON20:UON64 UER20:UER64 TUV20:TUV64 TKZ20:TKZ64 TBD20:TBD64 SRH20:SRH64 SHL20:SHL64 RXP20:RXP64 RNT20:RNT64 RDX20:RDX64 QUB20:QUB64 QKF20:QKF64 QAJ20:QAJ64 PQN20:PQN64 PGR20:PGR64 OWV20:OWV64 OMZ20:OMZ64 ODD20:ODD64 NTH20:NTH64 NJL20:NJL64 MZP20:MZP64 MPT20:MPT64 MFX20:MFX64 LWB20:LWB64 LMF20:LMF64 LCJ20:LCJ64 KSN20:KSN64 KIR20:KIR64 JYV20:JYV64 JOZ20:JOZ64 JFD20:JFD64 IVH20:IVH64 ILL20:ILL64 IBP20:IBP64 HRT20:HRT64 HHX20:HHX64 GYB20:GYB64 GOF20:GOF64 GEJ20:GEJ64 FUN20:FUN64 FKR20:FKR64 FAV20:FAV64 EQZ20:EQZ64 EHD20:EHD64 DXH20:DXH64 DNL20:DNL64 DDP20:DDP64 CTT20:CTT64 CJX20:CJX64 CAB20:CAB64 BQF20:BQF64 BGJ20:BGJ64 AWN20:AWN64 AMR20:AMR64 ACV20:ACV64 SZ20:SZ64 JD20:JD64 D20:D64 G74:H118 WVN74:WVN118 WLR74:WLR118 WBV74:WBV118 VRZ74:VRZ118 VID74:VID118 UYH74:UYH118 UOL74:UOL118 UEP74:UEP118 TUT74:TUT118 TKX74:TKX118 TBB74:TBB118 SRF74:SRF118 SHJ74:SHJ118 RXN74:RXN118 RNR74:RNR118 RDV74:RDV118 QTZ74:QTZ118 QKD74:QKD118 QAH74:QAH118 PQL74:PQL118 PGP74:PGP118 OWT74:OWT118 OMX74:OMX118 ODB74:ODB118 NTF74:NTF118 NJJ74:NJJ118 MZN74:MZN118 MPR74:MPR118 MFV74:MFV118 LVZ74:LVZ118 LMD74:LMD118 LCH74:LCH118 KSL74:KSL118 KIP74:KIP118 JYT74:JYT118 JOX74:JOX118 JFB74:JFB118 IVF74:IVF118 ILJ74:ILJ118 IBN74:IBN118 HRR74:HRR118 HHV74:HHV118 GXZ74:GXZ118 GOD74:GOD118 GEH74:GEH118 FUL74:FUL118 FKP74:FKP118 FAT74:FAT118 EQX74:EQX118 EHB74:EHB118 DXF74:DXF118 DNJ74:DNJ118 DDN74:DDN118 CTR74:CTR118 CJV74:CJV118 BZZ74:BZZ118 BQD74:BQD118 BGH74:BGH118 AWL74:AWL118 AMP74:AMP118 ACT74:ACT118 SX74:SX118 JB74:JB118 WVP74:WVP118 WLT74:WLT118 WBX74:WBX118 VSB74:VSB118 VIF74:VIF118 UYJ74:UYJ118 UON74:UON118 UER74:UER118 TUV74:TUV118 TKZ74:TKZ118 TBD74:TBD118 SRH74:SRH118 SHL74:SHL118 RXP74:RXP118 RNT74:RNT118 RDX74:RDX118 QUB74:QUB118 QKF74:QKF118 QAJ74:QAJ118 PQN74:PQN118 PGR74:PGR118 OWV74:OWV118 OMZ74:OMZ118 ODD74:ODD118 NTH74:NTH118 NJL74:NJL118 MZP74:MZP118 MPT74:MPT118 MFX74:MFX118 LWB74:LWB118 LMF74:LMF118 LCJ74:LCJ118 KSN74:KSN118 KIR74:KIR118 JYV74:JYV118 JOZ74:JOZ118 JFD74:JFD118 IVH74:IVH118 ILL74:ILL118 IBP74:IBP118 HRT74:HRT118 HHX74:HHX118 GYB74:GYB118 GOF74:GOF118 GEJ74:GEJ118 FUN74:FUN118 FKR74:FKR118 FAV74:FAV118 EQZ74:EQZ118 EHD74:EHD118 DXH74:DXH118 DNL74:DNL118 DDP74:DDP118 CTT74:CTT118 CJX74:CJX118 CAB74:CAB118 BQF74:BQF118 BGJ74:BGJ118 AWN74:AWN118 AMR74:AMR118 ACV74:ACV118 SZ74:SZ118 JD74:JD118 D74:D118 G20:H64" xr:uid="{5E0C3CD0-CD8A-4CD1-8C0E-38BE2C63274C}">
      <formula1>0</formula1>
    </dataValidation>
    <dataValidation type="decimal" operator="greaterThanOrEqual" allowBlank="1" showInputMessage="1" showErrorMessage="1" errorTitle="Negatief bedrag" error="Gelieve een positieve waarde in te geven" sqref="WVM983061:WVM983104 C65557:C65600 JA65557:JA65600 SW65557:SW65600 ACS65557:ACS65600 AMO65557:AMO65600 AWK65557:AWK65600 BGG65557:BGG65600 BQC65557:BQC65600 BZY65557:BZY65600 CJU65557:CJU65600 CTQ65557:CTQ65600 DDM65557:DDM65600 DNI65557:DNI65600 DXE65557:DXE65600 EHA65557:EHA65600 EQW65557:EQW65600 FAS65557:FAS65600 FKO65557:FKO65600 FUK65557:FUK65600 GEG65557:GEG65600 GOC65557:GOC65600 GXY65557:GXY65600 HHU65557:HHU65600 HRQ65557:HRQ65600 IBM65557:IBM65600 ILI65557:ILI65600 IVE65557:IVE65600 JFA65557:JFA65600 JOW65557:JOW65600 JYS65557:JYS65600 KIO65557:KIO65600 KSK65557:KSK65600 LCG65557:LCG65600 LMC65557:LMC65600 LVY65557:LVY65600 MFU65557:MFU65600 MPQ65557:MPQ65600 MZM65557:MZM65600 NJI65557:NJI65600 NTE65557:NTE65600 ODA65557:ODA65600 OMW65557:OMW65600 OWS65557:OWS65600 PGO65557:PGO65600 PQK65557:PQK65600 QAG65557:QAG65600 QKC65557:QKC65600 QTY65557:QTY65600 RDU65557:RDU65600 RNQ65557:RNQ65600 RXM65557:RXM65600 SHI65557:SHI65600 SRE65557:SRE65600 TBA65557:TBA65600 TKW65557:TKW65600 TUS65557:TUS65600 UEO65557:UEO65600 UOK65557:UOK65600 UYG65557:UYG65600 VIC65557:VIC65600 VRY65557:VRY65600 WBU65557:WBU65600 WLQ65557:WLQ65600 WVM65557:WVM65600 C131093:C131136 JA131093:JA131136 SW131093:SW131136 ACS131093:ACS131136 AMO131093:AMO131136 AWK131093:AWK131136 BGG131093:BGG131136 BQC131093:BQC131136 BZY131093:BZY131136 CJU131093:CJU131136 CTQ131093:CTQ131136 DDM131093:DDM131136 DNI131093:DNI131136 DXE131093:DXE131136 EHA131093:EHA131136 EQW131093:EQW131136 FAS131093:FAS131136 FKO131093:FKO131136 FUK131093:FUK131136 GEG131093:GEG131136 GOC131093:GOC131136 GXY131093:GXY131136 HHU131093:HHU131136 HRQ131093:HRQ131136 IBM131093:IBM131136 ILI131093:ILI131136 IVE131093:IVE131136 JFA131093:JFA131136 JOW131093:JOW131136 JYS131093:JYS131136 KIO131093:KIO131136 KSK131093:KSK131136 LCG131093:LCG131136 LMC131093:LMC131136 LVY131093:LVY131136 MFU131093:MFU131136 MPQ131093:MPQ131136 MZM131093:MZM131136 NJI131093:NJI131136 NTE131093:NTE131136 ODA131093:ODA131136 OMW131093:OMW131136 OWS131093:OWS131136 PGO131093:PGO131136 PQK131093:PQK131136 QAG131093:QAG131136 QKC131093:QKC131136 QTY131093:QTY131136 RDU131093:RDU131136 RNQ131093:RNQ131136 RXM131093:RXM131136 SHI131093:SHI131136 SRE131093:SRE131136 TBA131093:TBA131136 TKW131093:TKW131136 TUS131093:TUS131136 UEO131093:UEO131136 UOK131093:UOK131136 UYG131093:UYG131136 VIC131093:VIC131136 VRY131093:VRY131136 WBU131093:WBU131136 WLQ131093:WLQ131136 WVM131093:WVM131136 C196629:C196672 JA196629:JA196672 SW196629:SW196672 ACS196629:ACS196672 AMO196629:AMO196672 AWK196629:AWK196672 BGG196629:BGG196672 BQC196629:BQC196672 BZY196629:BZY196672 CJU196629:CJU196672 CTQ196629:CTQ196672 DDM196629:DDM196672 DNI196629:DNI196672 DXE196629:DXE196672 EHA196629:EHA196672 EQW196629:EQW196672 FAS196629:FAS196672 FKO196629:FKO196672 FUK196629:FUK196672 GEG196629:GEG196672 GOC196629:GOC196672 GXY196629:GXY196672 HHU196629:HHU196672 HRQ196629:HRQ196672 IBM196629:IBM196672 ILI196629:ILI196672 IVE196629:IVE196672 JFA196629:JFA196672 JOW196629:JOW196672 JYS196629:JYS196672 KIO196629:KIO196672 KSK196629:KSK196672 LCG196629:LCG196672 LMC196629:LMC196672 LVY196629:LVY196672 MFU196629:MFU196672 MPQ196629:MPQ196672 MZM196629:MZM196672 NJI196629:NJI196672 NTE196629:NTE196672 ODA196629:ODA196672 OMW196629:OMW196672 OWS196629:OWS196672 PGO196629:PGO196672 PQK196629:PQK196672 QAG196629:QAG196672 QKC196629:QKC196672 QTY196629:QTY196672 RDU196629:RDU196672 RNQ196629:RNQ196672 RXM196629:RXM196672 SHI196629:SHI196672 SRE196629:SRE196672 TBA196629:TBA196672 TKW196629:TKW196672 TUS196629:TUS196672 UEO196629:UEO196672 UOK196629:UOK196672 UYG196629:UYG196672 VIC196629:VIC196672 VRY196629:VRY196672 WBU196629:WBU196672 WLQ196629:WLQ196672 WVM196629:WVM196672 C262165:C262208 JA262165:JA262208 SW262165:SW262208 ACS262165:ACS262208 AMO262165:AMO262208 AWK262165:AWK262208 BGG262165:BGG262208 BQC262165:BQC262208 BZY262165:BZY262208 CJU262165:CJU262208 CTQ262165:CTQ262208 DDM262165:DDM262208 DNI262165:DNI262208 DXE262165:DXE262208 EHA262165:EHA262208 EQW262165:EQW262208 FAS262165:FAS262208 FKO262165:FKO262208 FUK262165:FUK262208 GEG262165:GEG262208 GOC262165:GOC262208 GXY262165:GXY262208 HHU262165:HHU262208 HRQ262165:HRQ262208 IBM262165:IBM262208 ILI262165:ILI262208 IVE262165:IVE262208 JFA262165:JFA262208 JOW262165:JOW262208 JYS262165:JYS262208 KIO262165:KIO262208 KSK262165:KSK262208 LCG262165:LCG262208 LMC262165:LMC262208 LVY262165:LVY262208 MFU262165:MFU262208 MPQ262165:MPQ262208 MZM262165:MZM262208 NJI262165:NJI262208 NTE262165:NTE262208 ODA262165:ODA262208 OMW262165:OMW262208 OWS262165:OWS262208 PGO262165:PGO262208 PQK262165:PQK262208 QAG262165:QAG262208 QKC262165:QKC262208 QTY262165:QTY262208 RDU262165:RDU262208 RNQ262165:RNQ262208 RXM262165:RXM262208 SHI262165:SHI262208 SRE262165:SRE262208 TBA262165:TBA262208 TKW262165:TKW262208 TUS262165:TUS262208 UEO262165:UEO262208 UOK262165:UOK262208 UYG262165:UYG262208 VIC262165:VIC262208 VRY262165:VRY262208 WBU262165:WBU262208 WLQ262165:WLQ262208 WVM262165:WVM262208 C327701:C327744 JA327701:JA327744 SW327701:SW327744 ACS327701:ACS327744 AMO327701:AMO327744 AWK327701:AWK327744 BGG327701:BGG327744 BQC327701:BQC327744 BZY327701:BZY327744 CJU327701:CJU327744 CTQ327701:CTQ327744 DDM327701:DDM327744 DNI327701:DNI327744 DXE327701:DXE327744 EHA327701:EHA327744 EQW327701:EQW327744 FAS327701:FAS327744 FKO327701:FKO327744 FUK327701:FUK327744 GEG327701:GEG327744 GOC327701:GOC327744 GXY327701:GXY327744 HHU327701:HHU327744 HRQ327701:HRQ327744 IBM327701:IBM327744 ILI327701:ILI327744 IVE327701:IVE327744 JFA327701:JFA327744 JOW327701:JOW327744 JYS327701:JYS327744 KIO327701:KIO327744 KSK327701:KSK327744 LCG327701:LCG327744 LMC327701:LMC327744 LVY327701:LVY327744 MFU327701:MFU327744 MPQ327701:MPQ327744 MZM327701:MZM327744 NJI327701:NJI327744 NTE327701:NTE327744 ODA327701:ODA327744 OMW327701:OMW327744 OWS327701:OWS327744 PGO327701:PGO327744 PQK327701:PQK327744 QAG327701:QAG327744 QKC327701:QKC327744 QTY327701:QTY327744 RDU327701:RDU327744 RNQ327701:RNQ327744 RXM327701:RXM327744 SHI327701:SHI327744 SRE327701:SRE327744 TBA327701:TBA327744 TKW327701:TKW327744 TUS327701:TUS327744 UEO327701:UEO327744 UOK327701:UOK327744 UYG327701:UYG327744 VIC327701:VIC327744 VRY327701:VRY327744 WBU327701:WBU327744 WLQ327701:WLQ327744 WVM327701:WVM327744 C393237:C393280 JA393237:JA393280 SW393237:SW393280 ACS393237:ACS393280 AMO393237:AMO393280 AWK393237:AWK393280 BGG393237:BGG393280 BQC393237:BQC393280 BZY393237:BZY393280 CJU393237:CJU393280 CTQ393237:CTQ393280 DDM393237:DDM393280 DNI393237:DNI393280 DXE393237:DXE393280 EHA393237:EHA393280 EQW393237:EQW393280 FAS393237:FAS393280 FKO393237:FKO393280 FUK393237:FUK393280 GEG393237:GEG393280 GOC393237:GOC393280 GXY393237:GXY393280 HHU393237:HHU393280 HRQ393237:HRQ393280 IBM393237:IBM393280 ILI393237:ILI393280 IVE393237:IVE393280 JFA393237:JFA393280 JOW393237:JOW393280 JYS393237:JYS393280 KIO393237:KIO393280 KSK393237:KSK393280 LCG393237:LCG393280 LMC393237:LMC393280 LVY393237:LVY393280 MFU393237:MFU393280 MPQ393237:MPQ393280 MZM393237:MZM393280 NJI393237:NJI393280 NTE393237:NTE393280 ODA393237:ODA393280 OMW393237:OMW393280 OWS393237:OWS393280 PGO393237:PGO393280 PQK393237:PQK393280 QAG393237:QAG393280 QKC393237:QKC393280 QTY393237:QTY393280 RDU393237:RDU393280 RNQ393237:RNQ393280 RXM393237:RXM393280 SHI393237:SHI393280 SRE393237:SRE393280 TBA393237:TBA393280 TKW393237:TKW393280 TUS393237:TUS393280 UEO393237:UEO393280 UOK393237:UOK393280 UYG393237:UYG393280 VIC393237:VIC393280 VRY393237:VRY393280 WBU393237:WBU393280 WLQ393237:WLQ393280 WVM393237:WVM393280 C458773:C458816 JA458773:JA458816 SW458773:SW458816 ACS458773:ACS458816 AMO458773:AMO458816 AWK458773:AWK458816 BGG458773:BGG458816 BQC458773:BQC458816 BZY458773:BZY458816 CJU458773:CJU458816 CTQ458773:CTQ458816 DDM458773:DDM458816 DNI458773:DNI458816 DXE458773:DXE458816 EHA458773:EHA458816 EQW458773:EQW458816 FAS458773:FAS458816 FKO458773:FKO458816 FUK458773:FUK458816 GEG458773:GEG458816 GOC458773:GOC458816 GXY458773:GXY458816 HHU458773:HHU458816 HRQ458773:HRQ458816 IBM458773:IBM458816 ILI458773:ILI458816 IVE458773:IVE458816 JFA458773:JFA458816 JOW458773:JOW458816 JYS458773:JYS458816 KIO458773:KIO458816 KSK458773:KSK458816 LCG458773:LCG458816 LMC458773:LMC458816 LVY458773:LVY458816 MFU458773:MFU458816 MPQ458773:MPQ458816 MZM458773:MZM458816 NJI458773:NJI458816 NTE458773:NTE458816 ODA458773:ODA458816 OMW458773:OMW458816 OWS458773:OWS458816 PGO458773:PGO458816 PQK458773:PQK458816 QAG458773:QAG458816 QKC458773:QKC458816 QTY458773:QTY458816 RDU458773:RDU458816 RNQ458773:RNQ458816 RXM458773:RXM458816 SHI458773:SHI458816 SRE458773:SRE458816 TBA458773:TBA458816 TKW458773:TKW458816 TUS458773:TUS458816 UEO458773:UEO458816 UOK458773:UOK458816 UYG458773:UYG458816 VIC458773:VIC458816 VRY458773:VRY458816 WBU458773:WBU458816 WLQ458773:WLQ458816 WVM458773:WVM458816 C524309:C524352 JA524309:JA524352 SW524309:SW524352 ACS524309:ACS524352 AMO524309:AMO524352 AWK524309:AWK524352 BGG524309:BGG524352 BQC524309:BQC524352 BZY524309:BZY524352 CJU524309:CJU524352 CTQ524309:CTQ524352 DDM524309:DDM524352 DNI524309:DNI524352 DXE524309:DXE524352 EHA524309:EHA524352 EQW524309:EQW524352 FAS524309:FAS524352 FKO524309:FKO524352 FUK524309:FUK524352 GEG524309:GEG524352 GOC524309:GOC524352 GXY524309:GXY524352 HHU524309:HHU524352 HRQ524309:HRQ524352 IBM524309:IBM524352 ILI524309:ILI524352 IVE524309:IVE524352 JFA524309:JFA524352 JOW524309:JOW524352 JYS524309:JYS524352 KIO524309:KIO524352 KSK524309:KSK524352 LCG524309:LCG524352 LMC524309:LMC524352 LVY524309:LVY524352 MFU524309:MFU524352 MPQ524309:MPQ524352 MZM524309:MZM524352 NJI524309:NJI524352 NTE524309:NTE524352 ODA524309:ODA524352 OMW524309:OMW524352 OWS524309:OWS524352 PGO524309:PGO524352 PQK524309:PQK524352 QAG524309:QAG524352 QKC524309:QKC524352 QTY524309:QTY524352 RDU524309:RDU524352 RNQ524309:RNQ524352 RXM524309:RXM524352 SHI524309:SHI524352 SRE524309:SRE524352 TBA524309:TBA524352 TKW524309:TKW524352 TUS524309:TUS524352 UEO524309:UEO524352 UOK524309:UOK524352 UYG524309:UYG524352 VIC524309:VIC524352 VRY524309:VRY524352 WBU524309:WBU524352 WLQ524309:WLQ524352 WVM524309:WVM524352 C589845:C589888 JA589845:JA589888 SW589845:SW589888 ACS589845:ACS589888 AMO589845:AMO589888 AWK589845:AWK589888 BGG589845:BGG589888 BQC589845:BQC589888 BZY589845:BZY589888 CJU589845:CJU589888 CTQ589845:CTQ589888 DDM589845:DDM589888 DNI589845:DNI589888 DXE589845:DXE589888 EHA589845:EHA589888 EQW589845:EQW589888 FAS589845:FAS589888 FKO589845:FKO589888 FUK589845:FUK589888 GEG589845:GEG589888 GOC589845:GOC589888 GXY589845:GXY589888 HHU589845:HHU589888 HRQ589845:HRQ589888 IBM589845:IBM589888 ILI589845:ILI589888 IVE589845:IVE589888 JFA589845:JFA589888 JOW589845:JOW589888 JYS589845:JYS589888 KIO589845:KIO589888 KSK589845:KSK589888 LCG589845:LCG589888 LMC589845:LMC589888 LVY589845:LVY589888 MFU589845:MFU589888 MPQ589845:MPQ589888 MZM589845:MZM589888 NJI589845:NJI589888 NTE589845:NTE589888 ODA589845:ODA589888 OMW589845:OMW589888 OWS589845:OWS589888 PGO589845:PGO589888 PQK589845:PQK589888 QAG589845:QAG589888 QKC589845:QKC589888 QTY589845:QTY589888 RDU589845:RDU589888 RNQ589845:RNQ589888 RXM589845:RXM589888 SHI589845:SHI589888 SRE589845:SRE589888 TBA589845:TBA589888 TKW589845:TKW589888 TUS589845:TUS589888 UEO589845:UEO589888 UOK589845:UOK589888 UYG589845:UYG589888 VIC589845:VIC589888 VRY589845:VRY589888 WBU589845:WBU589888 WLQ589845:WLQ589888 WVM589845:WVM589888 C655381:C655424 JA655381:JA655424 SW655381:SW655424 ACS655381:ACS655424 AMO655381:AMO655424 AWK655381:AWK655424 BGG655381:BGG655424 BQC655381:BQC655424 BZY655381:BZY655424 CJU655381:CJU655424 CTQ655381:CTQ655424 DDM655381:DDM655424 DNI655381:DNI655424 DXE655381:DXE655424 EHA655381:EHA655424 EQW655381:EQW655424 FAS655381:FAS655424 FKO655381:FKO655424 FUK655381:FUK655424 GEG655381:GEG655424 GOC655381:GOC655424 GXY655381:GXY655424 HHU655381:HHU655424 HRQ655381:HRQ655424 IBM655381:IBM655424 ILI655381:ILI655424 IVE655381:IVE655424 JFA655381:JFA655424 JOW655381:JOW655424 JYS655381:JYS655424 KIO655381:KIO655424 KSK655381:KSK655424 LCG655381:LCG655424 LMC655381:LMC655424 LVY655381:LVY655424 MFU655381:MFU655424 MPQ655381:MPQ655424 MZM655381:MZM655424 NJI655381:NJI655424 NTE655381:NTE655424 ODA655381:ODA655424 OMW655381:OMW655424 OWS655381:OWS655424 PGO655381:PGO655424 PQK655381:PQK655424 QAG655381:QAG655424 QKC655381:QKC655424 QTY655381:QTY655424 RDU655381:RDU655424 RNQ655381:RNQ655424 RXM655381:RXM655424 SHI655381:SHI655424 SRE655381:SRE655424 TBA655381:TBA655424 TKW655381:TKW655424 TUS655381:TUS655424 UEO655381:UEO655424 UOK655381:UOK655424 UYG655381:UYG655424 VIC655381:VIC655424 VRY655381:VRY655424 WBU655381:WBU655424 WLQ655381:WLQ655424 WVM655381:WVM655424 C720917:C720960 JA720917:JA720960 SW720917:SW720960 ACS720917:ACS720960 AMO720917:AMO720960 AWK720917:AWK720960 BGG720917:BGG720960 BQC720917:BQC720960 BZY720917:BZY720960 CJU720917:CJU720960 CTQ720917:CTQ720960 DDM720917:DDM720960 DNI720917:DNI720960 DXE720917:DXE720960 EHA720917:EHA720960 EQW720917:EQW720960 FAS720917:FAS720960 FKO720917:FKO720960 FUK720917:FUK720960 GEG720917:GEG720960 GOC720917:GOC720960 GXY720917:GXY720960 HHU720917:HHU720960 HRQ720917:HRQ720960 IBM720917:IBM720960 ILI720917:ILI720960 IVE720917:IVE720960 JFA720917:JFA720960 JOW720917:JOW720960 JYS720917:JYS720960 KIO720917:KIO720960 KSK720917:KSK720960 LCG720917:LCG720960 LMC720917:LMC720960 LVY720917:LVY720960 MFU720917:MFU720960 MPQ720917:MPQ720960 MZM720917:MZM720960 NJI720917:NJI720960 NTE720917:NTE720960 ODA720917:ODA720960 OMW720917:OMW720960 OWS720917:OWS720960 PGO720917:PGO720960 PQK720917:PQK720960 QAG720917:QAG720960 QKC720917:QKC720960 QTY720917:QTY720960 RDU720917:RDU720960 RNQ720917:RNQ720960 RXM720917:RXM720960 SHI720917:SHI720960 SRE720917:SRE720960 TBA720917:TBA720960 TKW720917:TKW720960 TUS720917:TUS720960 UEO720917:UEO720960 UOK720917:UOK720960 UYG720917:UYG720960 VIC720917:VIC720960 VRY720917:VRY720960 WBU720917:WBU720960 WLQ720917:WLQ720960 WVM720917:WVM720960 C786453:C786496 JA786453:JA786496 SW786453:SW786496 ACS786453:ACS786496 AMO786453:AMO786496 AWK786453:AWK786496 BGG786453:BGG786496 BQC786453:BQC786496 BZY786453:BZY786496 CJU786453:CJU786496 CTQ786453:CTQ786496 DDM786453:DDM786496 DNI786453:DNI786496 DXE786453:DXE786496 EHA786453:EHA786496 EQW786453:EQW786496 FAS786453:FAS786496 FKO786453:FKO786496 FUK786453:FUK786496 GEG786453:GEG786496 GOC786453:GOC786496 GXY786453:GXY786496 HHU786453:HHU786496 HRQ786453:HRQ786496 IBM786453:IBM786496 ILI786453:ILI786496 IVE786453:IVE786496 JFA786453:JFA786496 JOW786453:JOW786496 JYS786453:JYS786496 KIO786453:KIO786496 KSK786453:KSK786496 LCG786453:LCG786496 LMC786453:LMC786496 LVY786453:LVY786496 MFU786453:MFU786496 MPQ786453:MPQ786496 MZM786453:MZM786496 NJI786453:NJI786496 NTE786453:NTE786496 ODA786453:ODA786496 OMW786453:OMW786496 OWS786453:OWS786496 PGO786453:PGO786496 PQK786453:PQK786496 QAG786453:QAG786496 QKC786453:QKC786496 QTY786453:QTY786496 RDU786453:RDU786496 RNQ786453:RNQ786496 RXM786453:RXM786496 SHI786453:SHI786496 SRE786453:SRE786496 TBA786453:TBA786496 TKW786453:TKW786496 TUS786453:TUS786496 UEO786453:UEO786496 UOK786453:UOK786496 UYG786453:UYG786496 VIC786453:VIC786496 VRY786453:VRY786496 WBU786453:WBU786496 WLQ786453:WLQ786496 WVM786453:WVM786496 C851989:C852032 JA851989:JA852032 SW851989:SW852032 ACS851989:ACS852032 AMO851989:AMO852032 AWK851989:AWK852032 BGG851989:BGG852032 BQC851989:BQC852032 BZY851989:BZY852032 CJU851989:CJU852032 CTQ851989:CTQ852032 DDM851989:DDM852032 DNI851989:DNI852032 DXE851989:DXE852032 EHA851989:EHA852032 EQW851989:EQW852032 FAS851989:FAS852032 FKO851989:FKO852032 FUK851989:FUK852032 GEG851989:GEG852032 GOC851989:GOC852032 GXY851989:GXY852032 HHU851989:HHU852032 HRQ851989:HRQ852032 IBM851989:IBM852032 ILI851989:ILI852032 IVE851989:IVE852032 JFA851989:JFA852032 JOW851989:JOW852032 JYS851989:JYS852032 KIO851989:KIO852032 KSK851989:KSK852032 LCG851989:LCG852032 LMC851989:LMC852032 LVY851989:LVY852032 MFU851989:MFU852032 MPQ851989:MPQ852032 MZM851989:MZM852032 NJI851989:NJI852032 NTE851989:NTE852032 ODA851989:ODA852032 OMW851989:OMW852032 OWS851989:OWS852032 PGO851989:PGO852032 PQK851989:PQK852032 QAG851989:QAG852032 QKC851989:QKC852032 QTY851989:QTY852032 RDU851989:RDU852032 RNQ851989:RNQ852032 RXM851989:RXM852032 SHI851989:SHI852032 SRE851989:SRE852032 TBA851989:TBA852032 TKW851989:TKW852032 TUS851989:TUS852032 UEO851989:UEO852032 UOK851989:UOK852032 UYG851989:UYG852032 VIC851989:VIC852032 VRY851989:VRY852032 WBU851989:WBU852032 WLQ851989:WLQ852032 WVM851989:WVM852032 C917525:C917568 JA917525:JA917568 SW917525:SW917568 ACS917525:ACS917568 AMO917525:AMO917568 AWK917525:AWK917568 BGG917525:BGG917568 BQC917525:BQC917568 BZY917525:BZY917568 CJU917525:CJU917568 CTQ917525:CTQ917568 DDM917525:DDM917568 DNI917525:DNI917568 DXE917525:DXE917568 EHA917525:EHA917568 EQW917525:EQW917568 FAS917525:FAS917568 FKO917525:FKO917568 FUK917525:FUK917568 GEG917525:GEG917568 GOC917525:GOC917568 GXY917525:GXY917568 HHU917525:HHU917568 HRQ917525:HRQ917568 IBM917525:IBM917568 ILI917525:ILI917568 IVE917525:IVE917568 JFA917525:JFA917568 JOW917525:JOW917568 JYS917525:JYS917568 KIO917525:KIO917568 KSK917525:KSK917568 LCG917525:LCG917568 LMC917525:LMC917568 LVY917525:LVY917568 MFU917525:MFU917568 MPQ917525:MPQ917568 MZM917525:MZM917568 NJI917525:NJI917568 NTE917525:NTE917568 ODA917525:ODA917568 OMW917525:OMW917568 OWS917525:OWS917568 PGO917525:PGO917568 PQK917525:PQK917568 QAG917525:QAG917568 QKC917525:QKC917568 QTY917525:QTY917568 RDU917525:RDU917568 RNQ917525:RNQ917568 RXM917525:RXM917568 SHI917525:SHI917568 SRE917525:SRE917568 TBA917525:TBA917568 TKW917525:TKW917568 TUS917525:TUS917568 UEO917525:UEO917568 UOK917525:UOK917568 UYG917525:UYG917568 VIC917525:VIC917568 VRY917525:VRY917568 WBU917525:WBU917568 WLQ917525:WLQ917568 WVM917525:WVM917568 C983061:C983104 JA983061:JA983104 SW983061:SW983104 ACS983061:ACS983104 AMO983061:AMO983104 AWK983061:AWK983104 BGG983061:BGG983104 BQC983061:BQC983104 BZY983061:BZY983104 CJU983061:CJU983104 CTQ983061:CTQ983104 DDM983061:DDM983104 DNI983061:DNI983104 DXE983061:DXE983104 EHA983061:EHA983104 EQW983061:EQW983104 FAS983061:FAS983104 FKO983061:FKO983104 FUK983061:FUK983104 GEG983061:GEG983104 GOC983061:GOC983104 GXY983061:GXY983104 HHU983061:HHU983104 HRQ983061:HRQ983104 IBM983061:IBM983104 ILI983061:ILI983104 IVE983061:IVE983104 JFA983061:JFA983104 JOW983061:JOW983104 JYS983061:JYS983104 KIO983061:KIO983104 KSK983061:KSK983104 LCG983061:LCG983104 LMC983061:LMC983104 LVY983061:LVY983104 MFU983061:MFU983104 MPQ983061:MPQ983104 MZM983061:MZM983104 NJI983061:NJI983104 NTE983061:NTE983104 ODA983061:ODA983104 OMW983061:OMW983104 OWS983061:OWS983104 PGO983061:PGO983104 PQK983061:PQK983104 QAG983061:QAG983104 QKC983061:QKC983104 QTY983061:QTY983104 RDU983061:RDU983104 RNQ983061:RNQ983104 RXM983061:RXM983104 SHI983061:SHI983104 SRE983061:SRE983104 TBA983061:TBA983104 TKW983061:TKW983104 TUS983061:TUS983104 UEO983061:UEO983104 UOK983061:UOK983104 UYG983061:UYG983104 VIC983061:VIC983104 VRY983061:VRY983104 WBU983061:WBU983104 WLQ983061:WLQ983104 WVM20:WVM64 WLQ20:WLQ64 WBU20:WBU64 VRY20:VRY64 VIC20:VIC64 UYG20:UYG64 UOK20:UOK64 UEO20:UEO64 TUS20:TUS64 TKW20:TKW64 TBA20:TBA64 SRE20:SRE64 SHI20:SHI64 RXM20:RXM64 RNQ20:RNQ64 RDU20:RDU64 QTY20:QTY64 QKC20:QKC64 QAG20:QAG64 PQK20:PQK64 PGO20:PGO64 OWS20:OWS64 OMW20:OMW64 ODA20:ODA64 NTE20:NTE64 NJI20:NJI64 MZM20:MZM64 MPQ20:MPQ64 MFU20:MFU64 LVY20:LVY64 LMC20:LMC64 LCG20:LCG64 KSK20:KSK64 KIO20:KIO64 JYS20:JYS64 JOW20:JOW64 JFA20:JFA64 IVE20:IVE64 ILI20:ILI64 IBM20:IBM64 HRQ20:HRQ64 HHU20:HHU64 GXY20:GXY64 GOC20:GOC64 GEG20:GEG64 FUK20:FUK64 FKO20:FKO64 FAS20:FAS64 EQW20:EQW64 EHA20:EHA64 DXE20:DXE64 DNI20:DNI64 DDM20:DDM64 CTQ20:CTQ64 CJU20:CJU64 BZY20:BZY64 BQC20:BQC64 BGG20:BGG64 AWK20:AWK64 AMO20:AMO64 ACS20:ACS64 SW20:SW64 JA20:JA64 C20:C64 WVM74:WVM118 WLQ74:WLQ118 WBU74:WBU118 VRY74:VRY118 VIC74:VIC118 UYG74:UYG118 UOK74:UOK118 UEO74:UEO118 TUS74:TUS118 TKW74:TKW118 TBA74:TBA118 SRE74:SRE118 SHI74:SHI118 RXM74:RXM118 RNQ74:RNQ118 RDU74:RDU118 QTY74:QTY118 QKC74:QKC118 QAG74:QAG118 PQK74:PQK118 PGO74:PGO118 OWS74:OWS118 OMW74:OMW118 ODA74:ODA118 NTE74:NTE118 NJI74:NJI118 MZM74:MZM118 MPQ74:MPQ118 MFU74:MFU118 LVY74:LVY118 LMC74:LMC118 LCG74:LCG118 KSK74:KSK118 KIO74:KIO118 JYS74:JYS118 JOW74:JOW118 JFA74:JFA118 IVE74:IVE118 ILI74:ILI118 IBM74:IBM118 HRQ74:HRQ118 HHU74:HHU118 GXY74:GXY118 GOC74:GOC118 GEG74:GEG118 FUK74:FUK118 FKO74:FKO118 FAS74:FAS118 EQW74:EQW118 EHA74:EHA118 DXE74:DXE118 DNI74:DNI118 DDM74:DDM118 CTQ74:CTQ118 CJU74:CJU118 BZY74:BZY118 BQC74:BQC118 BGG74:BGG118 AWK74:AWK118 AMO74:AMO118 ACS74:ACS118 SW74:SW118 JA74:JA118 C74:C118" xr:uid="{39F96CCE-99A0-4721-8A51-992E164ED1F5}">
      <formula1>0</formula1>
    </dataValidation>
  </dataValidations>
  <pageMargins left="0.74803149606299213" right="0.74803149606299213" top="0.98425196850393704" bottom="0.98425196850393704" header="0.51181102362204722" footer="0.51181102362204722"/>
  <pageSetup paperSize="8" scale="75" fitToWidth="3" fitToHeight="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5" id="{C09E5AA6-EF81-4C9E-AC40-BECF039DFD99}">
            <xm:f>TITELBLAD!$F$16="ex-ante"</xm:f>
            <x14:dxf>
              <fill>
                <patternFill patternType="lightUp"/>
              </fill>
            </x14:dxf>
          </x14:cfRule>
          <xm:sqref>A71:E121 G71:I121</xm:sqref>
        </x14:conditionalFormatting>
        <x14:conditionalFormatting xmlns:xm="http://schemas.microsoft.com/office/excel/2006/main">
          <x14:cfRule type="expression" priority="2" id="{7196D945-135A-4049-B9B3-9F8DAAAC8B4E}">
            <xm:f>TITELBLAD!$F$16="ex-ante"</xm:f>
            <x14:dxf>
              <fill>
                <patternFill patternType="lightUp"/>
              </fill>
            </x14:dxf>
          </x14:cfRule>
          <xm:sqref>F71:F121</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1B4EA-53D4-45D5-BD9E-2B67749CD754}">
  <dimension ref="A1:M79"/>
  <sheetViews>
    <sheetView zoomScale="80" zoomScaleNormal="80" workbookViewId="0">
      <selection activeCell="B9" sqref="B9"/>
    </sheetView>
  </sheetViews>
  <sheetFormatPr defaultColWidth="9.1796875" defaultRowHeight="12.5" x14ac:dyDescent="0.25"/>
  <cols>
    <col min="1" max="1" width="47.54296875" style="167" customWidth="1"/>
    <col min="2" max="2" width="29.54296875" style="167" customWidth="1"/>
    <col min="3" max="16" width="31" style="167" customWidth="1"/>
    <col min="17" max="17" width="8.81640625" style="167" customWidth="1"/>
    <col min="18" max="44" width="9.1796875" style="167" customWidth="1"/>
    <col min="45" max="258" width="9.1796875" style="167"/>
    <col min="259" max="259" width="47.54296875" style="167" customWidth="1"/>
    <col min="260" max="260" width="29.54296875" style="167" customWidth="1"/>
    <col min="261" max="272" width="31" style="167" customWidth="1"/>
    <col min="273" max="273" width="8.81640625" style="167" customWidth="1"/>
    <col min="274" max="514" width="9.1796875" style="167"/>
    <col min="515" max="515" width="47.54296875" style="167" customWidth="1"/>
    <col min="516" max="516" width="29.54296875" style="167" customWidth="1"/>
    <col min="517" max="528" width="31" style="167" customWidth="1"/>
    <col min="529" max="529" width="8.81640625" style="167" customWidth="1"/>
    <col min="530" max="770" width="9.1796875" style="167"/>
    <col min="771" max="771" width="47.54296875" style="167" customWidth="1"/>
    <col min="772" max="772" width="29.54296875" style="167" customWidth="1"/>
    <col min="773" max="784" width="31" style="167" customWidth="1"/>
    <col min="785" max="785" width="8.81640625" style="167" customWidth="1"/>
    <col min="786" max="1026" width="9.1796875" style="167"/>
    <col min="1027" max="1027" width="47.54296875" style="167" customWidth="1"/>
    <col min="1028" max="1028" width="29.54296875" style="167" customWidth="1"/>
    <col min="1029" max="1040" width="31" style="167" customWidth="1"/>
    <col min="1041" max="1041" width="8.81640625" style="167" customWidth="1"/>
    <col min="1042" max="1282" width="9.1796875" style="167"/>
    <col min="1283" max="1283" width="47.54296875" style="167" customWidth="1"/>
    <col min="1284" max="1284" width="29.54296875" style="167" customWidth="1"/>
    <col min="1285" max="1296" width="31" style="167" customWidth="1"/>
    <col min="1297" max="1297" width="8.81640625" style="167" customWidth="1"/>
    <col min="1298" max="1538" width="9.1796875" style="167"/>
    <col min="1539" max="1539" width="47.54296875" style="167" customWidth="1"/>
    <col min="1540" max="1540" width="29.54296875" style="167" customWidth="1"/>
    <col min="1541" max="1552" width="31" style="167" customWidth="1"/>
    <col min="1553" max="1553" width="8.81640625" style="167" customWidth="1"/>
    <col min="1554" max="1794" width="9.1796875" style="167"/>
    <col min="1795" max="1795" width="47.54296875" style="167" customWidth="1"/>
    <col min="1796" max="1796" width="29.54296875" style="167" customWidth="1"/>
    <col min="1797" max="1808" width="31" style="167" customWidth="1"/>
    <col min="1809" max="1809" width="8.81640625" style="167" customWidth="1"/>
    <col min="1810" max="2050" width="9.1796875" style="167"/>
    <col min="2051" max="2051" width="47.54296875" style="167" customWidth="1"/>
    <col min="2052" max="2052" width="29.54296875" style="167" customWidth="1"/>
    <col min="2053" max="2064" width="31" style="167" customWidth="1"/>
    <col min="2065" max="2065" width="8.81640625" style="167" customWidth="1"/>
    <col min="2066" max="2306" width="9.1796875" style="167"/>
    <col min="2307" max="2307" width="47.54296875" style="167" customWidth="1"/>
    <col min="2308" max="2308" width="29.54296875" style="167" customWidth="1"/>
    <col min="2309" max="2320" width="31" style="167" customWidth="1"/>
    <col min="2321" max="2321" width="8.81640625" style="167" customWidth="1"/>
    <col min="2322" max="2562" width="9.1796875" style="167"/>
    <col min="2563" max="2563" width="47.54296875" style="167" customWidth="1"/>
    <col min="2564" max="2564" width="29.54296875" style="167" customWidth="1"/>
    <col min="2565" max="2576" width="31" style="167" customWidth="1"/>
    <col min="2577" max="2577" width="8.81640625" style="167" customWidth="1"/>
    <col min="2578" max="2818" width="9.1796875" style="167"/>
    <col min="2819" max="2819" width="47.54296875" style="167" customWidth="1"/>
    <col min="2820" max="2820" width="29.54296875" style="167" customWidth="1"/>
    <col min="2821" max="2832" width="31" style="167" customWidth="1"/>
    <col min="2833" max="2833" width="8.81640625" style="167" customWidth="1"/>
    <col min="2834" max="3074" width="9.1796875" style="167"/>
    <col min="3075" max="3075" width="47.54296875" style="167" customWidth="1"/>
    <col min="3076" max="3076" width="29.54296875" style="167" customWidth="1"/>
    <col min="3077" max="3088" width="31" style="167" customWidth="1"/>
    <col min="3089" max="3089" width="8.81640625" style="167" customWidth="1"/>
    <col min="3090" max="3330" width="9.1796875" style="167"/>
    <col min="3331" max="3331" width="47.54296875" style="167" customWidth="1"/>
    <col min="3332" max="3332" width="29.54296875" style="167" customWidth="1"/>
    <col min="3333" max="3344" width="31" style="167" customWidth="1"/>
    <col min="3345" max="3345" width="8.81640625" style="167" customWidth="1"/>
    <col min="3346" max="3586" width="9.1796875" style="167"/>
    <col min="3587" max="3587" width="47.54296875" style="167" customWidth="1"/>
    <col min="3588" max="3588" width="29.54296875" style="167" customWidth="1"/>
    <col min="3589" max="3600" width="31" style="167" customWidth="1"/>
    <col min="3601" max="3601" width="8.81640625" style="167" customWidth="1"/>
    <col min="3602" max="3842" width="9.1796875" style="167"/>
    <col min="3843" max="3843" width="47.54296875" style="167" customWidth="1"/>
    <col min="3844" max="3844" width="29.54296875" style="167" customWidth="1"/>
    <col min="3845" max="3856" width="31" style="167" customWidth="1"/>
    <col min="3857" max="3857" width="8.81640625" style="167" customWidth="1"/>
    <col min="3858" max="4098" width="9.1796875" style="167"/>
    <col min="4099" max="4099" width="47.54296875" style="167" customWidth="1"/>
    <col min="4100" max="4100" width="29.54296875" style="167" customWidth="1"/>
    <col min="4101" max="4112" width="31" style="167" customWidth="1"/>
    <col min="4113" max="4113" width="8.81640625" style="167" customWidth="1"/>
    <col min="4114" max="4354" width="9.1796875" style="167"/>
    <col min="4355" max="4355" width="47.54296875" style="167" customWidth="1"/>
    <col min="4356" max="4356" width="29.54296875" style="167" customWidth="1"/>
    <col min="4357" max="4368" width="31" style="167" customWidth="1"/>
    <col min="4369" max="4369" width="8.81640625" style="167" customWidth="1"/>
    <col min="4370" max="4610" width="9.1796875" style="167"/>
    <col min="4611" max="4611" width="47.54296875" style="167" customWidth="1"/>
    <col min="4612" max="4612" width="29.54296875" style="167" customWidth="1"/>
    <col min="4613" max="4624" width="31" style="167" customWidth="1"/>
    <col min="4625" max="4625" width="8.81640625" style="167" customWidth="1"/>
    <col min="4626" max="4866" width="9.1796875" style="167"/>
    <col min="4867" max="4867" width="47.54296875" style="167" customWidth="1"/>
    <col min="4868" max="4868" width="29.54296875" style="167" customWidth="1"/>
    <col min="4869" max="4880" width="31" style="167" customWidth="1"/>
    <col min="4881" max="4881" width="8.81640625" style="167" customWidth="1"/>
    <col min="4882" max="5122" width="9.1796875" style="167"/>
    <col min="5123" max="5123" width="47.54296875" style="167" customWidth="1"/>
    <col min="5124" max="5124" width="29.54296875" style="167" customWidth="1"/>
    <col min="5125" max="5136" width="31" style="167" customWidth="1"/>
    <col min="5137" max="5137" width="8.81640625" style="167" customWidth="1"/>
    <col min="5138" max="5378" width="9.1796875" style="167"/>
    <col min="5379" max="5379" width="47.54296875" style="167" customWidth="1"/>
    <col min="5380" max="5380" width="29.54296875" style="167" customWidth="1"/>
    <col min="5381" max="5392" width="31" style="167" customWidth="1"/>
    <col min="5393" max="5393" width="8.81640625" style="167" customWidth="1"/>
    <col min="5394" max="5634" width="9.1796875" style="167"/>
    <col min="5635" max="5635" width="47.54296875" style="167" customWidth="1"/>
    <col min="5636" max="5636" width="29.54296875" style="167" customWidth="1"/>
    <col min="5637" max="5648" width="31" style="167" customWidth="1"/>
    <col min="5649" max="5649" width="8.81640625" style="167" customWidth="1"/>
    <col min="5650" max="5890" width="9.1796875" style="167"/>
    <col min="5891" max="5891" width="47.54296875" style="167" customWidth="1"/>
    <col min="5892" max="5892" width="29.54296875" style="167" customWidth="1"/>
    <col min="5893" max="5904" width="31" style="167" customWidth="1"/>
    <col min="5905" max="5905" width="8.81640625" style="167" customWidth="1"/>
    <col min="5906" max="6146" width="9.1796875" style="167"/>
    <col min="6147" max="6147" width="47.54296875" style="167" customWidth="1"/>
    <col min="6148" max="6148" width="29.54296875" style="167" customWidth="1"/>
    <col min="6149" max="6160" width="31" style="167" customWidth="1"/>
    <col min="6161" max="6161" width="8.81640625" style="167" customWidth="1"/>
    <col min="6162" max="6402" width="9.1796875" style="167"/>
    <col min="6403" max="6403" width="47.54296875" style="167" customWidth="1"/>
    <col min="6404" max="6404" width="29.54296875" style="167" customWidth="1"/>
    <col min="6405" max="6416" width="31" style="167" customWidth="1"/>
    <col min="6417" max="6417" width="8.81640625" style="167" customWidth="1"/>
    <col min="6418" max="6658" width="9.1796875" style="167"/>
    <col min="6659" max="6659" width="47.54296875" style="167" customWidth="1"/>
    <col min="6660" max="6660" width="29.54296875" style="167" customWidth="1"/>
    <col min="6661" max="6672" width="31" style="167" customWidth="1"/>
    <col min="6673" max="6673" width="8.81640625" style="167" customWidth="1"/>
    <col min="6674" max="6914" width="9.1796875" style="167"/>
    <col min="6915" max="6915" width="47.54296875" style="167" customWidth="1"/>
    <col min="6916" max="6916" width="29.54296875" style="167" customWidth="1"/>
    <col min="6917" max="6928" width="31" style="167" customWidth="1"/>
    <col min="6929" max="6929" width="8.81640625" style="167" customWidth="1"/>
    <col min="6930" max="7170" width="9.1796875" style="167"/>
    <col min="7171" max="7171" width="47.54296875" style="167" customWidth="1"/>
    <col min="7172" max="7172" width="29.54296875" style="167" customWidth="1"/>
    <col min="7173" max="7184" width="31" style="167" customWidth="1"/>
    <col min="7185" max="7185" width="8.81640625" style="167" customWidth="1"/>
    <col min="7186" max="7426" width="9.1796875" style="167"/>
    <col min="7427" max="7427" width="47.54296875" style="167" customWidth="1"/>
    <col min="7428" max="7428" width="29.54296875" style="167" customWidth="1"/>
    <col min="7429" max="7440" width="31" style="167" customWidth="1"/>
    <col min="7441" max="7441" width="8.81640625" style="167" customWidth="1"/>
    <col min="7442" max="7682" width="9.1796875" style="167"/>
    <col min="7683" max="7683" width="47.54296875" style="167" customWidth="1"/>
    <col min="7684" max="7684" width="29.54296875" style="167" customWidth="1"/>
    <col min="7685" max="7696" width="31" style="167" customWidth="1"/>
    <col min="7697" max="7697" width="8.81640625" style="167" customWidth="1"/>
    <col min="7698" max="7938" width="9.1796875" style="167"/>
    <col min="7939" max="7939" width="47.54296875" style="167" customWidth="1"/>
    <col min="7940" max="7940" width="29.54296875" style="167" customWidth="1"/>
    <col min="7941" max="7952" width="31" style="167" customWidth="1"/>
    <col min="7953" max="7953" width="8.81640625" style="167" customWidth="1"/>
    <col min="7954" max="8194" width="9.1796875" style="167"/>
    <col min="8195" max="8195" width="47.54296875" style="167" customWidth="1"/>
    <col min="8196" max="8196" width="29.54296875" style="167" customWidth="1"/>
    <col min="8197" max="8208" width="31" style="167" customWidth="1"/>
    <col min="8209" max="8209" width="8.81640625" style="167" customWidth="1"/>
    <col min="8210" max="8450" width="9.1796875" style="167"/>
    <col min="8451" max="8451" width="47.54296875" style="167" customWidth="1"/>
    <col min="8452" max="8452" width="29.54296875" style="167" customWidth="1"/>
    <col min="8453" max="8464" width="31" style="167" customWidth="1"/>
    <col min="8465" max="8465" width="8.81640625" style="167" customWidth="1"/>
    <col min="8466" max="8706" width="9.1796875" style="167"/>
    <col min="8707" max="8707" width="47.54296875" style="167" customWidth="1"/>
    <col min="8708" max="8708" width="29.54296875" style="167" customWidth="1"/>
    <col min="8709" max="8720" width="31" style="167" customWidth="1"/>
    <col min="8721" max="8721" width="8.81640625" style="167" customWidth="1"/>
    <col min="8722" max="8962" width="9.1796875" style="167"/>
    <col min="8963" max="8963" width="47.54296875" style="167" customWidth="1"/>
    <col min="8964" max="8964" width="29.54296875" style="167" customWidth="1"/>
    <col min="8965" max="8976" width="31" style="167" customWidth="1"/>
    <col min="8977" max="8977" width="8.81640625" style="167" customWidth="1"/>
    <col min="8978" max="9218" width="9.1796875" style="167"/>
    <col min="9219" max="9219" width="47.54296875" style="167" customWidth="1"/>
    <col min="9220" max="9220" width="29.54296875" style="167" customWidth="1"/>
    <col min="9221" max="9232" width="31" style="167" customWidth="1"/>
    <col min="9233" max="9233" width="8.81640625" style="167" customWidth="1"/>
    <col min="9234" max="9474" width="9.1796875" style="167"/>
    <col min="9475" max="9475" width="47.54296875" style="167" customWidth="1"/>
    <col min="9476" max="9476" width="29.54296875" style="167" customWidth="1"/>
    <col min="9477" max="9488" width="31" style="167" customWidth="1"/>
    <col min="9489" max="9489" width="8.81640625" style="167" customWidth="1"/>
    <col min="9490" max="9730" width="9.1796875" style="167"/>
    <col min="9731" max="9731" width="47.54296875" style="167" customWidth="1"/>
    <col min="9732" max="9732" width="29.54296875" style="167" customWidth="1"/>
    <col min="9733" max="9744" width="31" style="167" customWidth="1"/>
    <col min="9745" max="9745" width="8.81640625" style="167" customWidth="1"/>
    <col min="9746" max="9986" width="9.1796875" style="167"/>
    <col min="9987" max="9987" width="47.54296875" style="167" customWidth="1"/>
    <col min="9988" max="9988" width="29.54296875" style="167" customWidth="1"/>
    <col min="9989" max="10000" width="31" style="167" customWidth="1"/>
    <col min="10001" max="10001" width="8.81640625" style="167" customWidth="1"/>
    <col min="10002" max="10242" width="9.1796875" style="167"/>
    <col min="10243" max="10243" width="47.54296875" style="167" customWidth="1"/>
    <col min="10244" max="10244" width="29.54296875" style="167" customWidth="1"/>
    <col min="10245" max="10256" width="31" style="167" customWidth="1"/>
    <col min="10257" max="10257" width="8.81640625" style="167" customWidth="1"/>
    <col min="10258" max="10498" width="9.1796875" style="167"/>
    <col min="10499" max="10499" width="47.54296875" style="167" customWidth="1"/>
    <col min="10500" max="10500" width="29.54296875" style="167" customWidth="1"/>
    <col min="10501" max="10512" width="31" style="167" customWidth="1"/>
    <col min="10513" max="10513" width="8.81640625" style="167" customWidth="1"/>
    <col min="10514" max="10754" width="9.1796875" style="167"/>
    <col min="10755" max="10755" width="47.54296875" style="167" customWidth="1"/>
    <col min="10756" max="10756" width="29.54296875" style="167" customWidth="1"/>
    <col min="10757" max="10768" width="31" style="167" customWidth="1"/>
    <col min="10769" max="10769" width="8.81640625" style="167" customWidth="1"/>
    <col min="10770" max="11010" width="9.1796875" style="167"/>
    <col min="11011" max="11011" width="47.54296875" style="167" customWidth="1"/>
    <col min="11012" max="11012" width="29.54296875" style="167" customWidth="1"/>
    <col min="11013" max="11024" width="31" style="167" customWidth="1"/>
    <col min="11025" max="11025" width="8.81640625" style="167" customWidth="1"/>
    <col min="11026" max="11266" width="9.1796875" style="167"/>
    <col min="11267" max="11267" width="47.54296875" style="167" customWidth="1"/>
    <col min="11268" max="11268" width="29.54296875" style="167" customWidth="1"/>
    <col min="11269" max="11280" width="31" style="167" customWidth="1"/>
    <col min="11281" max="11281" width="8.81640625" style="167" customWidth="1"/>
    <col min="11282" max="11522" width="9.1796875" style="167"/>
    <col min="11523" max="11523" width="47.54296875" style="167" customWidth="1"/>
    <col min="11524" max="11524" width="29.54296875" style="167" customWidth="1"/>
    <col min="11525" max="11536" width="31" style="167" customWidth="1"/>
    <col min="11537" max="11537" width="8.81640625" style="167" customWidth="1"/>
    <col min="11538" max="11778" width="9.1796875" style="167"/>
    <col min="11779" max="11779" width="47.54296875" style="167" customWidth="1"/>
    <col min="11780" max="11780" width="29.54296875" style="167" customWidth="1"/>
    <col min="11781" max="11792" width="31" style="167" customWidth="1"/>
    <col min="11793" max="11793" width="8.81640625" style="167" customWidth="1"/>
    <col min="11794" max="12034" width="9.1796875" style="167"/>
    <col min="12035" max="12035" width="47.54296875" style="167" customWidth="1"/>
    <col min="12036" max="12036" width="29.54296875" style="167" customWidth="1"/>
    <col min="12037" max="12048" width="31" style="167" customWidth="1"/>
    <col min="12049" max="12049" width="8.81640625" style="167" customWidth="1"/>
    <col min="12050" max="12290" width="9.1796875" style="167"/>
    <col min="12291" max="12291" width="47.54296875" style="167" customWidth="1"/>
    <col min="12292" max="12292" width="29.54296875" style="167" customWidth="1"/>
    <col min="12293" max="12304" width="31" style="167" customWidth="1"/>
    <col min="12305" max="12305" width="8.81640625" style="167" customWidth="1"/>
    <col min="12306" max="12546" width="9.1796875" style="167"/>
    <col min="12547" max="12547" width="47.54296875" style="167" customWidth="1"/>
    <col min="12548" max="12548" width="29.54296875" style="167" customWidth="1"/>
    <col min="12549" max="12560" width="31" style="167" customWidth="1"/>
    <col min="12561" max="12561" width="8.81640625" style="167" customWidth="1"/>
    <col min="12562" max="12802" width="9.1796875" style="167"/>
    <col min="12803" max="12803" width="47.54296875" style="167" customWidth="1"/>
    <col min="12804" max="12804" width="29.54296875" style="167" customWidth="1"/>
    <col min="12805" max="12816" width="31" style="167" customWidth="1"/>
    <col min="12817" max="12817" width="8.81640625" style="167" customWidth="1"/>
    <col min="12818" max="13058" width="9.1796875" style="167"/>
    <col min="13059" max="13059" width="47.54296875" style="167" customWidth="1"/>
    <col min="13060" max="13060" width="29.54296875" style="167" customWidth="1"/>
    <col min="13061" max="13072" width="31" style="167" customWidth="1"/>
    <col min="13073" max="13073" width="8.81640625" style="167" customWidth="1"/>
    <col min="13074" max="13314" width="9.1796875" style="167"/>
    <col min="13315" max="13315" width="47.54296875" style="167" customWidth="1"/>
    <col min="13316" max="13316" width="29.54296875" style="167" customWidth="1"/>
    <col min="13317" max="13328" width="31" style="167" customWidth="1"/>
    <col min="13329" max="13329" width="8.81640625" style="167" customWidth="1"/>
    <col min="13330" max="13570" width="9.1796875" style="167"/>
    <col min="13571" max="13571" width="47.54296875" style="167" customWidth="1"/>
    <col min="13572" max="13572" width="29.54296875" style="167" customWidth="1"/>
    <col min="13573" max="13584" width="31" style="167" customWidth="1"/>
    <col min="13585" max="13585" width="8.81640625" style="167" customWidth="1"/>
    <col min="13586" max="13826" width="9.1796875" style="167"/>
    <col min="13827" max="13827" width="47.54296875" style="167" customWidth="1"/>
    <col min="13828" max="13828" width="29.54296875" style="167" customWidth="1"/>
    <col min="13829" max="13840" width="31" style="167" customWidth="1"/>
    <col min="13841" max="13841" width="8.81640625" style="167" customWidth="1"/>
    <col min="13842" max="14082" width="9.1796875" style="167"/>
    <col min="14083" max="14083" width="47.54296875" style="167" customWidth="1"/>
    <col min="14084" max="14084" width="29.54296875" style="167" customWidth="1"/>
    <col min="14085" max="14096" width="31" style="167" customWidth="1"/>
    <col min="14097" max="14097" width="8.81640625" style="167" customWidth="1"/>
    <col min="14098" max="14338" width="9.1796875" style="167"/>
    <col min="14339" max="14339" width="47.54296875" style="167" customWidth="1"/>
    <col min="14340" max="14340" width="29.54296875" style="167" customWidth="1"/>
    <col min="14341" max="14352" width="31" style="167" customWidth="1"/>
    <col min="14353" max="14353" width="8.81640625" style="167" customWidth="1"/>
    <col min="14354" max="14594" width="9.1796875" style="167"/>
    <col min="14595" max="14595" width="47.54296875" style="167" customWidth="1"/>
    <col min="14596" max="14596" width="29.54296875" style="167" customWidth="1"/>
    <col min="14597" max="14608" width="31" style="167" customWidth="1"/>
    <col min="14609" max="14609" width="8.81640625" style="167" customWidth="1"/>
    <col min="14610" max="14850" width="9.1796875" style="167"/>
    <col min="14851" max="14851" width="47.54296875" style="167" customWidth="1"/>
    <col min="14852" max="14852" width="29.54296875" style="167" customWidth="1"/>
    <col min="14853" max="14864" width="31" style="167" customWidth="1"/>
    <col min="14865" max="14865" width="8.81640625" style="167" customWidth="1"/>
    <col min="14866" max="15106" width="9.1796875" style="167"/>
    <col min="15107" max="15107" width="47.54296875" style="167" customWidth="1"/>
    <col min="15108" max="15108" width="29.54296875" style="167" customWidth="1"/>
    <col min="15109" max="15120" width="31" style="167" customWidth="1"/>
    <col min="15121" max="15121" width="8.81640625" style="167" customWidth="1"/>
    <col min="15122" max="15362" width="9.1796875" style="167"/>
    <col min="15363" max="15363" width="47.54296875" style="167" customWidth="1"/>
    <col min="15364" max="15364" width="29.54296875" style="167" customWidth="1"/>
    <col min="15365" max="15376" width="31" style="167" customWidth="1"/>
    <col min="15377" max="15377" width="8.81640625" style="167" customWidth="1"/>
    <col min="15378" max="15618" width="9.1796875" style="167"/>
    <col min="15619" max="15619" width="47.54296875" style="167" customWidth="1"/>
    <col min="15620" max="15620" width="29.54296875" style="167" customWidth="1"/>
    <col min="15621" max="15632" width="31" style="167" customWidth="1"/>
    <col min="15633" max="15633" width="8.81640625" style="167" customWidth="1"/>
    <col min="15634" max="15874" width="9.1796875" style="167"/>
    <col min="15875" max="15875" width="47.54296875" style="167" customWidth="1"/>
    <col min="15876" max="15876" width="29.54296875" style="167" customWidth="1"/>
    <col min="15877" max="15888" width="31" style="167" customWidth="1"/>
    <col min="15889" max="15889" width="8.81640625" style="167" customWidth="1"/>
    <col min="15890" max="16130" width="9.1796875" style="167"/>
    <col min="16131" max="16131" width="47.54296875" style="167" customWidth="1"/>
    <col min="16132" max="16132" width="29.54296875" style="167" customWidth="1"/>
    <col min="16133" max="16144" width="31" style="167" customWidth="1"/>
    <col min="16145" max="16145" width="8.81640625" style="167" customWidth="1"/>
    <col min="16146" max="16384" width="9.1796875" style="167"/>
  </cols>
  <sheetData>
    <row r="1" spans="1:13" ht="20.149999999999999" customHeight="1" thickBot="1" x14ac:dyDescent="0.3">
      <c r="A1" s="1348" t="s">
        <v>435</v>
      </c>
      <c r="B1" s="1349"/>
      <c r="C1" s="1349"/>
      <c r="D1" s="1349"/>
      <c r="E1" s="1349"/>
      <c r="F1" s="1349"/>
      <c r="G1" s="1349"/>
      <c r="H1" s="1349"/>
      <c r="I1" s="1350"/>
      <c r="J1" s="209" t="str">
        <f>+TITELBLAD!C10</f>
        <v>elektriciteit</v>
      </c>
      <c r="K1" s="296"/>
      <c r="L1" s="296"/>
      <c r="M1" s="296"/>
    </row>
    <row r="2" spans="1:13" x14ac:dyDescent="0.25">
      <c r="I2" s="296"/>
      <c r="J2" s="296"/>
      <c r="K2" s="296"/>
      <c r="L2" s="296"/>
      <c r="M2" s="296"/>
    </row>
    <row r="3" spans="1:13" ht="13" x14ac:dyDescent="0.25">
      <c r="B3" s="296"/>
      <c r="C3" s="1063" t="s">
        <v>346</v>
      </c>
      <c r="D3" s="1063" t="s">
        <v>347</v>
      </c>
      <c r="I3" s="296"/>
      <c r="J3" s="296"/>
      <c r="K3" s="296"/>
      <c r="L3" s="296"/>
      <c r="M3" s="296"/>
    </row>
    <row r="4" spans="1:13" ht="13" x14ac:dyDescent="0.25">
      <c r="A4" s="358" t="s">
        <v>440</v>
      </c>
      <c r="B4" s="1080">
        <f>+TITELBLAD!E16</f>
        <v>2021</v>
      </c>
      <c r="C4" s="1081">
        <f>-G45</f>
        <v>0</v>
      </c>
      <c r="D4" s="1081">
        <f>-G78</f>
        <v>0</v>
      </c>
      <c r="E4" s="1082"/>
      <c r="I4" s="296"/>
      <c r="J4" s="296"/>
      <c r="K4" s="296"/>
      <c r="L4" s="296"/>
      <c r="M4" s="296"/>
    </row>
    <row r="5" spans="1:13" x14ac:dyDescent="0.25">
      <c r="D5" s="1082"/>
      <c r="E5" s="1082"/>
      <c r="I5" s="296"/>
      <c r="J5" s="296"/>
      <c r="K5" s="296"/>
      <c r="L5" s="296"/>
      <c r="M5" s="296"/>
    </row>
    <row r="6" spans="1:13" x14ac:dyDescent="0.25">
      <c r="I6" s="296"/>
      <c r="J6" s="296"/>
      <c r="K6" s="296"/>
      <c r="L6" s="296"/>
      <c r="M6" s="296"/>
    </row>
    <row r="7" spans="1:13" x14ac:dyDescent="0.25">
      <c r="I7" s="296"/>
      <c r="J7" s="296"/>
      <c r="K7" s="296"/>
      <c r="L7" s="296"/>
      <c r="M7" s="296"/>
    </row>
    <row r="8" spans="1:13" ht="13" x14ac:dyDescent="0.25">
      <c r="A8" s="358" t="s">
        <v>308</v>
      </c>
      <c r="I8" s="296"/>
      <c r="J8" s="296"/>
      <c r="K8" s="296"/>
      <c r="L8" s="296"/>
      <c r="M8" s="296"/>
    </row>
    <row r="9" spans="1:13" ht="13" x14ac:dyDescent="0.25">
      <c r="A9" s="224" t="s">
        <v>309</v>
      </c>
      <c r="I9" s="296"/>
      <c r="J9" s="296"/>
      <c r="K9" s="296"/>
      <c r="L9" s="296"/>
      <c r="M9" s="296"/>
    </row>
    <row r="10" spans="1:13" ht="13" x14ac:dyDescent="0.25">
      <c r="A10" s="1083" t="s">
        <v>310</v>
      </c>
      <c r="I10" s="296"/>
      <c r="J10" s="296"/>
      <c r="K10" s="296"/>
      <c r="L10" s="296"/>
      <c r="M10" s="296"/>
    </row>
    <row r="11" spans="1:13" ht="13" x14ac:dyDescent="0.25">
      <c r="A11" s="1083" t="s">
        <v>311</v>
      </c>
      <c r="I11" s="296"/>
      <c r="J11" s="296"/>
      <c r="K11" s="296"/>
      <c r="L11" s="296"/>
      <c r="M11" s="296"/>
    </row>
    <row r="12" spans="1:13" ht="13" x14ac:dyDescent="0.25">
      <c r="A12" s="1083"/>
      <c r="I12" s="296"/>
      <c r="J12" s="296"/>
      <c r="K12" s="296"/>
      <c r="L12" s="296"/>
      <c r="M12" s="296"/>
    </row>
    <row r="13" spans="1:13" ht="13" x14ac:dyDescent="0.25">
      <c r="A13" s="1113" t="s">
        <v>427</v>
      </c>
      <c r="I13" s="296"/>
      <c r="J13" s="296"/>
      <c r="K13" s="296"/>
      <c r="L13" s="296"/>
      <c r="M13" s="296"/>
    </row>
    <row r="14" spans="1:13" ht="41.5" customHeight="1" x14ac:dyDescent="0.25">
      <c r="A14" s="1359" t="s">
        <v>428</v>
      </c>
      <c r="B14" s="1359"/>
      <c r="C14" s="1359"/>
      <c r="I14" s="296"/>
      <c r="J14" s="296"/>
      <c r="K14" s="296"/>
      <c r="L14" s="296"/>
      <c r="M14" s="296"/>
    </row>
    <row r="15" spans="1:13" ht="13" x14ac:dyDescent="0.25">
      <c r="A15" s="1083"/>
      <c r="I15" s="296"/>
      <c r="J15" s="296"/>
      <c r="K15" s="296"/>
      <c r="L15" s="296"/>
      <c r="M15" s="296"/>
    </row>
    <row r="16" spans="1:13" ht="13.5" thickBot="1" x14ac:dyDescent="0.3">
      <c r="A16" s="1083"/>
    </row>
    <row r="17" spans="1:9" ht="18" customHeight="1" thickBot="1" x14ac:dyDescent="0.3">
      <c r="A17" s="1355" t="str">
        <f>"BUDGET "&amp;B4</f>
        <v>BUDGET 2021</v>
      </c>
      <c r="B17" s="1356"/>
      <c r="C17" s="1356"/>
      <c r="D17" s="1356"/>
      <c r="E17" s="1356"/>
      <c r="F17" s="1356"/>
      <c r="G17" s="1356"/>
      <c r="H17" s="1356"/>
      <c r="I17" s="1357"/>
    </row>
    <row r="18" spans="1:9" ht="58.5" customHeight="1" x14ac:dyDescent="0.25">
      <c r="A18" s="1084" t="s">
        <v>312</v>
      </c>
      <c r="B18" s="1085" t="s">
        <v>343</v>
      </c>
      <c r="C18" s="1086" t="str">
        <f>"Oorspronkelijke meerwaarde op basis van historische indexatie voor activa einde boekjaar "&amp;B4-1</f>
        <v>Oorspronkelijke meerwaarde op basis van historische indexatie voor activa einde boekjaar 2020</v>
      </c>
      <c r="D18" s="1086" t="str">
        <f>"Gecumuleerde afschrijvingen activa einde boekjaar "&amp; B4-1</f>
        <v>Gecumuleerde afschrijvingen activa einde boekjaar 2020</v>
      </c>
      <c r="E18" s="1086" t="str">
        <f>"Nettoboekwaarde meerwaarde op basis van historische indexatie einde boekjaar "&amp; B4-1</f>
        <v>Nettoboekwaarde meerwaarde op basis van historische indexatie einde boekjaar 2020</v>
      </c>
      <c r="F18" s="1086" t="str">
        <f>"Transfers boekjaar "&amp;B4</f>
        <v>Transfers boekjaar 2021</v>
      </c>
      <c r="G18" s="1086" t="str">
        <f>"Afschrijvingen boekjaar "&amp;B4</f>
        <v>Afschrijvingen boekjaar 2021</v>
      </c>
      <c r="H18" s="1086" t="str">
        <f>"Desinvesteringen boekjaar "&amp;B4&amp;" (n.a.v. verkoop of structuurwijziging)"</f>
        <v>Desinvesteringen boekjaar 2021 (n.a.v. verkoop of structuurwijziging)</v>
      </c>
      <c r="I18" s="1086" t="str">
        <f>"Nettoboekwaarde meerwaarde op basis van historische indexatie einde boekjaar "&amp;B4</f>
        <v>Nettoboekwaarde meerwaarde op basis van historische indexatie einde boekjaar 2021</v>
      </c>
    </row>
    <row r="19" spans="1:9" ht="13.5" thickBot="1" x14ac:dyDescent="0.3">
      <c r="A19" s="1087"/>
      <c r="B19" s="1088"/>
      <c r="C19" s="1089" t="s">
        <v>4</v>
      </c>
      <c r="D19" s="1089" t="s">
        <v>8</v>
      </c>
      <c r="E19" s="1089"/>
      <c r="F19" s="1089" t="s">
        <v>4</v>
      </c>
      <c r="G19" s="1089" t="s">
        <v>8</v>
      </c>
      <c r="H19" s="1089" t="s">
        <v>8</v>
      </c>
      <c r="I19" s="1090"/>
    </row>
    <row r="20" spans="1:9" x14ac:dyDescent="0.25">
      <c r="A20" s="1091" t="s">
        <v>313</v>
      </c>
      <c r="B20" s="1352">
        <v>0.02</v>
      </c>
      <c r="C20" s="665">
        <v>0</v>
      </c>
      <c r="D20" s="665">
        <v>0</v>
      </c>
      <c r="E20" s="1092">
        <f t="shared" ref="E20:E39" si="0">+C20+D20</f>
        <v>0</v>
      </c>
      <c r="F20" s="665">
        <v>0</v>
      </c>
      <c r="G20" s="665">
        <v>0</v>
      </c>
      <c r="H20" s="665">
        <v>0</v>
      </c>
      <c r="I20" s="1093">
        <f>+SUM(E20:H20)</f>
        <v>0</v>
      </c>
    </row>
    <row r="21" spans="1:9" x14ac:dyDescent="0.25">
      <c r="A21" s="1094" t="s">
        <v>314</v>
      </c>
      <c r="B21" s="1353"/>
      <c r="C21" s="666">
        <v>0</v>
      </c>
      <c r="D21" s="666">
        <v>0</v>
      </c>
      <c r="E21" s="1095">
        <f t="shared" si="0"/>
        <v>0</v>
      </c>
      <c r="F21" s="666">
        <v>0</v>
      </c>
      <c r="G21" s="666">
        <v>0</v>
      </c>
      <c r="H21" s="666">
        <v>0</v>
      </c>
      <c r="I21" s="1096">
        <f t="shared" ref="I21:I43" si="1">+SUM(E21:H21)</f>
        <v>0</v>
      </c>
    </row>
    <row r="22" spans="1:9" x14ac:dyDescent="0.25">
      <c r="A22" s="1094" t="s">
        <v>315</v>
      </c>
      <c r="B22" s="1353"/>
      <c r="C22" s="666">
        <v>0</v>
      </c>
      <c r="D22" s="666">
        <v>0</v>
      </c>
      <c r="E22" s="1095">
        <f t="shared" si="0"/>
        <v>0</v>
      </c>
      <c r="F22" s="666">
        <v>0</v>
      </c>
      <c r="G22" s="666">
        <v>0</v>
      </c>
      <c r="H22" s="666">
        <v>0</v>
      </c>
      <c r="I22" s="1096">
        <f t="shared" si="1"/>
        <v>0</v>
      </c>
    </row>
    <row r="23" spans="1:9" x14ac:dyDescent="0.25">
      <c r="A23" s="1094" t="s">
        <v>348</v>
      </c>
      <c r="B23" s="1353"/>
      <c r="C23" s="666">
        <v>0</v>
      </c>
      <c r="D23" s="666">
        <v>0</v>
      </c>
      <c r="E23" s="1095">
        <f t="shared" si="0"/>
        <v>0</v>
      </c>
      <c r="F23" s="666">
        <v>0</v>
      </c>
      <c r="G23" s="666">
        <v>0</v>
      </c>
      <c r="H23" s="666">
        <v>0</v>
      </c>
      <c r="I23" s="1096">
        <f t="shared" si="1"/>
        <v>0</v>
      </c>
    </row>
    <row r="24" spans="1:9" x14ac:dyDescent="0.25">
      <c r="A24" s="1094" t="s">
        <v>349</v>
      </c>
      <c r="B24" s="1353"/>
      <c r="C24" s="666">
        <v>0</v>
      </c>
      <c r="D24" s="666">
        <v>0</v>
      </c>
      <c r="E24" s="1095">
        <f t="shared" si="0"/>
        <v>0</v>
      </c>
      <c r="F24" s="666">
        <v>0</v>
      </c>
      <c r="G24" s="666">
        <v>0</v>
      </c>
      <c r="H24" s="666">
        <v>0</v>
      </c>
      <c r="I24" s="1096">
        <f t="shared" si="1"/>
        <v>0</v>
      </c>
    </row>
    <row r="25" spans="1:9" x14ac:dyDescent="0.25">
      <c r="A25" s="1094" t="s">
        <v>350</v>
      </c>
      <c r="B25" s="1353"/>
      <c r="C25" s="666">
        <v>0</v>
      </c>
      <c r="D25" s="666">
        <v>0</v>
      </c>
      <c r="E25" s="1095">
        <f t="shared" si="0"/>
        <v>0</v>
      </c>
      <c r="F25" s="666">
        <v>0</v>
      </c>
      <c r="G25" s="666">
        <v>0</v>
      </c>
      <c r="H25" s="666">
        <v>0</v>
      </c>
      <c r="I25" s="1096">
        <f t="shared" si="1"/>
        <v>0</v>
      </c>
    </row>
    <row r="26" spans="1:9" x14ac:dyDescent="0.25">
      <c r="A26" s="1094" t="s">
        <v>351</v>
      </c>
      <c r="B26" s="1353"/>
      <c r="C26" s="666">
        <v>0</v>
      </c>
      <c r="D26" s="666">
        <v>0</v>
      </c>
      <c r="E26" s="1095">
        <f t="shared" si="0"/>
        <v>0</v>
      </c>
      <c r="F26" s="666">
        <v>0</v>
      </c>
      <c r="G26" s="666">
        <v>0</v>
      </c>
      <c r="H26" s="666">
        <v>0</v>
      </c>
      <c r="I26" s="1096">
        <f t="shared" si="1"/>
        <v>0</v>
      </c>
    </row>
    <row r="27" spans="1:9" x14ac:dyDescent="0.25">
      <c r="A27" s="1094" t="s">
        <v>322</v>
      </c>
      <c r="B27" s="1353"/>
      <c r="C27" s="666">
        <v>0</v>
      </c>
      <c r="D27" s="666">
        <v>0</v>
      </c>
      <c r="E27" s="1095">
        <f>+C27+D27</f>
        <v>0</v>
      </c>
      <c r="F27" s="666">
        <v>0</v>
      </c>
      <c r="G27" s="666">
        <v>0</v>
      </c>
      <c r="H27" s="666">
        <v>0</v>
      </c>
      <c r="I27" s="1096">
        <f t="shared" si="1"/>
        <v>0</v>
      </c>
    </row>
    <row r="28" spans="1:9" x14ac:dyDescent="0.25">
      <c r="A28" s="1094" t="s">
        <v>352</v>
      </c>
      <c r="B28" s="1353"/>
      <c r="C28" s="666">
        <v>0</v>
      </c>
      <c r="D28" s="666">
        <v>0</v>
      </c>
      <c r="E28" s="1095">
        <f t="shared" si="0"/>
        <v>0</v>
      </c>
      <c r="F28" s="666">
        <v>0</v>
      </c>
      <c r="G28" s="666">
        <v>0</v>
      </c>
      <c r="H28" s="666">
        <v>0</v>
      </c>
      <c r="I28" s="1096">
        <f t="shared" si="1"/>
        <v>0</v>
      </c>
    </row>
    <row r="29" spans="1:9" x14ac:dyDescent="0.25">
      <c r="A29" s="1094" t="s">
        <v>353</v>
      </c>
      <c r="B29" s="1353"/>
      <c r="C29" s="666">
        <v>0</v>
      </c>
      <c r="D29" s="666">
        <v>0</v>
      </c>
      <c r="E29" s="1095">
        <f t="shared" si="0"/>
        <v>0</v>
      </c>
      <c r="F29" s="666">
        <v>0</v>
      </c>
      <c r="G29" s="666">
        <v>0</v>
      </c>
      <c r="H29" s="666">
        <v>0</v>
      </c>
      <c r="I29" s="1096">
        <f t="shared" si="1"/>
        <v>0</v>
      </c>
    </row>
    <row r="30" spans="1:9" x14ac:dyDescent="0.25">
      <c r="A30" s="1094" t="s">
        <v>354</v>
      </c>
      <c r="B30" s="1353"/>
      <c r="C30" s="666">
        <v>0</v>
      </c>
      <c r="D30" s="666">
        <v>0</v>
      </c>
      <c r="E30" s="1095">
        <f t="shared" si="0"/>
        <v>0</v>
      </c>
      <c r="F30" s="666">
        <v>0</v>
      </c>
      <c r="G30" s="666">
        <v>0</v>
      </c>
      <c r="H30" s="666">
        <v>0</v>
      </c>
      <c r="I30" s="1096">
        <f t="shared" si="1"/>
        <v>0</v>
      </c>
    </row>
    <row r="31" spans="1:9" x14ac:dyDescent="0.25">
      <c r="A31" s="1094" t="s">
        <v>355</v>
      </c>
      <c r="B31" s="1353"/>
      <c r="C31" s="666">
        <v>0</v>
      </c>
      <c r="D31" s="666">
        <v>0</v>
      </c>
      <c r="E31" s="1095">
        <f t="shared" si="0"/>
        <v>0</v>
      </c>
      <c r="F31" s="666">
        <v>0</v>
      </c>
      <c r="G31" s="666">
        <v>0</v>
      </c>
      <c r="H31" s="666">
        <v>0</v>
      </c>
      <c r="I31" s="1096">
        <f t="shared" si="1"/>
        <v>0</v>
      </c>
    </row>
    <row r="32" spans="1:9" x14ac:dyDescent="0.25">
      <c r="A32" s="1094" t="s">
        <v>327</v>
      </c>
      <c r="B32" s="1353"/>
      <c r="C32" s="666">
        <v>0</v>
      </c>
      <c r="D32" s="666">
        <v>0</v>
      </c>
      <c r="E32" s="1095">
        <f t="shared" si="0"/>
        <v>0</v>
      </c>
      <c r="F32" s="666">
        <v>0</v>
      </c>
      <c r="G32" s="666">
        <v>0</v>
      </c>
      <c r="H32" s="666">
        <v>0</v>
      </c>
      <c r="I32" s="1096">
        <f t="shared" si="1"/>
        <v>0</v>
      </c>
    </row>
    <row r="33" spans="1:9" x14ac:dyDescent="0.25">
      <c r="A33" s="1094" t="s">
        <v>344</v>
      </c>
      <c r="B33" s="1353"/>
      <c r="C33" s="666">
        <v>0</v>
      </c>
      <c r="D33" s="666">
        <v>0</v>
      </c>
      <c r="E33" s="1095">
        <f t="shared" ref="E33" si="2">+C33+D33</f>
        <v>0</v>
      </c>
      <c r="F33" s="666">
        <v>0</v>
      </c>
      <c r="G33" s="666">
        <v>0</v>
      </c>
      <c r="H33" s="666">
        <v>0</v>
      </c>
      <c r="I33" s="1096">
        <f t="shared" ref="I33" si="3">+SUM(E33:H33)</f>
        <v>0</v>
      </c>
    </row>
    <row r="34" spans="1:9" x14ac:dyDescent="0.25">
      <c r="A34" s="1094" t="s">
        <v>328</v>
      </c>
      <c r="B34" s="1353"/>
      <c r="C34" s="666">
        <v>0</v>
      </c>
      <c r="D34" s="666">
        <v>0</v>
      </c>
      <c r="E34" s="1095">
        <f t="shared" si="0"/>
        <v>0</v>
      </c>
      <c r="F34" s="666">
        <v>0</v>
      </c>
      <c r="G34" s="666">
        <v>0</v>
      </c>
      <c r="H34" s="666">
        <v>0</v>
      </c>
      <c r="I34" s="1096">
        <f t="shared" si="1"/>
        <v>0</v>
      </c>
    </row>
    <row r="35" spans="1:9" x14ac:dyDescent="0.25">
      <c r="A35" s="1094" t="s">
        <v>329</v>
      </c>
      <c r="B35" s="1353"/>
      <c r="C35" s="666">
        <v>0</v>
      </c>
      <c r="D35" s="666">
        <v>0</v>
      </c>
      <c r="E35" s="1095">
        <f t="shared" si="0"/>
        <v>0</v>
      </c>
      <c r="F35" s="666">
        <v>0</v>
      </c>
      <c r="G35" s="666">
        <v>0</v>
      </c>
      <c r="H35" s="666">
        <v>0</v>
      </c>
      <c r="I35" s="1096">
        <f t="shared" si="1"/>
        <v>0</v>
      </c>
    </row>
    <row r="36" spans="1:9" x14ac:dyDescent="0.25">
      <c r="A36" s="1094" t="s">
        <v>330</v>
      </c>
      <c r="B36" s="1353"/>
      <c r="C36" s="666">
        <v>0</v>
      </c>
      <c r="D36" s="666">
        <v>0</v>
      </c>
      <c r="E36" s="1095">
        <f t="shared" si="0"/>
        <v>0</v>
      </c>
      <c r="F36" s="666">
        <v>0</v>
      </c>
      <c r="G36" s="666">
        <v>0</v>
      </c>
      <c r="H36" s="666">
        <v>0</v>
      </c>
      <c r="I36" s="1096">
        <f t="shared" si="1"/>
        <v>0</v>
      </c>
    </row>
    <row r="37" spans="1:9" x14ac:dyDescent="0.25">
      <c r="A37" s="1094" t="s">
        <v>356</v>
      </c>
      <c r="B37" s="1353"/>
      <c r="C37" s="666">
        <v>0</v>
      </c>
      <c r="D37" s="666">
        <v>0</v>
      </c>
      <c r="E37" s="1095">
        <f t="shared" si="0"/>
        <v>0</v>
      </c>
      <c r="F37" s="666">
        <v>0</v>
      </c>
      <c r="G37" s="666">
        <v>0</v>
      </c>
      <c r="H37" s="666">
        <v>0</v>
      </c>
      <c r="I37" s="1096">
        <f t="shared" si="1"/>
        <v>0</v>
      </c>
    </row>
    <row r="38" spans="1:9" x14ac:dyDescent="0.25">
      <c r="A38" s="1094" t="s">
        <v>332</v>
      </c>
      <c r="B38" s="1353"/>
      <c r="C38" s="666">
        <v>0</v>
      </c>
      <c r="D38" s="666">
        <v>0</v>
      </c>
      <c r="E38" s="1095">
        <f t="shared" si="0"/>
        <v>0</v>
      </c>
      <c r="F38" s="666">
        <v>0</v>
      </c>
      <c r="G38" s="666">
        <v>0</v>
      </c>
      <c r="H38" s="666">
        <v>0</v>
      </c>
      <c r="I38" s="1096">
        <f t="shared" si="1"/>
        <v>0</v>
      </c>
    </row>
    <row r="39" spans="1:9" x14ac:dyDescent="0.25">
      <c r="A39" s="1094" t="s">
        <v>333</v>
      </c>
      <c r="B39" s="1353"/>
      <c r="C39" s="666">
        <v>0</v>
      </c>
      <c r="D39" s="666">
        <v>0</v>
      </c>
      <c r="E39" s="1095">
        <f t="shared" si="0"/>
        <v>0</v>
      </c>
      <c r="F39" s="666">
        <v>0</v>
      </c>
      <c r="G39" s="666">
        <v>0</v>
      </c>
      <c r="H39" s="666">
        <v>0</v>
      </c>
      <c r="I39" s="1096">
        <f t="shared" si="1"/>
        <v>0</v>
      </c>
    </row>
    <row r="40" spans="1:9" x14ac:dyDescent="0.25">
      <c r="A40" s="1114" t="s">
        <v>334</v>
      </c>
      <c r="B40" s="1353"/>
      <c r="C40" s="670">
        <v>0</v>
      </c>
      <c r="D40" s="670">
        <v>0</v>
      </c>
      <c r="E40" s="1115">
        <f>+C40+D40</f>
        <v>0</v>
      </c>
      <c r="F40" s="670">
        <v>0</v>
      </c>
      <c r="G40" s="670">
        <v>0</v>
      </c>
      <c r="H40" s="670">
        <v>0</v>
      </c>
      <c r="I40" s="1116">
        <f t="shared" si="1"/>
        <v>0</v>
      </c>
    </row>
    <row r="41" spans="1:9" x14ac:dyDescent="0.25">
      <c r="A41" s="1094" t="s">
        <v>336</v>
      </c>
      <c r="B41" s="1353"/>
      <c r="C41" s="670">
        <v>0</v>
      </c>
      <c r="D41" s="670">
        <v>0</v>
      </c>
      <c r="E41" s="1115">
        <f>+C41+D41</f>
        <v>0</v>
      </c>
      <c r="F41" s="670">
        <v>0</v>
      </c>
      <c r="G41" s="670">
        <v>0</v>
      </c>
      <c r="H41" s="670">
        <v>0</v>
      </c>
      <c r="I41" s="1116">
        <f t="shared" si="1"/>
        <v>0</v>
      </c>
    </row>
    <row r="42" spans="1:9" x14ac:dyDescent="0.25">
      <c r="A42" s="1114" t="s">
        <v>339</v>
      </c>
      <c r="B42" s="1353"/>
      <c r="C42" s="670">
        <v>0</v>
      </c>
      <c r="D42" s="670">
        <v>0</v>
      </c>
      <c r="E42" s="1115">
        <f>+C42+D42</f>
        <v>0</v>
      </c>
      <c r="F42" s="670">
        <v>0</v>
      </c>
      <c r="G42" s="670">
        <v>0</v>
      </c>
      <c r="H42" s="670">
        <v>0</v>
      </c>
      <c r="I42" s="1116">
        <f t="shared" si="1"/>
        <v>0</v>
      </c>
    </row>
    <row r="43" spans="1:9" ht="13" thickBot="1" x14ac:dyDescent="0.3">
      <c r="A43" s="1117" t="s">
        <v>341</v>
      </c>
      <c r="B43" s="1354"/>
      <c r="C43" s="671">
        <v>0</v>
      </c>
      <c r="D43" s="671">
        <v>0</v>
      </c>
      <c r="E43" s="1118">
        <f>+C43+D43</f>
        <v>0</v>
      </c>
      <c r="F43" s="671">
        <v>0</v>
      </c>
      <c r="G43" s="671">
        <v>0</v>
      </c>
      <c r="H43" s="671">
        <v>0</v>
      </c>
      <c r="I43" s="1119">
        <f t="shared" si="1"/>
        <v>0</v>
      </c>
    </row>
    <row r="44" spans="1:9" ht="13" x14ac:dyDescent="0.25">
      <c r="A44" s="1100"/>
      <c r="B44" s="1101"/>
      <c r="C44" s="1120"/>
      <c r="D44" s="1120"/>
      <c r="E44" s="1120"/>
      <c r="F44" s="1120"/>
      <c r="G44" s="1120"/>
      <c r="H44" s="1120"/>
      <c r="I44" s="1120"/>
    </row>
    <row r="45" spans="1:9" ht="13" x14ac:dyDescent="0.25">
      <c r="A45" s="1100" t="s">
        <v>342</v>
      </c>
      <c r="B45" s="1101"/>
      <c r="C45" s="1103">
        <f t="shared" ref="C45:I45" si="4">SUM(C20:C43)</f>
        <v>0</v>
      </c>
      <c r="D45" s="1103">
        <f t="shared" si="4"/>
        <v>0</v>
      </c>
      <c r="E45" s="1103">
        <f t="shared" si="4"/>
        <v>0</v>
      </c>
      <c r="F45" s="1103">
        <f t="shared" ref="F45" si="5">SUM(F20:F43)</f>
        <v>0</v>
      </c>
      <c r="G45" s="1103">
        <f t="shared" si="4"/>
        <v>0</v>
      </c>
      <c r="H45" s="1103">
        <f t="shared" si="4"/>
        <v>0</v>
      </c>
      <c r="I45" s="1103">
        <f t="shared" si="4"/>
        <v>0</v>
      </c>
    </row>
    <row r="46" spans="1:9" ht="13.5" thickBot="1" x14ac:dyDescent="0.3">
      <c r="A46" s="1104"/>
      <c r="B46" s="1105"/>
      <c r="C46" s="1106"/>
      <c r="D46" s="1106"/>
      <c r="E46" s="1106"/>
      <c r="F46" s="1106"/>
      <c r="G46" s="1106"/>
      <c r="H46" s="1106"/>
      <c r="I46" s="1107"/>
    </row>
    <row r="49" spans="1:9" ht="13" thickBot="1" x14ac:dyDescent="0.3"/>
    <row r="50" spans="1:9" ht="18" customHeight="1" thickBot="1" x14ac:dyDescent="0.3">
      <c r="A50" s="1355" t="str">
        <f>"REALITEIT "&amp;B4</f>
        <v>REALITEIT 2021</v>
      </c>
      <c r="B50" s="1356"/>
      <c r="C50" s="1356"/>
      <c r="D50" s="1356"/>
      <c r="E50" s="1356"/>
      <c r="F50" s="1356"/>
      <c r="G50" s="1356"/>
      <c r="H50" s="1356"/>
      <c r="I50" s="1357"/>
    </row>
    <row r="51" spans="1:9" ht="58.5" customHeight="1" x14ac:dyDescent="0.25">
      <c r="A51" s="1084" t="s">
        <v>312</v>
      </c>
      <c r="B51" s="1085" t="s">
        <v>343</v>
      </c>
      <c r="C51" s="1086" t="str">
        <f>"Oorspronkelijke meerwaarde op basis van historische indexatie voor activa einde boekjaar "&amp;B4-1</f>
        <v>Oorspronkelijke meerwaarde op basis van historische indexatie voor activa einde boekjaar 2020</v>
      </c>
      <c r="D51" s="1086" t="str">
        <f>"Gecumuleerde afschrijvingen activa einde boekjaar "&amp; B4-1</f>
        <v>Gecumuleerde afschrijvingen activa einde boekjaar 2020</v>
      </c>
      <c r="E51" s="1086" t="str">
        <f>"Nettoboekwaarde meerwaarde op basis van historische indexatie einde boekjaar "&amp; B4-1</f>
        <v>Nettoboekwaarde meerwaarde op basis van historische indexatie einde boekjaar 2020</v>
      </c>
      <c r="F51" s="1086" t="str">
        <f>"Transfers boekjaar "&amp;B4</f>
        <v>Transfers boekjaar 2021</v>
      </c>
      <c r="G51" s="1086" t="str">
        <f>"Afschrijvingen boekjaar "&amp;B4</f>
        <v>Afschrijvingen boekjaar 2021</v>
      </c>
      <c r="H51" s="1086" t="str">
        <f>"Desinvesteringen boekjaar "&amp;B4&amp;" (n.a.v. verkoop of structuurwijziging)"</f>
        <v>Desinvesteringen boekjaar 2021 (n.a.v. verkoop of structuurwijziging)</v>
      </c>
      <c r="I51" s="1086" t="str">
        <f>"Nettoboekwaarde meerwaarde op basis van historische indexatie einde boekjaar "&amp;B4</f>
        <v>Nettoboekwaarde meerwaarde op basis van historische indexatie einde boekjaar 2021</v>
      </c>
    </row>
    <row r="52" spans="1:9" ht="13.5" thickBot="1" x14ac:dyDescent="0.3">
      <c r="A52" s="1087"/>
      <c r="B52" s="1088"/>
      <c r="C52" s="1089" t="s">
        <v>4</v>
      </c>
      <c r="D52" s="1089" t="s">
        <v>8</v>
      </c>
      <c r="E52" s="1089"/>
      <c r="F52" s="1089" t="s">
        <v>4</v>
      </c>
      <c r="G52" s="1089" t="s">
        <v>8</v>
      </c>
      <c r="H52" s="1089" t="s">
        <v>8</v>
      </c>
      <c r="I52" s="1090"/>
    </row>
    <row r="53" spans="1:9" x14ac:dyDescent="0.25">
      <c r="A53" s="1091" t="s">
        <v>313</v>
      </c>
      <c r="B53" s="1352">
        <v>0.02</v>
      </c>
      <c r="C53" s="665">
        <v>0</v>
      </c>
      <c r="D53" s="665">
        <v>0</v>
      </c>
      <c r="E53" s="1092">
        <f t="shared" ref="E53:E59" si="6">+C53+D53</f>
        <v>0</v>
      </c>
      <c r="F53" s="665">
        <v>0</v>
      </c>
      <c r="G53" s="665">
        <v>0</v>
      </c>
      <c r="H53" s="665">
        <v>0</v>
      </c>
      <c r="I53" s="1093">
        <f>+SUM(E53:H53)</f>
        <v>0</v>
      </c>
    </row>
    <row r="54" spans="1:9" x14ac:dyDescent="0.25">
      <c r="A54" s="1094" t="s">
        <v>314</v>
      </c>
      <c r="B54" s="1353"/>
      <c r="C54" s="666">
        <v>0</v>
      </c>
      <c r="D54" s="666">
        <v>0</v>
      </c>
      <c r="E54" s="1095">
        <f t="shared" si="6"/>
        <v>0</v>
      </c>
      <c r="F54" s="666">
        <v>0</v>
      </c>
      <c r="G54" s="666">
        <v>0</v>
      </c>
      <c r="H54" s="666">
        <v>0</v>
      </c>
      <c r="I54" s="1096">
        <f t="shared" ref="I54:I76" si="7">+SUM(E54:H54)</f>
        <v>0</v>
      </c>
    </row>
    <row r="55" spans="1:9" x14ac:dyDescent="0.25">
      <c r="A55" s="1094" t="s">
        <v>315</v>
      </c>
      <c r="B55" s="1353"/>
      <c r="C55" s="666">
        <v>0</v>
      </c>
      <c r="D55" s="666">
        <v>0</v>
      </c>
      <c r="E55" s="1095">
        <f t="shared" si="6"/>
        <v>0</v>
      </c>
      <c r="F55" s="666">
        <v>0</v>
      </c>
      <c r="G55" s="666">
        <v>0</v>
      </c>
      <c r="H55" s="666">
        <v>0</v>
      </c>
      <c r="I55" s="1096">
        <f t="shared" si="7"/>
        <v>0</v>
      </c>
    </row>
    <row r="56" spans="1:9" x14ac:dyDescent="0.25">
      <c r="A56" s="1094" t="s">
        <v>348</v>
      </c>
      <c r="B56" s="1353"/>
      <c r="C56" s="666">
        <v>0</v>
      </c>
      <c r="D56" s="666">
        <v>0</v>
      </c>
      <c r="E56" s="1095">
        <f t="shared" si="6"/>
        <v>0</v>
      </c>
      <c r="F56" s="666">
        <v>0</v>
      </c>
      <c r="G56" s="666">
        <v>0</v>
      </c>
      <c r="H56" s="666">
        <v>0</v>
      </c>
      <c r="I56" s="1096">
        <f t="shared" si="7"/>
        <v>0</v>
      </c>
    </row>
    <row r="57" spans="1:9" x14ac:dyDescent="0.25">
      <c r="A57" s="1094" t="s">
        <v>349</v>
      </c>
      <c r="B57" s="1353"/>
      <c r="C57" s="666">
        <v>0</v>
      </c>
      <c r="D57" s="666">
        <v>0</v>
      </c>
      <c r="E57" s="1095">
        <f t="shared" si="6"/>
        <v>0</v>
      </c>
      <c r="F57" s="666">
        <v>0</v>
      </c>
      <c r="G57" s="666">
        <v>0</v>
      </c>
      <c r="H57" s="666">
        <v>0</v>
      </c>
      <c r="I57" s="1096">
        <f t="shared" si="7"/>
        <v>0</v>
      </c>
    </row>
    <row r="58" spans="1:9" x14ac:dyDescent="0.25">
      <c r="A58" s="1094" t="s">
        <v>350</v>
      </c>
      <c r="B58" s="1353"/>
      <c r="C58" s="666">
        <v>0</v>
      </c>
      <c r="D58" s="666">
        <v>0</v>
      </c>
      <c r="E58" s="1095">
        <f t="shared" si="6"/>
        <v>0</v>
      </c>
      <c r="F58" s="666">
        <v>0</v>
      </c>
      <c r="G58" s="666">
        <v>0</v>
      </c>
      <c r="H58" s="666">
        <v>0</v>
      </c>
      <c r="I58" s="1096">
        <f t="shared" si="7"/>
        <v>0</v>
      </c>
    </row>
    <row r="59" spans="1:9" x14ac:dyDescent="0.25">
      <c r="A59" s="1094" t="s">
        <v>351</v>
      </c>
      <c r="B59" s="1353"/>
      <c r="C59" s="666">
        <v>0</v>
      </c>
      <c r="D59" s="666">
        <v>0</v>
      </c>
      <c r="E59" s="1095">
        <f t="shared" si="6"/>
        <v>0</v>
      </c>
      <c r="F59" s="666">
        <v>0</v>
      </c>
      <c r="G59" s="666">
        <v>0</v>
      </c>
      <c r="H59" s="666">
        <v>0</v>
      </c>
      <c r="I59" s="1096">
        <f t="shared" si="7"/>
        <v>0</v>
      </c>
    </row>
    <row r="60" spans="1:9" x14ac:dyDescent="0.25">
      <c r="A60" s="1094" t="s">
        <v>322</v>
      </c>
      <c r="B60" s="1353"/>
      <c r="C60" s="666">
        <v>0</v>
      </c>
      <c r="D60" s="666">
        <v>0</v>
      </c>
      <c r="E60" s="1095">
        <f>+C60+D60</f>
        <v>0</v>
      </c>
      <c r="F60" s="666">
        <v>0</v>
      </c>
      <c r="G60" s="666">
        <v>0</v>
      </c>
      <c r="H60" s="666">
        <v>0</v>
      </c>
      <c r="I60" s="1096">
        <f t="shared" si="7"/>
        <v>0</v>
      </c>
    </row>
    <row r="61" spans="1:9" x14ac:dyDescent="0.25">
      <c r="A61" s="1094" t="s">
        <v>352</v>
      </c>
      <c r="B61" s="1353"/>
      <c r="C61" s="666">
        <v>0</v>
      </c>
      <c r="D61" s="666">
        <v>0</v>
      </c>
      <c r="E61" s="1095">
        <f t="shared" ref="E61:E72" si="8">+C61+D61</f>
        <v>0</v>
      </c>
      <c r="F61" s="666">
        <v>0</v>
      </c>
      <c r="G61" s="666">
        <v>0</v>
      </c>
      <c r="H61" s="666">
        <v>0</v>
      </c>
      <c r="I61" s="1096">
        <f t="shared" si="7"/>
        <v>0</v>
      </c>
    </row>
    <row r="62" spans="1:9" x14ac:dyDescent="0.25">
      <c r="A62" s="1094" t="s">
        <v>353</v>
      </c>
      <c r="B62" s="1353"/>
      <c r="C62" s="666">
        <v>0</v>
      </c>
      <c r="D62" s="666">
        <v>0</v>
      </c>
      <c r="E62" s="1095">
        <f t="shared" si="8"/>
        <v>0</v>
      </c>
      <c r="F62" s="666">
        <v>0</v>
      </c>
      <c r="G62" s="666">
        <v>0</v>
      </c>
      <c r="H62" s="666">
        <v>0</v>
      </c>
      <c r="I62" s="1096">
        <f t="shared" si="7"/>
        <v>0</v>
      </c>
    </row>
    <row r="63" spans="1:9" x14ac:dyDescent="0.25">
      <c r="A63" s="1094" t="s">
        <v>354</v>
      </c>
      <c r="B63" s="1353"/>
      <c r="C63" s="666">
        <v>0</v>
      </c>
      <c r="D63" s="666">
        <v>0</v>
      </c>
      <c r="E63" s="1095">
        <f t="shared" si="8"/>
        <v>0</v>
      </c>
      <c r="F63" s="666">
        <v>0</v>
      </c>
      <c r="G63" s="666">
        <v>0</v>
      </c>
      <c r="H63" s="666">
        <v>0</v>
      </c>
      <c r="I63" s="1096">
        <f t="shared" si="7"/>
        <v>0</v>
      </c>
    </row>
    <row r="64" spans="1:9" x14ac:dyDescent="0.25">
      <c r="A64" s="1094" t="s">
        <v>355</v>
      </c>
      <c r="B64" s="1353"/>
      <c r="C64" s="666">
        <v>0</v>
      </c>
      <c r="D64" s="666">
        <v>0</v>
      </c>
      <c r="E64" s="1095">
        <f t="shared" si="8"/>
        <v>0</v>
      </c>
      <c r="F64" s="666">
        <v>0</v>
      </c>
      <c r="G64" s="666">
        <v>0</v>
      </c>
      <c r="H64" s="666">
        <v>0</v>
      </c>
      <c r="I64" s="1096">
        <f t="shared" si="7"/>
        <v>0</v>
      </c>
    </row>
    <row r="65" spans="1:9" x14ac:dyDescent="0.25">
      <c r="A65" s="1094" t="s">
        <v>327</v>
      </c>
      <c r="B65" s="1353"/>
      <c r="C65" s="666">
        <v>0</v>
      </c>
      <c r="D65" s="666">
        <v>0</v>
      </c>
      <c r="E65" s="1095">
        <f t="shared" si="8"/>
        <v>0</v>
      </c>
      <c r="F65" s="666">
        <v>0</v>
      </c>
      <c r="G65" s="666">
        <v>0</v>
      </c>
      <c r="H65" s="666">
        <v>0</v>
      </c>
      <c r="I65" s="1096">
        <f t="shared" si="7"/>
        <v>0</v>
      </c>
    </row>
    <row r="66" spans="1:9" x14ac:dyDescent="0.25">
      <c r="A66" s="1094" t="s">
        <v>344</v>
      </c>
      <c r="B66" s="1353"/>
      <c r="C66" s="666">
        <v>0</v>
      </c>
      <c r="D66" s="666">
        <v>0</v>
      </c>
      <c r="E66" s="1095">
        <f t="shared" si="8"/>
        <v>0</v>
      </c>
      <c r="F66" s="666">
        <v>0</v>
      </c>
      <c r="G66" s="666">
        <v>0</v>
      </c>
      <c r="H66" s="666">
        <v>0</v>
      </c>
      <c r="I66" s="1096">
        <f t="shared" si="7"/>
        <v>0</v>
      </c>
    </row>
    <row r="67" spans="1:9" x14ac:dyDescent="0.25">
      <c r="A67" s="1094" t="s">
        <v>328</v>
      </c>
      <c r="B67" s="1353"/>
      <c r="C67" s="666">
        <v>0</v>
      </c>
      <c r="D67" s="666">
        <v>0</v>
      </c>
      <c r="E67" s="1095">
        <f t="shared" si="8"/>
        <v>0</v>
      </c>
      <c r="F67" s="666">
        <v>0</v>
      </c>
      <c r="G67" s="666">
        <v>0</v>
      </c>
      <c r="H67" s="666">
        <v>0</v>
      </c>
      <c r="I67" s="1096">
        <f t="shared" si="7"/>
        <v>0</v>
      </c>
    </row>
    <row r="68" spans="1:9" x14ac:dyDescent="0.25">
      <c r="A68" s="1094" t="s">
        <v>329</v>
      </c>
      <c r="B68" s="1353"/>
      <c r="C68" s="666">
        <v>0</v>
      </c>
      <c r="D68" s="666">
        <v>0</v>
      </c>
      <c r="E68" s="1095">
        <f t="shared" si="8"/>
        <v>0</v>
      </c>
      <c r="F68" s="666">
        <v>0</v>
      </c>
      <c r="G68" s="666">
        <v>0</v>
      </c>
      <c r="H68" s="666">
        <v>0</v>
      </c>
      <c r="I68" s="1096">
        <f t="shared" si="7"/>
        <v>0</v>
      </c>
    </row>
    <row r="69" spans="1:9" x14ac:dyDescent="0.25">
      <c r="A69" s="1094" t="s">
        <v>330</v>
      </c>
      <c r="B69" s="1353"/>
      <c r="C69" s="666">
        <v>0</v>
      </c>
      <c r="D69" s="666">
        <v>0</v>
      </c>
      <c r="E69" s="1095">
        <f t="shared" si="8"/>
        <v>0</v>
      </c>
      <c r="F69" s="666">
        <v>0</v>
      </c>
      <c r="G69" s="666">
        <v>0</v>
      </c>
      <c r="H69" s="666">
        <v>0</v>
      </c>
      <c r="I69" s="1096">
        <f t="shared" si="7"/>
        <v>0</v>
      </c>
    </row>
    <row r="70" spans="1:9" x14ac:dyDescent="0.25">
      <c r="A70" s="1094" t="s">
        <v>356</v>
      </c>
      <c r="B70" s="1353"/>
      <c r="C70" s="666">
        <v>0</v>
      </c>
      <c r="D70" s="666">
        <v>0</v>
      </c>
      <c r="E70" s="1095">
        <f t="shared" si="8"/>
        <v>0</v>
      </c>
      <c r="F70" s="666">
        <v>0</v>
      </c>
      <c r="G70" s="666">
        <v>0</v>
      </c>
      <c r="H70" s="666">
        <v>0</v>
      </c>
      <c r="I70" s="1096">
        <f t="shared" si="7"/>
        <v>0</v>
      </c>
    </row>
    <row r="71" spans="1:9" x14ac:dyDescent="0.25">
      <c r="A71" s="1094" t="s">
        <v>332</v>
      </c>
      <c r="B71" s="1353"/>
      <c r="C71" s="666">
        <v>0</v>
      </c>
      <c r="D71" s="666">
        <v>0</v>
      </c>
      <c r="E71" s="1095">
        <f t="shared" si="8"/>
        <v>0</v>
      </c>
      <c r="F71" s="666">
        <v>0</v>
      </c>
      <c r="G71" s="666">
        <v>0</v>
      </c>
      <c r="H71" s="666">
        <v>0</v>
      </c>
      <c r="I71" s="1096">
        <f t="shared" si="7"/>
        <v>0</v>
      </c>
    </row>
    <row r="72" spans="1:9" x14ac:dyDescent="0.25">
      <c r="A72" s="1094" t="s">
        <v>333</v>
      </c>
      <c r="B72" s="1353"/>
      <c r="C72" s="666">
        <v>0</v>
      </c>
      <c r="D72" s="666">
        <v>0</v>
      </c>
      <c r="E72" s="1095">
        <f t="shared" si="8"/>
        <v>0</v>
      </c>
      <c r="F72" s="666">
        <v>0</v>
      </c>
      <c r="G72" s="666">
        <v>0</v>
      </c>
      <c r="H72" s="666">
        <v>0</v>
      </c>
      <c r="I72" s="1096">
        <f t="shared" si="7"/>
        <v>0</v>
      </c>
    </row>
    <row r="73" spans="1:9" x14ac:dyDescent="0.25">
      <c r="A73" s="1114" t="s">
        <v>334</v>
      </c>
      <c r="B73" s="1353"/>
      <c r="C73" s="670">
        <v>0</v>
      </c>
      <c r="D73" s="670">
        <v>0</v>
      </c>
      <c r="E73" s="1115">
        <f>+C73+D73</f>
        <v>0</v>
      </c>
      <c r="F73" s="670">
        <v>0</v>
      </c>
      <c r="G73" s="670">
        <v>0</v>
      </c>
      <c r="H73" s="670">
        <v>0</v>
      </c>
      <c r="I73" s="1116">
        <f t="shared" si="7"/>
        <v>0</v>
      </c>
    </row>
    <row r="74" spans="1:9" x14ac:dyDescent="0.25">
      <c r="A74" s="1094" t="s">
        <v>336</v>
      </c>
      <c r="B74" s="1353"/>
      <c r="C74" s="670">
        <v>0</v>
      </c>
      <c r="D74" s="670">
        <v>0</v>
      </c>
      <c r="E74" s="1115">
        <f>+C74+D74</f>
        <v>0</v>
      </c>
      <c r="F74" s="670">
        <v>0</v>
      </c>
      <c r="G74" s="670">
        <v>0</v>
      </c>
      <c r="H74" s="670">
        <v>0</v>
      </c>
      <c r="I74" s="1116">
        <f t="shared" si="7"/>
        <v>0</v>
      </c>
    </row>
    <row r="75" spans="1:9" x14ac:dyDescent="0.25">
      <c r="A75" s="1114" t="s">
        <v>339</v>
      </c>
      <c r="B75" s="1353"/>
      <c r="C75" s="670">
        <v>0</v>
      </c>
      <c r="D75" s="670">
        <v>0</v>
      </c>
      <c r="E75" s="1115">
        <f>+C75+D75</f>
        <v>0</v>
      </c>
      <c r="F75" s="670">
        <v>0</v>
      </c>
      <c r="G75" s="670">
        <v>0</v>
      </c>
      <c r="H75" s="670">
        <v>0</v>
      </c>
      <c r="I75" s="1116">
        <f t="shared" si="7"/>
        <v>0</v>
      </c>
    </row>
    <row r="76" spans="1:9" ht="13" thickBot="1" x14ac:dyDescent="0.3">
      <c r="A76" s="1117" t="s">
        <v>341</v>
      </c>
      <c r="B76" s="1354"/>
      <c r="C76" s="671">
        <v>0</v>
      </c>
      <c r="D76" s="671">
        <v>0</v>
      </c>
      <c r="E76" s="1118">
        <f>+C76+D76</f>
        <v>0</v>
      </c>
      <c r="F76" s="671">
        <v>0</v>
      </c>
      <c r="G76" s="671">
        <v>0</v>
      </c>
      <c r="H76" s="671">
        <v>0</v>
      </c>
      <c r="I76" s="1119">
        <f t="shared" si="7"/>
        <v>0</v>
      </c>
    </row>
    <row r="77" spans="1:9" ht="13" x14ac:dyDescent="0.25">
      <c r="A77" s="1100"/>
      <c r="B77" s="1101"/>
      <c r="C77" s="1120"/>
      <c r="D77" s="1120"/>
      <c r="E77" s="1120"/>
      <c r="F77" s="1120"/>
      <c r="G77" s="1120"/>
      <c r="H77" s="1120"/>
      <c r="I77" s="1120"/>
    </row>
    <row r="78" spans="1:9" ht="13" x14ac:dyDescent="0.25">
      <c r="A78" s="1100" t="s">
        <v>342</v>
      </c>
      <c r="B78" s="1101"/>
      <c r="C78" s="1103">
        <f t="shared" ref="C78:I78" si="9">SUM(C53:C76)</f>
        <v>0</v>
      </c>
      <c r="D78" s="1103">
        <f t="shared" si="9"/>
        <v>0</v>
      </c>
      <c r="E78" s="1103">
        <f t="shared" si="9"/>
        <v>0</v>
      </c>
      <c r="F78" s="1103">
        <f t="shared" ref="F78" si="10">SUM(F53:F76)</f>
        <v>0</v>
      </c>
      <c r="G78" s="1103">
        <f t="shared" si="9"/>
        <v>0</v>
      </c>
      <c r="H78" s="1103">
        <f t="shared" si="9"/>
        <v>0</v>
      </c>
      <c r="I78" s="1103">
        <f t="shared" si="9"/>
        <v>0</v>
      </c>
    </row>
    <row r="79" spans="1:9" ht="13.5" thickBot="1" x14ac:dyDescent="0.3">
      <c r="A79" s="1104"/>
      <c r="B79" s="1105"/>
      <c r="C79" s="1106"/>
      <c r="D79" s="1106"/>
      <c r="E79" s="1106"/>
      <c r="F79" s="1106"/>
      <c r="G79" s="1106"/>
      <c r="H79" s="1106"/>
      <c r="I79" s="1107"/>
    </row>
  </sheetData>
  <sheetProtection algorithmName="SHA-512" hashValue="nLb3K8t3t6vKFYnwOOSiSZJvC3g5VfxUOp0bKWg1TZ74L3ejmoJG76mSfkp/HJEsLXAdSTDJm23v8FF4EXS5RQ==" saltValue="DYQaREYBDgrb7HkusKb6lg==" spinCount="100000" sheet="1" objects="1" scenarios="1"/>
  <mergeCells count="6">
    <mergeCell ref="A50:I50"/>
    <mergeCell ref="B53:B76"/>
    <mergeCell ref="B20:B43"/>
    <mergeCell ref="A17:I17"/>
    <mergeCell ref="A1:I1"/>
    <mergeCell ref="A14:C14"/>
  </mergeCells>
  <conditionalFormatting sqref="A1:E13 A15:E1048576 A14 D14:E14 G1:XFD1048576">
    <cfRule type="expression" dxfId="17" priority="4">
      <formula>$J$1="elektriciteit"</formula>
    </cfRule>
  </conditionalFormatting>
  <conditionalFormatting sqref="F1:F1048576">
    <cfRule type="expression" dxfId="16" priority="2">
      <formula>$J$1="elektriciteit"</formula>
    </cfRule>
  </conditionalFormatting>
  <dataValidations count="3">
    <dataValidation type="decimal" operator="lessThanOrEqual" allowBlank="1" showInputMessage="1" showErrorMessage="1" errorTitle="Positief bedrag" error="Gelieve een negatief bedrag in te geven" sqref="D65526:D65548 JB65526:JB65548 SX65526:SX65548 ACT65526:ACT65548 AMP65526:AMP65548 AWL65526:AWL65548 BGH65526:BGH65548 BQD65526:BQD65548 BZZ65526:BZZ65548 CJV65526:CJV65548 CTR65526:CTR65548 DDN65526:DDN65548 DNJ65526:DNJ65548 DXF65526:DXF65548 EHB65526:EHB65548 EQX65526:EQX65548 FAT65526:FAT65548 FKP65526:FKP65548 FUL65526:FUL65548 GEH65526:GEH65548 GOD65526:GOD65548 GXZ65526:GXZ65548 HHV65526:HHV65548 HRR65526:HRR65548 IBN65526:IBN65548 ILJ65526:ILJ65548 IVF65526:IVF65548 JFB65526:JFB65548 JOX65526:JOX65548 JYT65526:JYT65548 KIP65526:KIP65548 KSL65526:KSL65548 LCH65526:LCH65548 LMD65526:LMD65548 LVZ65526:LVZ65548 MFV65526:MFV65548 MPR65526:MPR65548 MZN65526:MZN65548 NJJ65526:NJJ65548 NTF65526:NTF65548 ODB65526:ODB65548 OMX65526:OMX65548 OWT65526:OWT65548 PGP65526:PGP65548 PQL65526:PQL65548 QAH65526:QAH65548 QKD65526:QKD65548 QTZ65526:QTZ65548 RDV65526:RDV65548 RNR65526:RNR65548 RXN65526:RXN65548 SHJ65526:SHJ65548 SRF65526:SRF65548 TBB65526:TBB65548 TKX65526:TKX65548 TUT65526:TUT65548 UEP65526:UEP65548 UOL65526:UOL65548 UYH65526:UYH65548 VID65526:VID65548 VRZ65526:VRZ65548 WBV65526:WBV65548 WLR65526:WLR65548 WVN65526:WVN65548 D131062:D131084 JB131062:JB131084 SX131062:SX131084 ACT131062:ACT131084 AMP131062:AMP131084 AWL131062:AWL131084 BGH131062:BGH131084 BQD131062:BQD131084 BZZ131062:BZZ131084 CJV131062:CJV131084 CTR131062:CTR131084 DDN131062:DDN131084 DNJ131062:DNJ131084 DXF131062:DXF131084 EHB131062:EHB131084 EQX131062:EQX131084 FAT131062:FAT131084 FKP131062:FKP131084 FUL131062:FUL131084 GEH131062:GEH131084 GOD131062:GOD131084 GXZ131062:GXZ131084 HHV131062:HHV131084 HRR131062:HRR131084 IBN131062:IBN131084 ILJ131062:ILJ131084 IVF131062:IVF131084 JFB131062:JFB131084 JOX131062:JOX131084 JYT131062:JYT131084 KIP131062:KIP131084 KSL131062:KSL131084 LCH131062:LCH131084 LMD131062:LMD131084 LVZ131062:LVZ131084 MFV131062:MFV131084 MPR131062:MPR131084 MZN131062:MZN131084 NJJ131062:NJJ131084 NTF131062:NTF131084 ODB131062:ODB131084 OMX131062:OMX131084 OWT131062:OWT131084 PGP131062:PGP131084 PQL131062:PQL131084 QAH131062:QAH131084 QKD131062:QKD131084 QTZ131062:QTZ131084 RDV131062:RDV131084 RNR131062:RNR131084 RXN131062:RXN131084 SHJ131062:SHJ131084 SRF131062:SRF131084 TBB131062:TBB131084 TKX131062:TKX131084 TUT131062:TUT131084 UEP131062:UEP131084 UOL131062:UOL131084 UYH131062:UYH131084 VID131062:VID131084 VRZ131062:VRZ131084 WBV131062:WBV131084 WLR131062:WLR131084 WVN131062:WVN131084 D196598:D196620 JB196598:JB196620 SX196598:SX196620 ACT196598:ACT196620 AMP196598:AMP196620 AWL196598:AWL196620 BGH196598:BGH196620 BQD196598:BQD196620 BZZ196598:BZZ196620 CJV196598:CJV196620 CTR196598:CTR196620 DDN196598:DDN196620 DNJ196598:DNJ196620 DXF196598:DXF196620 EHB196598:EHB196620 EQX196598:EQX196620 FAT196598:FAT196620 FKP196598:FKP196620 FUL196598:FUL196620 GEH196598:GEH196620 GOD196598:GOD196620 GXZ196598:GXZ196620 HHV196598:HHV196620 HRR196598:HRR196620 IBN196598:IBN196620 ILJ196598:ILJ196620 IVF196598:IVF196620 JFB196598:JFB196620 JOX196598:JOX196620 JYT196598:JYT196620 KIP196598:KIP196620 KSL196598:KSL196620 LCH196598:LCH196620 LMD196598:LMD196620 LVZ196598:LVZ196620 MFV196598:MFV196620 MPR196598:MPR196620 MZN196598:MZN196620 NJJ196598:NJJ196620 NTF196598:NTF196620 ODB196598:ODB196620 OMX196598:OMX196620 OWT196598:OWT196620 PGP196598:PGP196620 PQL196598:PQL196620 QAH196598:QAH196620 QKD196598:QKD196620 QTZ196598:QTZ196620 RDV196598:RDV196620 RNR196598:RNR196620 RXN196598:RXN196620 SHJ196598:SHJ196620 SRF196598:SRF196620 TBB196598:TBB196620 TKX196598:TKX196620 TUT196598:TUT196620 UEP196598:UEP196620 UOL196598:UOL196620 UYH196598:UYH196620 VID196598:VID196620 VRZ196598:VRZ196620 WBV196598:WBV196620 WLR196598:WLR196620 WVN196598:WVN196620 D262134:D262156 JB262134:JB262156 SX262134:SX262156 ACT262134:ACT262156 AMP262134:AMP262156 AWL262134:AWL262156 BGH262134:BGH262156 BQD262134:BQD262156 BZZ262134:BZZ262156 CJV262134:CJV262156 CTR262134:CTR262156 DDN262134:DDN262156 DNJ262134:DNJ262156 DXF262134:DXF262156 EHB262134:EHB262156 EQX262134:EQX262156 FAT262134:FAT262156 FKP262134:FKP262156 FUL262134:FUL262156 GEH262134:GEH262156 GOD262134:GOD262156 GXZ262134:GXZ262156 HHV262134:HHV262156 HRR262134:HRR262156 IBN262134:IBN262156 ILJ262134:ILJ262156 IVF262134:IVF262156 JFB262134:JFB262156 JOX262134:JOX262156 JYT262134:JYT262156 KIP262134:KIP262156 KSL262134:KSL262156 LCH262134:LCH262156 LMD262134:LMD262156 LVZ262134:LVZ262156 MFV262134:MFV262156 MPR262134:MPR262156 MZN262134:MZN262156 NJJ262134:NJJ262156 NTF262134:NTF262156 ODB262134:ODB262156 OMX262134:OMX262156 OWT262134:OWT262156 PGP262134:PGP262156 PQL262134:PQL262156 QAH262134:QAH262156 QKD262134:QKD262156 QTZ262134:QTZ262156 RDV262134:RDV262156 RNR262134:RNR262156 RXN262134:RXN262156 SHJ262134:SHJ262156 SRF262134:SRF262156 TBB262134:TBB262156 TKX262134:TKX262156 TUT262134:TUT262156 UEP262134:UEP262156 UOL262134:UOL262156 UYH262134:UYH262156 VID262134:VID262156 VRZ262134:VRZ262156 WBV262134:WBV262156 WLR262134:WLR262156 WVN262134:WVN262156 D327670:D327692 JB327670:JB327692 SX327670:SX327692 ACT327670:ACT327692 AMP327670:AMP327692 AWL327670:AWL327692 BGH327670:BGH327692 BQD327670:BQD327692 BZZ327670:BZZ327692 CJV327670:CJV327692 CTR327670:CTR327692 DDN327670:DDN327692 DNJ327670:DNJ327692 DXF327670:DXF327692 EHB327670:EHB327692 EQX327670:EQX327692 FAT327670:FAT327692 FKP327670:FKP327692 FUL327670:FUL327692 GEH327670:GEH327692 GOD327670:GOD327692 GXZ327670:GXZ327692 HHV327670:HHV327692 HRR327670:HRR327692 IBN327670:IBN327692 ILJ327670:ILJ327692 IVF327670:IVF327692 JFB327670:JFB327692 JOX327670:JOX327692 JYT327670:JYT327692 KIP327670:KIP327692 KSL327670:KSL327692 LCH327670:LCH327692 LMD327670:LMD327692 LVZ327670:LVZ327692 MFV327670:MFV327692 MPR327670:MPR327692 MZN327670:MZN327692 NJJ327670:NJJ327692 NTF327670:NTF327692 ODB327670:ODB327692 OMX327670:OMX327692 OWT327670:OWT327692 PGP327670:PGP327692 PQL327670:PQL327692 QAH327670:QAH327692 QKD327670:QKD327692 QTZ327670:QTZ327692 RDV327670:RDV327692 RNR327670:RNR327692 RXN327670:RXN327692 SHJ327670:SHJ327692 SRF327670:SRF327692 TBB327670:TBB327692 TKX327670:TKX327692 TUT327670:TUT327692 UEP327670:UEP327692 UOL327670:UOL327692 UYH327670:UYH327692 VID327670:VID327692 VRZ327670:VRZ327692 WBV327670:WBV327692 WLR327670:WLR327692 WVN327670:WVN327692 D393206:D393228 JB393206:JB393228 SX393206:SX393228 ACT393206:ACT393228 AMP393206:AMP393228 AWL393206:AWL393228 BGH393206:BGH393228 BQD393206:BQD393228 BZZ393206:BZZ393228 CJV393206:CJV393228 CTR393206:CTR393228 DDN393206:DDN393228 DNJ393206:DNJ393228 DXF393206:DXF393228 EHB393206:EHB393228 EQX393206:EQX393228 FAT393206:FAT393228 FKP393206:FKP393228 FUL393206:FUL393228 GEH393206:GEH393228 GOD393206:GOD393228 GXZ393206:GXZ393228 HHV393206:HHV393228 HRR393206:HRR393228 IBN393206:IBN393228 ILJ393206:ILJ393228 IVF393206:IVF393228 JFB393206:JFB393228 JOX393206:JOX393228 JYT393206:JYT393228 KIP393206:KIP393228 KSL393206:KSL393228 LCH393206:LCH393228 LMD393206:LMD393228 LVZ393206:LVZ393228 MFV393206:MFV393228 MPR393206:MPR393228 MZN393206:MZN393228 NJJ393206:NJJ393228 NTF393206:NTF393228 ODB393206:ODB393228 OMX393206:OMX393228 OWT393206:OWT393228 PGP393206:PGP393228 PQL393206:PQL393228 QAH393206:QAH393228 QKD393206:QKD393228 QTZ393206:QTZ393228 RDV393206:RDV393228 RNR393206:RNR393228 RXN393206:RXN393228 SHJ393206:SHJ393228 SRF393206:SRF393228 TBB393206:TBB393228 TKX393206:TKX393228 TUT393206:TUT393228 UEP393206:UEP393228 UOL393206:UOL393228 UYH393206:UYH393228 VID393206:VID393228 VRZ393206:VRZ393228 WBV393206:WBV393228 WLR393206:WLR393228 WVN393206:WVN393228 D458742:D458764 JB458742:JB458764 SX458742:SX458764 ACT458742:ACT458764 AMP458742:AMP458764 AWL458742:AWL458764 BGH458742:BGH458764 BQD458742:BQD458764 BZZ458742:BZZ458764 CJV458742:CJV458764 CTR458742:CTR458764 DDN458742:DDN458764 DNJ458742:DNJ458764 DXF458742:DXF458764 EHB458742:EHB458764 EQX458742:EQX458764 FAT458742:FAT458764 FKP458742:FKP458764 FUL458742:FUL458764 GEH458742:GEH458764 GOD458742:GOD458764 GXZ458742:GXZ458764 HHV458742:HHV458764 HRR458742:HRR458764 IBN458742:IBN458764 ILJ458742:ILJ458764 IVF458742:IVF458764 JFB458742:JFB458764 JOX458742:JOX458764 JYT458742:JYT458764 KIP458742:KIP458764 KSL458742:KSL458764 LCH458742:LCH458764 LMD458742:LMD458764 LVZ458742:LVZ458764 MFV458742:MFV458764 MPR458742:MPR458764 MZN458742:MZN458764 NJJ458742:NJJ458764 NTF458742:NTF458764 ODB458742:ODB458764 OMX458742:OMX458764 OWT458742:OWT458764 PGP458742:PGP458764 PQL458742:PQL458764 QAH458742:QAH458764 QKD458742:QKD458764 QTZ458742:QTZ458764 RDV458742:RDV458764 RNR458742:RNR458764 RXN458742:RXN458764 SHJ458742:SHJ458764 SRF458742:SRF458764 TBB458742:TBB458764 TKX458742:TKX458764 TUT458742:TUT458764 UEP458742:UEP458764 UOL458742:UOL458764 UYH458742:UYH458764 VID458742:VID458764 VRZ458742:VRZ458764 WBV458742:WBV458764 WLR458742:WLR458764 WVN458742:WVN458764 D524278:D524300 JB524278:JB524300 SX524278:SX524300 ACT524278:ACT524300 AMP524278:AMP524300 AWL524278:AWL524300 BGH524278:BGH524300 BQD524278:BQD524300 BZZ524278:BZZ524300 CJV524278:CJV524300 CTR524278:CTR524300 DDN524278:DDN524300 DNJ524278:DNJ524300 DXF524278:DXF524300 EHB524278:EHB524300 EQX524278:EQX524300 FAT524278:FAT524300 FKP524278:FKP524300 FUL524278:FUL524300 GEH524278:GEH524300 GOD524278:GOD524300 GXZ524278:GXZ524300 HHV524278:HHV524300 HRR524278:HRR524300 IBN524278:IBN524300 ILJ524278:ILJ524300 IVF524278:IVF524300 JFB524278:JFB524300 JOX524278:JOX524300 JYT524278:JYT524300 KIP524278:KIP524300 KSL524278:KSL524300 LCH524278:LCH524300 LMD524278:LMD524300 LVZ524278:LVZ524300 MFV524278:MFV524300 MPR524278:MPR524300 MZN524278:MZN524300 NJJ524278:NJJ524300 NTF524278:NTF524300 ODB524278:ODB524300 OMX524278:OMX524300 OWT524278:OWT524300 PGP524278:PGP524300 PQL524278:PQL524300 QAH524278:QAH524300 QKD524278:QKD524300 QTZ524278:QTZ524300 RDV524278:RDV524300 RNR524278:RNR524300 RXN524278:RXN524300 SHJ524278:SHJ524300 SRF524278:SRF524300 TBB524278:TBB524300 TKX524278:TKX524300 TUT524278:TUT524300 UEP524278:UEP524300 UOL524278:UOL524300 UYH524278:UYH524300 VID524278:VID524300 VRZ524278:VRZ524300 WBV524278:WBV524300 WLR524278:WLR524300 WVN524278:WVN524300 D589814:D589836 JB589814:JB589836 SX589814:SX589836 ACT589814:ACT589836 AMP589814:AMP589836 AWL589814:AWL589836 BGH589814:BGH589836 BQD589814:BQD589836 BZZ589814:BZZ589836 CJV589814:CJV589836 CTR589814:CTR589836 DDN589814:DDN589836 DNJ589814:DNJ589836 DXF589814:DXF589836 EHB589814:EHB589836 EQX589814:EQX589836 FAT589814:FAT589836 FKP589814:FKP589836 FUL589814:FUL589836 GEH589814:GEH589836 GOD589814:GOD589836 GXZ589814:GXZ589836 HHV589814:HHV589836 HRR589814:HRR589836 IBN589814:IBN589836 ILJ589814:ILJ589836 IVF589814:IVF589836 JFB589814:JFB589836 JOX589814:JOX589836 JYT589814:JYT589836 KIP589814:KIP589836 KSL589814:KSL589836 LCH589814:LCH589836 LMD589814:LMD589836 LVZ589814:LVZ589836 MFV589814:MFV589836 MPR589814:MPR589836 MZN589814:MZN589836 NJJ589814:NJJ589836 NTF589814:NTF589836 ODB589814:ODB589836 OMX589814:OMX589836 OWT589814:OWT589836 PGP589814:PGP589836 PQL589814:PQL589836 QAH589814:QAH589836 QKD589814:QKD589836 QTZ589814:QTZ589836 RDV589814:RDV589836 RNR589814:RNR589836 RXN589814:RXN589836 SHJ589814:SHJ589836 SRF589814:SRF589836 TBB589814:TBB589836 TKX589814:TKX589836 TUT589814:TUT589836 UEP589814:UEP589836 UOL589814:UOL589836 UYH589814:UYH589836 VID589814:VID589836 VRZ589814:VRZ589836 WBV589814:WBV589836 WLR589814:WLR589836 WVN589814:WVN589836 D655350:D655372 JB655350:JB655372 SX655350:SX655372 ACT655350:ACT655372 AMP655350:AMP655372 AWL655350:AWL655372 BGH655350:BGH655372 BQD655350:BQD655372 BZZ655350:BZZ655372 CJV655350:CJV655372 CTR655350:CTR655372 DDN655350:DDN655372 DNJ655350:DNJ655372 DXF655350:DXF655372 EHB655350:EHB655372 EQX655350:EQX655372 FAT655350:FAT655372 FKP655350:FKP655372 FUL655350:FUL655372 GEH655350:GEH655372 GOD655350:GOD655372 GXZ655350:GXZ655372 HHV655350:HHV655372 HRR655350:HRR655372 IBN655350:IBN655372 ILJ655350:ILJ655372 IVF655350:IVF655372 JFB655350:JFB655372 JOX655350:JOX655372 JYT655350:JYT655372 KIP655350:KIP655372 KSL655350:KSL655372 LCH655350:LCH655372 LMD655350:LMD655372 LVZ655350:LVZ655372 MFV655350:MFV655372 MPR655350:MPR655372 MZN655350:MZN655372 NJJ655350:NJJ655372 NTF655350:NTF655372 ODB655350:ODB655372 OMX655350:OMX655372 OWT655350:OWT655372 PGP655350:PGP655372 PQL655350:PQL655372 QAH655350:QAH655372 QKD655350:QKD655372 QTZ655350:QTZ655372 RDV655350:RDV655372 RNR655350:RNR655372 RXN655350:RXN655372 SHJ655350:SHJ655372 SRF655350:SRF655372 TBB655350:TBB655372 TKX655350:TKX655372 TUT655350:TUT655372 UEP655350:UEP655372 UOL655350:UOL655372 UYH655350:UYH655372 VID655350:VID655372 VRZ655350:VRZ655372 WBV655350:WBV655372 WLR655350:WLR655372 WVN655350:WVN655372 D720886:D720908 JB720886:JB720908 SX720886:SX720908 ACT720886:ACT720908 AMP720886:AMP720908 AWL720886:AWL720908 BGH720886:BGH720908 BQD720886:BQD720908 BZZ720886:BZZ720908 CJV720886:CJV720908 CTR720886:CTR720908 DDN720886:DDN720908 DNJ720886:DNJ720908 DXF720886:DXF720908 EHB720886:EHB720908 EQX720886:EQX720908 FAT720886:FAT720908 FKP720886:FKP720908 FUL720886:FUL720908 GEH720886:GEH720908 GOD720886:GOD720908 GXZ720886:GXZ720908 HHV720886:HHV720908 HRR720886:HRR720908 IBN720886:IBN720908 ILJ720886:ILJ720908 IVF720886:IVF720908 JFB720886:JFB720908 JOX720886:JOX720908 JYT720886:JYT720908 KIP720886:KIP720908 KSL720886:KSL720908 LCH720886:LCH720908 LMD720886:LMD720908 LVZ720886:LVZ720908 MFV720886:MFV720908 MPR720886:MPR720908 MZN720886:MZN720908 NJJ720886:NJJ720908 NTF720886:NTF720908 ODB720886:ODB720908 OMX720886:OMX720908 OWT720886:OWT720908 PGP720886:PGP720908 PQL720886:PQL720908 QAH720886:QAH720908 QKD720886:QKD720908 QTZ720886:QTZ720908 RDV720886:RDV720908 RNR720886:RNR720908 RXN720886:RXN720908 SHJ720886:SHJ720908 SRF720886:SRF720908 TBB720886:TBB720908 TKX720886:TKX720908 TUT720886:TUT720908 UEP720886:UEP720908 UOL720886:UOL720908 UYH720886:UYH720908 VID720886:VID720908 VRZ720886:VRZ720908 WBV720886:WBV720908 WLR720886:WLR720908 WVN720886:WVN720908 D786422:D786444 JB786422:JB786444 SX786422:SX786444 ACT786422:ACT786444 AMP786422:AMP786444 AWL786422:AWL786444 BGH786422:BGH786444 BQD786422:BQD786444 BZZ786422:BZZ786444 CJV786422:CJV786444 CTR786422:CTR786444 DDN786422:DDN786444 DNJ786422:DNJ786444 DXF786422:DXF786444 EHB786422:EHB786444 EQX786422:EQX786444 FAT786422:FAT786444 FKP786422:FKP786444 FUL786422:FUL786444 GEH786422:GEH786444 GOD786422:GOD786444 GXZ786422:GXZ786444 HHV786422:HHV786444 HRR786422:HRR786444 IBN786422:IBN786444 ILJ786422:ILJ786444 IVF786422:IVF786444 JFB786422:JFB786444 JOX786422:JOX786444 JYT786422:JYT786444 KIP786422:KIP786444 KSL786422:KSL786444 LCH786422:LCH786444 LMD786422:LMD786444 LVZ786422:LVZ786444 MFV786422:MFV786444 MPR786422:MPR786444 MZN786422:MZN786444 NJJ786422:NJJ786444 NTF786422:NTF786444 ODB786422:ODB786444 OMX786422:OMX786444 OWT786422:OWT786444 PGP786422:PGP786444 PQL786422:PQL786444 QAH786422:QAH786444 QKD786422:QKD786444 QTZ786422:QTZ786444 RDV786422:RDV786444 RNR786422:RNR786444 RXN786422:RXN786444 SHJ786422:SHJ786444 SRF786422:SRF786444 TBB786422:TBB786444 TKX786422:TKX786444 TUT786422:TUT786444 UEP786422:UEP786444 UOL786422:UOL786444 UYH786422:UYH786444 VID786422:VID786444 VRZ786422:VRZ786444 WBV786422:WBV786444 WLR786422:WLR786444 WVN786422:WVN786444 D851958:D851980 JB851958:JB851980 SX851958:SX851980 ACT851958:ACT851980 AMP851958:AMP851980 AWL851958:AWL851980 BGH851958:BGH851980 BQD851958:BQD851980 BZZ851958:BZZ851980 CJV851958:CJV851980 CTR851958:CTR851980 DDN851958:DDN851980 DNJ851958:DNJ851980 DXF851958:DXF851980 EHB851958:EHB851980 EQX851958:EQX851980 FAT851958:FAT851980 FKP851958:FKP851980 FUL851958:FUL851980 GEH851958:GEH851980 GOD851958:GOD851980 GXZ851958:GXZ851980 HHV851958:HHV851980 HRR851958:HRR851980 IBN851958:IBN851980 ILJ851958:ILJ851980 IVF851958:IVF851980 JFB851958:JFB851980 JOX851958:JOX851980 JYT851958:JYT851980 KIP851958:KIP851980 KSL851958:KSL851980 LCH851958:LCH851980 LMD851958:LMD851980 LVZ851958:LVZ851980 MFV851958:MFV851980 MPR851958:MPR851980 MZN851958:MZN851980 NJJ851958:NJJ851980 NTF851958:NTF851980 ODB851958:ODB851980 OMX851958:OMX851980 OWT851958:OWT851980 PGP851958:PGP851980 PQL851958:PQL851980 QAH851958:QAH851980 QKD851958:QKD851980 QTZ851958:QTZ851980 RDV851958:RDV851980 RNR851958:RNR851980 RXN851958:RXN851980 SHJ851958:SHJ851980 SRF851958:SRF851980 TBB851958:TBB851980 TKX851958:TKX851980 TUT851958:TUT851980 UEP851958:UEP851980 UOL851958:UOL851980 UYH851958:UYH851980 VID851958:VID851980 VRZ851958:VRZ851980 WBV851958:WBV851980 WLR851958:WLR851980 WVN851958:WVN851980 D917494:D917516 JB917494:JB917516 SX917494:SX917516 ACT917494:ACT917516 AMP917494:AMP917516 AWL917494:AWL917516 BGH917494:BGH917516 BQD917494:BQD917516 BZZ917494:BZZ917516 CJV917494:CJV917516 CTR917494:CTR917516 DDN917494:DDN917516 DNJ917494:DNJ917516 DXF917494:DXF917516 EHB917494:EHB917516 EQX917494:EQX917516 FAT917494:FAT917516 FKP917494:FKP917516 FUL917494:FUL917516 GEH917494:GEH917516 GOD917494:GOD917516 GXZ917494:GXZ917516 HHV917494:HHV917516 HRR917494:HRR917516 IBN917494:IBN917516 ILJ917494:ILJ917516 IVF917494:IVF917516 JFB917494:JFB917516 JOX917494:JOX917516 JYT917494:JYT917516 KIP917494:KIP917516 KSL917494:KSL917516 LCH917494:LCH917516 LMD917494:LMD917516 LVZ917494:LVZ917516 MFV917494:MFV917516 MPR917494:MPR917516 MZN917494:MZN917516 NJJ917494:NJJ917516 NTF917494:NTF917516 ODB917494:ODB917516 OMX917494:OMX917516 OWT917494:OWT917516 PGP917494:PGP917516 PQL917494:PQL917516 QAH917494:QAH917516 QKD917494:QKD917516 QTZ917494:QTZ917516 RDV917494:RDV917516 RNR917494:RNR917516 RXN917494:RXN917516 SHJ917494:SHJ917516 SRF917494:SRF917516 TBB917494:TBB917516 TKX917494:TKX917516 TUT917494:TUT917516 UEP917494:UEP917516 UOL917494:UOL917516 UYH917494:UYH917516 VID917494:VID917516 VRZ917494:VRZ917516 WBV917494:WBV917516 WLR917494:WLR917516 WVN917494:WVN917516 D983030:D983052 JB983030:JB983052 SX983030:SX983052 ACT983030:ACT983052 AMP983030:AMP983052 AWL983030:AWL983052 BGH983030:BGH983052 BQD983030:BQD983052 BZZ983030:BZZ983052 CJV983030:CJV983052 CTR983030:CTR983052 DDN983030:DDN983052 DNJ983030:DNJ983052 DXF983030:DXF983052 EHB983030:EHB983052 EQX983030:EQX983052 FAT983030:FAT983052 FKP983030:FKP983052 FUL983030:FUL983052 GEH983030:GEH983052 GOD983030:GOD983052 GXZ983030:GXZ983052 HHV983030:HHV983052 HRR983030:HRR983052 IBN983030:IBN983052 ILJ983030:ILJ983052 IVF983030:IVF983052 JFB983030:JFB983052 JOX983030:JOX983052 JYT983030:JYT983052 KIP983030:KIP983052 KSL983030:KSL983052 LCH983030:LCH983052 LMD983030:LMD983052 LVZ983030:LVZ983052 MFV983030:MFV983052 MPR983030:MPR983052 MZN983030:MZN983052 NJJ983030:NJJ983052 NTF983030:NTF983052 ODB983030:ODB983052 OMX983030:OMX983052 OWT983030:OWT983052 PGP983030:PGP983052 PQL983030:PQL983052 QAH983030:QAH983052 QKD983030:QKD983052 QTZ983030:QTZ983052 RDV983030:RDV983052 RNR983030:RNR983052 RXN983030:RXN983052 SHJ983030:SHJ983052 SRF983030:SRF983052 TBB983030:TBB983052 TKX983030:TKX983052 TUT983030:TUT983052 UEP983030:UEP983052 UOL983030:UOL983052 UYH983030:UYH983052 VID983030:VID983052 VRZ983030:VRZ983052 WBV983030:WBV983052 WLR983030:WLR983052 WVN983030:WVN983052 O65526:O65548 JK65526:JK65548 TG65526:TG65548 ADC65526:ADC65548 AMY65526:AMY65548 AWU65526:AWU65548 BGQ65526:BGQ65548 BQM65526:BQM65548 CAI65526:CAI65548 CKE65526:CKE65548 CUA65526:CUA65548 DDW65526:DDW65548 DNS65526:DNS65548 DXO65526:DXO65548 EHK65526:EHK65548 ERG65526:ERG65548 FBC65526:FBC65548 FKY65526:FKY65548 FUU65526:FUU65548 GEQ65526:GEQ65548 GOM65526:GOM65548 GYI65526:GYI65548 HIE65526:HIE65548 HSA65526:HSA65548 IBW65526:IBW65548 ILS65526:ILS65548 IVO65526:IVO65548 JFK65526:JFK65548 JPG65526:JPG65548 JZC65526:JZC65548 KIY65526:KIY65548 KSU65526:KSU65548 LCQ65526:LCQ65548 LMM65526:LMM65548 LWI65526:LWI65548 MGE65526:MGE65548 MQA65526:MQA65548 MZW65526:MZW65548 NJS65526:NJS65548 NTO65526:NTO65548 ODK65526:ODK65548 ONG65526:ONG65548 OXC65526:OXC65548 PGY65526:PGY65548 PQU65526:PQU65548 QAQ65526:QAQ65548 QKM65526:QKM65548 QUI65526:QUI65548 REE65526:REE65548 ROA65526:ROA65548 RXW65526:RXW65548 SHS65526:SHS65548 SRO65526:SRO65548 TBK65526:TBK65548 TLG65526:TLG65548 TVC65526:TVC65548 UEY65526:UEY65548 UOU65526:UOU65548 UYQ65526:UYQ65548 VIM65526:VIM65548 VSI65526:VSI65548 WCE65526:WCE65548 WMA65526:WMA65548 WVW65526:WVW65548 O131062:O131084 JK131062:JK131084 TG131062:TG131084 ADC131062:ADC131084 AMY131062:AMY131084 AWU131062:AWU131084 BGQ131062:BGQ131084 BQM131062:BQM131084 CAI131062:CAI131084 CKE131062:CKE131084 CUA131062:CUA131084 DDW131062:DDW131084 DNS131062:DNS131084 DXO131062:DXO131084 EHK131062:EHK131084 ERG131062:ERG131084 FBC131062:FBC131084 FKY131062:FKY131084 FUU131062:FUU131084 GEQ131062:GEQ131084 GOM131062:GOM131084 GYI131062:GYI131084 HIE131062:HIE131084 HSA131062:HSA131084 IBW131062:IBW131084 ILS131062:ILS131084 IVO131062:IVO131084 JFK131062:JFK131084 JPG131062:JPG131084 JZC131062:JZC131084 KIY131062:KIY131084 KSU131062:KSU131084 LCQ131062:LCQ131084 LMM131062:LMM131084 LWI131062:LWI131084 MGE131062:MGE131084 MQA131062:MQA131084 MZW131062:MZW131084 NJS131062:NJS131084 NTO131062:NTO131084 ODK131062:ODK131084 ONG131062:ONG131084 OXC131062:OXC131084 PGY131062:PGY131084 PQU131062:PQU131084 QAQ131062:QAQ131084 QKM131062:QKM131084 QUI131062:QUI131084 REE131062:REE131084 ROA131062:ROA131084 RXW131062:RXW131084 SHS131062:SHS131084 SRO131062:SRO131084 TBK131062:TBK131084 TLG131062:TLG131084 TVC131062:TVC131084 UEY131062:UEY131084 UOU131062:UOU131084 UYQ131062:UYQ131084 VIM131062:VIM131084 VSI131062:VSI131084 WCE131062:WCE131084 WMA131062:WMA131084 WVW131062:WVW131084 O196598:O196620 JK196598:JK196620 TG196598:TG196620 ADC196598:ADC196620 AMY196598:AMY196620 AWU196598:AWU196620 BGQ196598:BGQ196620 BQM196598:BQM196620 CAI196598:CAI196620 CKE196598:CKE196620 CUA196598:CUA196620 DDW196598:DDW196620 DNS196598:DNS196620 DXO196598:DXO196620 EHK196598:EHK196620 ERG196598:ERG196620 FBC196598:FBC196620 FKY196598:FKY196620 FUU196598:FUU196620 GEQ196598:GEQ196620 GOM196598:GOM196620 GYI196598:GYI196620 HIE196598:HIE196620 HSA196598:HSA196620 IBW196598:IBW196620 ILS196598:ILS196620 IVO196598:IVO196620 JFK196598:JFK196620 JPG196598:JPG196620 JZC196598:JZC196620 KIY196598:KIY196620 KSU196598:KSU196620 LCQ196598:LCQ196620 LMM196598:LMM196620 LWI196598:LWI196620 MGE196598:MGE196620 MQA196598:MQA196620 MZW196598:MZW196620 NJS196598:NJS196620 NTO196598:NTO196620 ODK196598:ODK196620 ONG196598:ONG196620 OXC196598:OXC196620 PGY196598:PGY196620 PQU196598:PQU196620 QAQ196598:QAQ196620 QKM196598:QKM196620 QUI196598:QUI196620 REE196598:REE196620 ROA196598:ROA196620 RXW196598:RXW196620 SHS196598:SHS196620 SRO196598:SRO196620 TBK196598:TBK196620 TLG196598:TLG196620 TVC196598:TVC196620 UEY196598:UEY196620 UOU196598:UOU196620 UYQ196598:UYQ196620 VIM196598:VIM196620 VSI196598:VSI196620 WCE196598:WCE196620 WMA196598:WMA196620 WVW196598:WVW196620 O262134:O262156 JK262134:JK262156 TG262134:TG262156 ADC262134:ADC262156 AMY262134:AMY262156 AWU262134:AWU262156 BGQ262134:BGQ262156 BQM262134:BQM262156 CAI262134:CAI262156 CKE262134:CKE262156 CUA262134:CUA262156 DDW262134:DDW262156 DNS262134:DNS262156 DXO262134:DXO262156 EHK262134:EHK262156 ERG262134:ERG262156 FBC262134:FBC262156 FKY262134:FKY262156 FUU262134:FUU262156 GEQ262134:GEQ262156 GOM262134:GOM262156 GYI262134:GYI262156 HIE262134:HIE262156 HSA262134:HSA262156 IBW262134:IBW262156 ILS262134:ILS262156 IVO262134:IVO262156 JFK262134:JFK262156 JPG262134:JPG262156 JZC262134:JZC262156 KIY262134:KIY262156 KSU262134:KSU262156 LCQ262134:LCQ262156 LMM262134:LMM262156 LWI262134:LWI262156 MGE262134:MGE262156 MQA262134:MQA262156 MZW262134:MZW262156 NJS262134:NJS262156 NTO262134:NTO262156 ODK262134:ODK262156 ONG262134:ONG262156 OXC262134:OXC262156 PGY262134:PGY262156 PQU262134:PQU262156 QAQ262134:QAQ262156 QKM262134:QKM262156 QUI262134:QUI262156 REE262134:REE262156 ROA262134:ROA262156 RXW262134:RXW262156 SHS262134:SHS262156 SRO262134:SRO262156 TBK262134:TBK262156 TLG262134:TLG262156 TVC262134:TVC262156 UEY262134:UEY262156 UOU262134:UOU262156 UYQ262134:UYQ262156 VIM262134:VIM262156 VSI262134:VSI262156 WCE262134:WCE262156 WMA262134:WMA262156 WVW262134:WVW262156 O327670:O327692 JK327670:JK327692 TG327670:TG327692 ADC327670:ADC327692 AMY327670:AMY327692 AWU327670:AWU327692 BGQ327670:BGQ327692 BQM327670:BQM327692 CAI327670:CAI327692 CKE327670:CKE327692 CUA327670:CUA327692 DDW327670:DDW327692 DNS327670:DNS327692 DXO327670:DXO327692 EHK327670:EHK327692 ERG327670:ERG327692 FBC327670:FBC327692 FKY327670:FKY327692 FUU327670:FUU327692 GEQ327670:GEQ327692 GOM327670:GOM327692 GYI327670:GYI327692 HIE327670:HIE327692 HSA327670:HSA327692 IBW327670:IBW327692 ILS327670:ILS327692 IVO327670:IVO327692 JFK327670:JFK327692 JPG327670:JPG327692 JZC327670:JZC327692 KIY327670:KIY327692 KSU327670:KSU327692 LCQ327670:LCQ327692 LMM327670:LMM327692 LWI327670:LWI327692 MGE327670:MGE327692 MQA327670:MQA327692 MZW327670:MZW327692 NJS327670:NJS327692 NTO327670:NTO327692 ODK327670:ODK327692 ONG327670:ONG327692 OXC327670:OXC327692 PGY327670:PGY327692 PQU327670:PQU327692 QAQ327670:QAQ327692 QKM327670:QKM327692 QUI327670:QUI327692 REE327670:REE327692 ROA327670:ROA327692 RXW327670:RXW327692 SHS327670:SHS327692 SRO327670:SRO327692 TBK327670:TBK327692 TLG327670:TLG327692 TVC327670:TVC327692 UEY327670:UEY327692 UOU327670:UOU327692 UYQ327670:UYQ327692 VIM327670:VIM327692 VSI327670:VSI327692 WCE327670:WCE327692 WMA327670:WMA327692 WVW327670:WVW327692 O393206:O393228 JK393206:JK393228 TG393206:TG393228 ADC393206:ADC393228 AMY393206:AMY393228 AWU393206:AWU393228 BGQ393206:BGQ393228 BQM393206:BQM393228 CAI393206:CAI393228 CKE393206:CKE393228 CUA393206:CUA393228 DDW393206:DDW393228 DNS393206:DNS393228 DXO393206:DXO393228 EHK393206:EHK393228 ERG393206:ERG393228 FBC393206:FBC393228 FKY393206:FKY393228 FUU393206:FUU393228 GEQ393206:GEQ393228 GOM393206:GOM393228 GYI393206:GYI393228 HIE393206:HIE393228 HSA393206:HSA393228 IBW393206:IBW393228 ILS393206:ILS393228 IVO393206:IVO393228 JFK393206:JFK393228 JPG393206:JPG393228 JZC393206:JZC393228 KIY393206:KIY393228 KSU393206:KSU393228 LCQ393206:LCQ393228 LMM393206:LMM393228 LWI393206:LWI393228 MGE393206:MGE393228 MQA393206:MQA393228 MZW393206:MZW393228 NJS393206:NJS393228 NTO393206:NTO393228 ODK393206:ODK393228 ONG393206:ONG393228 OXC393206:OXC393228 PGY393206:PGY393228 PQU393206:PQU393228 QAQ393206:QAQ393228 QKM393206:QKM393228 QUI393206:QUI393228 REE393206:REE393228 ROA393206:ROA393228 RXW393206:RXW393228 SHS393206:SHS393228 SRO393206:SRO393228 TBK393206:TBK393228 TLG393206:TLG393228 TVC393206:TVC393228 UEY393206:UEY393228 UOU393206:UOU393228 UYQ393206:UYQ393228 VIM393206:VIM393228 VSI393206:VSI393228 WCE393206:WCE393228 WMA393206:WMA393228 WVW393206:WVW393228 O458742:O458764 JK458742:JK458764 TG458742:TG458764 ADC458742:ADC458764 AMY458742:AMY458764 AWU458742:AWU458764 BGQ458742:BGQ458764 BQM458742:BQM458764 CAI458742:CAI458764 CKE458742:CKE458764 CUA458742:CUA458764 DDW458742:DDW458764 DNS458742:DNS458764 DXO458742:DXO458764 EHK458742:EHK458764 ERG458742:ERG458764 FBC458742:FBC458764 FKY458742:FKY458764 FUU458742:FUU458764 GEQ458742:GEQ458764 GOM458742:GOM458764 GYI458742:GYI458764 HIE458742:HIE458764 HSA458742:HSA458764 IBW458742:IBW458764 ILS458742:ILS458764 IVO458742:IVO458764 JFK458742:JFK458764 JPG458742:JPG458764 JZC458742:JZC458764 KIY458742:KIY458764 KSU458742:KSU458764 LCQ458742:LCQ458764 LMM458742:LMM458764 LWI458742:LWI458764 MGE458742:MGE458764 MQA458742:MQA458764 MZW458742:MZW458764 NJS458742:NJS458764 NTO458742:NTO458764 ODK458742:ODK458764 ONG458742:ONG458764 OXC458742:OXC458764 PGY458742:PGY458764 PQU458742:PQU458764 QAQ458742:QAQ458764 QKM458742:QKM458764 QUI458742:QUI458764 REE458742:REE458764 ROA458742:ROA458764 RXW458742:RXW458764 SHS458742:SHS458764 SRO458742:SRO458764 TBK458742:TBK458764 TLG458742:TLG458764 TVC458742:TVC458764 UEY458742:UEY458764 UOU458742:UOU458764 UYQ458742:UYQ458764 VIM458742:VIM458764 VSI458742:VSI458764 WCE458742:WCE458764 WMA458742:WMA458764 WVW458742:WVW458764 O524278:O524300 JK524278:JK524300 TG524278:TG524300 ADC524278:ADC524300 AMY524278:AMY524300 AWU524278:AWU524300 BGQ524278:BGQ524300 BQM524278:BQM524300 CAI524278:CAI524300 CKE524278:CKE524300 CUA524278:CUA524300 DDW524278:DDW524300 DNS524278:DNS524300 DXO524278:DXO524300 EHK524278:EHK524300 ERG524278:ERG524300 FBC524278:FBC524300 FKY524278:FKY524300 FUU524278:FUU524300 GEQ524278:GEQ524300 GOM524278:GOM524300 GYI524278:GYI524300 HIE524278:HIE524300 HSA524278:HSA524300 IBW524278:IBW524300 ILS524278:ILS524300 IVO524278:IVO524300 JFK524278:JFK524300 JPG524278:JPG524300 JZC524278:JZC524300 KIY524278:KIY524300 KSU524278:KSU524300 LCQ524278:LCQ524300 LMM524278:LMM524300 LWI524278:LWI524300 MGE524278:MGE524300 MQA524278:MQA524300 MZW524278:MZW524300 NJS524278:NJS524300 NTO524278:NTO524300 ODK524278:ODK524300 ONG524278:ONG524300 OXC524278:OXC524300 PGY524278:PGY524300 PQU524278:PQU524300 QAQ524278:QAQ524300 QKM524278:QKM524300 QUI524278:QUI524300 REE524278:REE524300 ROA524278:ROA524300 RXW524278:RXW524300 SHS524278:SHS524300 SRO524278:SRO524300 TBK524278:TBK524300 TLG524278:TLG524300 TVC524278:TVC524300 UEY524278:UEY524300 UOU524278:UOU524300 UYQ524278:UYQ524300 VIM524278:VIM524300 VSI524278:VSI524300 WCE524278:WCE524300 WMA524278:WMA524300 WVW524278:WVW524300 O589814:O589836 JK589814:JK589836 TG589814:TG589836 ADC589814:ADC589836 AMY589814:AMY589836 AWU589814:AWU589836 BGQ589814:BGQ589836 BQM589814:BQM589836 CAI589814:CAI589836 CKE589814:CKE589836 CUA589814:CUA589836 DDW589814:DDW589836 DNS589814:DNS589836 DXO589814:DXO589836 EHK589814:EHK589836 ERG589814:ERG589836 FBC589814:FBC589836 FKY589814:FKY589836 FUU589814:FUU589836 GEQ589814:GEQ589836 GOM589814:GOM589836 GYI589814:GYI589836 HIE589814:HIE589836 HSA589814:HSA589836 IBW589814:IBW589836 ILS589814:ILS589836 IVO589814:IVO589836 JFK589814:JFK589836 JPG589814:JPG589836 JZC589814:JZC589836 KIY589814:KIY589836 KSU589814:KSU589836 LCQ589814:LCQ589836 LMM589814:LMM589836 LWI589814:LWI589836 MGE589814:MGE589836 MQA589814:MQA589836 MZW589814:MZW589836 NJS589814:NJS589836 NTO589814:NTO589836 ODK589814:ODK589836 ONG589814:ONG589836 OXC589814:OXC589836 PGY589814:PGY589836 PQU589814:PQU589836 QAQ589814:QAQ589836 QKM589814:QKM589836 QUI589814:QUI589836 REE589814:REE589836 ROA589814:ROA589836 RXW589814:RXW589836 SHS589814:SHS589836 SRO589814:SRO589836 TBK589814:TBK589836 TLG589814:TLG589836 TVC589814:TVC589836 UEY589814:UEY589836 UOU589814:UOU589836 UYQ589814:UYQ589836 VIM589814:VIM589836 VSI589814:VSI589836 WCE589814:WCE589836 WMA589814:WMA589836 WVW589814:WVW589836 O655350:O655372 JK655350:JK655372 TG655350:TG655372 ADC655350:ADC655372 AMY655350:AMY655372 AWU655350:AWU655372 BGQ655350:BGQ655372 BQM655350:BQM655372 CAI655350:CAI655372 CKE655350:CKE655372 CUA655350:CUA655372 DDW655350:DDW655372 DNS655350:DNS655372 DXO655350:DXO655372 EHK655350:EHK655372 ERG655350:ERG655372 FBC655350:FBC655372 FKY655350:FKY655372 FUU655350:FUU655372 GEQ655350:GEQ655372 GOM655350:GOM655372 GYI655350:GYI655372 HIE655350:HIE655372 HSA655350:HSA655372 IBW655350:IBW655372 ILS655350:ILS655372 IVO655350:IVO655372 JFK655350:JFK655372 JPG655350:JPG655372 JZC655350:JZC655372 KIY655350:KIY655372 KSU655350:KSU655372 LCQ655350:LCQ655372 LMM655350:LMM655372 LWI655350:LWI655372 MGE655350:MGE655372 MQA655350:MQA655372 MZW655350:MZW655372 NJS655350:NJS655372 NTO655350:NTO655372 ODK655350:ODK655372 ONG655350:ONG655372 OXC655350:OXC655372 PGY655350:PGY655372 PQU655350:PQU655372 QAQ655350:QAQ655372 QKM655350:QKM655372 QUI655350:QUI655372 REE655350:REE655372 ROA655350:ROA655372 RXW655350:RXW655372 SHS655350:SHS655372 SRO655350:SRO655372 TBK655350:TBK655372 TLG655350:TLG655372 TVC655350:TVC655372 UEY655350:UEY655372 UOU655350:UOU655372 UYQ655350:UYQ655372 VIM655350:VIM655372 VSI655350:VSI655372 WCE655350:WCE655372 WMA655350:WMA655372 WVW655350:WVW655372 O720886:O720908 JK720886:JK720908 TG720886:TG720908 ADC720886:ADC720908 AMY720886:AMY720908 AWU720886:AWU720908 BGQ720886:BGQ720908 BQM720886:BQM720908 CAI720886:CAI720908 CKE720886:CKE720908 CUA720886:CUA720908 DDW720886:DDW720908 DNS720886:DNS720908 DXO720886:DXO720908 EHK720886:EHK720908 ERG720886:ERG720908 FBC720886:FBC720908 FKY720886:FKY720908 FUU720886:FUU720908 GEQ720886:GEQ720908 GOM720886:GOM720908 GYI720886:GYI720908 HIE720886:HIE720908 HSA720886:HSA720908 IBW720886:IBW720908 ILS720886:ILS720908 IVO720886:IVO720908 JFK720886:JFK720908 JPG720886:JPG720908 JZC720886:JZC720908 KIY720886:KIY720908 KSU720886:KSU720908 LCQ720886:LCQ720908 LMM720886:LMM720908 LWI720886:LWI720908 MGE720886:MGE720908 MQA720886:MQA720908 MZW720886:MZW720908 NJS720886:NJS720908 NTO720886:NTO720908 ODK720886:ODK720908 ONG720886:ONG720908 OXC720886:OXC720908 PGY720886:PGY720908 PQU720886:PQU720908 QAQ720886:QAQ720908 QKM720886:QKM720908 QUI720886:QUI720908 REE720886:REE720908 ROA720886:ROA720908 RXW720886:RXW720908 SHS720886:SHS720908 SRO720886:SRO720908 TBK720886:TBK720908 TLG720886:TLG720908 TVC720886:TVC720908 UEY720886:UEY720908 UOU720886:UOU720908 UYQ720886:UYQ720908 VIM720886:VIM720908 VSI720886:VSI720908 WCE720886:WCE720908 WMA720886:WMA720908 WVW720886:WVW720908 O786422:O786444 JK786422:JK786444 TG786422:TG786444 ADC786422:ADC786444 AMY786422:AMY786444 AWU786422:AWU786444 BGQ786422:BGQ786444 BQM786422:BQM786444 CAI786422:CAI786444 CKE786422:CKE786444 CUA786422:CUA786444 DDW786422:DDW786444 DNS786422:DNS786444 DXO786422:DXO786444 EHK786422:EHK786444 ERG786422:ERG786444 FBC786422:FBC786444 FKY786422:FKY786444 FUU786422:FUU786444 GEQ786422:GEQ786444 GOM786422:GOM786444 GYI786422:GYI786444 HIE786422:HIE786444 HSA786422:HSA786444 IBW786422:IBW786444 ILS786422:ILS786444 IVO786422:IVO786444 JFK786422:JFK786444 JPG786422:JPG786444 JZC786422:JZC786444 KIY786422:KIY786444 KSU786422:KSU786444 LCQ786422:LCQ786444 LMM786422:LMM786444 LWI786422:LWI786444 MGE786422:MGE786444 MQA786422:MQA786444 MZW786422:MZW786444 NJS786422:NJS786444 NTO786422:NTO786444 ODK786422:ODK786444 ONG786422:ONG786444 OXC786422:OXC786444 PGY786422:PGY786444 PQU786422:PQU786444 QAQ786422:QAQ786444 QKM786422:QKM786444 QUI786422:QUI786444 REE786422:REE786444 ROA786422:ROA786444 RXW786422:RXW786444 SHS786422:SHS786444 SRO786422:SRO786444 TBK786422:TBK786444 TLG786422:TLG786444 TVC786422:TVC786444 UEY786422:UEY786444 UOU786422:UOU786444 UYQ786422:UYQ786444 VIM786422:VIM786444 VSI786422:VSI786444 WCE786422:WCE786444 WMA786422:WMA786444 WVW786422:WVW786444 O851958:O851980 JK851958:JK851980 TG851958:TG851980 ADC851958:ADC851980 AMY851958:AMY851980 AWU851958:AWU851980 BGQ851958:BGQ851980 BQM851958:BQM851980 CAI851958:CAI851980 CKE851958:CKE851980 CUA851958:CUA851980 DDW851958:DDW851980 DNS851958:DNS851980 DXO851958:DXO851980 EHK851958:EHK851980 ERG851958:ERG851980 FBC851958:FBC851980 FKY851958:FKY851980 FUU851958:FUU851980 GEQ851958:GEQ851980 GOM851958:GOM851980 GYI851958:GYI851980 HIE851958:HIE851980 HSA851958:HSA851980 IBW851958:IBW851980 ILS851958:ILS851980 IVO851958:IVO851980 JFK851958:JFK851980 JPG851958:JPG851980 JZC851958:JZC851980 KIY851958:KIY851980 KSU851958:KSU851980 LCQ851958:LCQ851980 LMM851958:LMM851980 LWI851958:LWI851980 MGE851958:MGE851980 MQA851958:MQA851980 MZW851958:MZW851980 NJS851958:NJS851980 NTO851958:NTO851980 ODK851958:ODK851980 ONG851958:ONG851980 OXC851958:OXC851980 PGY851958:PGY851980 PQU851958:PQU851980 QAQ851958:QAQ851980 QKM851958:QKM851980 QUI851958:QUI851980 REE851958:REE851980 ROA851958:ROA851980 RXW851958:RXW851980 SHS851958:SHS851980 SRO851958:SRO851980 TBK851958:TBK851980 TLG851958:TLG851980 TVC851958:TVC851980 UEY851958:UEY851980 UOU851958:UOU851980 UYQ851958:UYQ851980 VIM851958:VIM851980 VSI851958:VSI851980 WCE851958:WCE851980 WMA851958:WMA851980 WVW851958:WVW851980 O917494:O917516 JK917494:JK917516 TG917494:TG917516 ADC917494:ADC917516 AMY917494:AMY917516 AWU917494:AWU917516 BGQ917494:BGQ917516 BQM917494:BQM917516 CAI917494:CAI917516 CKE917494:CKE917516 CUA917494:CUA917516 DDW917494:DDW917516 DNS917494:DNS917516 DXO917494:DXO917516 EHK917494:EHK917516 ERG917494:ERG917516 FBC917494:FBC917516 FKY917494:FKY917516 FUU917494:FUU917516 GEQ917494:GEQ917516 GOM917494:GOM917516 GYI917494:GYI917516 HIE917494:HIE917516 HSA917494:HSA917516 IBW917494:IBW917516 ILS917494:ILS917516 IVO917494:IVO917516 JFK917494:JFK917516 JPG917494:JPG917516 JZC917494:JZC917516 KIY917494:KIY917516 KSU917494:KSU917516 LCQ917494:LCQ917516 LMM917494:LMM917516 LWI917494:LWI917516 MGE917494:MGE917516 MQA917494:MQA917516 MZW917494:MZW917516 NJS917494:NJS917516 NTO917494:NTO917516 ODK917494:ODK917516 ONG917494:ONG917516 OXC917494:OXC917516 PGY917494:PGY917516 PQU917494:PQU917516 QAQ917494:QAQ917516 QKM917494:QKM917516 QUI917494:QUI917516 REE917494:REE917516 ROA917494:ROA917516 RXW917494:RXW917516 SHS917494:SHS917516 SRO917494:SRO917516 TBK917494:TBK917516 TLG917494:TLG917516 TVC917494:TVC917516 UEY917494:UEY917516 UOU917494:UOU917516 UYQ917494:UYQ917516 VIM917494:VIM917516 VSI917494:VSI917516 WCE917494:WCE917516 WMA917494:WMA917516 WVW917494:WVW917516 O983030:O983052 JK983030:JK983052 TG983030:TG983052 ADC983030:ADC983052 AMY983030:AMY983052 AWU983030:AWU983052 BGQ983030:BGQ983052 BQM983030:BQM983052 CAI983030:CAI983052 CKE983030:CKE983052 CUA983030:CUA983052 DDW983030:DDW983052 DNS983030:DNS983052 DXO983030:DXO983052 EHK983030:EHK983052 ERG983030:ERG983052 FBC983030:FBC983052 FKY983030:FKY983052 FUU983030:FUU983052 GEQ983030:GEQ983052 GOM983030:GOM983052 GYI983030:GYI983052 HIE983030:HIE983052 HSA983030:HSA983052 IBW983030:IBW983052 ILS983030:ILS983052 IVO983030:IVO983052 JFK983030:JFK983052 JPG983030:JPG983052 JZC983030:JZC983052 KIY983030:KIY983052 KSU983030:KSU983052 LCQ983030:LCQ983052 LMM983030:LMM983052 LWI983030:LWI983052 MGE983030:MGE983052 MQA983030:MQA983052 MZW983030:MZW983052 NJS983030:NJS983052 NTO983030:NTO983052 ODK983030:ODK983052 ONG983030:ONG983052 OXC983030:OXC983052 PGY983030:PGY983052 PQU983030:PQU983052 QAQ983030:QAQ983052 QKM983030:QKM983052 QUI983030:QUI983052 REE983030:REE983052 ROA983030:ROA983052 RXW983030:RXW983052 SHS983030:SHS983052 SRO983030:SRO983052 TBK983030:TBK983052 TLG983030:TLG983052 TVC983030:TVC983052 UEY983030:UEY983052 UOU983030:UOU983052 UYQ983030:UYQ983052 VIM983030:VIM983052 VSI983030:VSI983052 WCE983030:WCE983052 WMA983030:WMA983052 WVW983030:WVW983052 J65526:L65548 JF65526:JH65548 TB65526:TD65548 ACX65526:ACZ65548 AMT65526:AMV65548 AWP65526:AWR65548 BGL65526:BGN65548 BQH65526:BQJ65548 CAD65526:CAF65548 CJZ65526:CKB65548 CTV65526:CTX65548 DDR65526:DDT65548 DNN65526:DNP65548 DXJ65526:DXL65548 EHF65526:EHH65548 ERB65526:ERD65548 FAX65526:FAZ65548 FKT65526:FKV65548 FUP65526:FUR65548 GEL65526:GEN65548 GOH65526:GOJ65548 GYD65526:GYF65548 HHZ65526:HIB65548 HRV65526:HRX65548 IBR65526:IBT65548 ILN65526:ILP65548 IVJ65526:IVL65548 JFF65526:JFH65548 JPB65526:JPD65548 JYX65526:JYZ65548 KIT65526:KIV65548 KSP65526:KSR65548 LCL65526:LCN65548 LMH65526:LMJ65548 LWD65526:LWF65548 MFZ65526:MGB65548 MPV65526:MPX65548 MZR65526:MZT65548 NJN65526:NJP65548 NTJ65526:NTL65548 ODF65526:ODH65548 ONB65526:OND65548 OWX65526:OWZ65548 PGT65526:PGV65548 PQP65526:PQR65548 QAL65526:QAN65548 QKH65526:QKJ65548 QUD65526:QUF65548 RDZ65526:REB65548 RNV65526:RNX65548 RXR65526:RXT65548 SHN65526:SHP65548 SRJ65526:SRL65548 TBF65526:TBH65548 TLB65526:TLD65548 TUX65526:TUZ65548 UET65526:UEV65548 UOP65526:UOR65548 UYL65526:UYN65548 VIH65526:VIJ65548 VSD65526:VSF65548 WBZ65526:WCB65548 WLV65526:WLX65548 WVR65526:WVT65548 J131062:L131084 JF131062:JH131084 TB131062:TD131084 ACX131062:ACZ131084 AMT131062:AMV131084 AWP131062:AWR131084 BGL131062:BGN131084 BQH131062:BQJ131084 CAD131062:CAF131084 CJZ131062:CKB131084 CTV131062:CTX131084 DDR131062:DDT131084 DNN131062:DNP131084 DXJ131062:DXL131084 EHF131062:EHH131084 ERB131062:ERD131084 FAX131062:FAZ131084 FKT131062:FKV131084 FUP131062:FUR131084 GEL131062:GEN131084 GOH131062:GOJ131084 GYD131062:GYF131084 HHZ131062:HIB131084 HRV131062:HRX131084 IBR131062:IBT131084 ILN131062:ILP131084 IVJ131062:IVL131084 JFF131062:JFH131084 JPB131062:JPD131084 JYX131062:JYZ131084 KIT131062:KIV131084 KSP131062:KSR131084 LCL131062:LCN131084 LMH131062:LMJ131084 LWD131062:LWF131084 MFZ131062:MGB131084 MPV131062:MPX131084 MZR131062:MZT131084 NJN131062:NJP131084 NTJ131062:NTL131084 ODF131062:ODH131084 ONB131062:OND131084 OWX131062:OWZ131084 PGT131062:PGV131084 PQP131062:PQR131084 QAL131062:QAN131084 QKH131062:QKJ131084 QUD131062:QUF131084 RDZ131062:REB131084 RNV131062:RNX131084 RXR131062:RXT131084 SHN131062:SHP131084 SRJ131062:SRL131084 TBF131062:TBH131084 TLB131062:TLD131084 TUX131062:TUZ131084 UET131062:UEV131084 UOP131062:UOR131084 UYL131062:UYN131084 VIH131062:VIJ131084 VSD131062:VSF131084 WBZ131062:WCB131084 WLV131062:WLX131084 WVR131062:WVT131084 J196598:L196620 JF196598:JH196620 TB196598:TD196620 ACX196598:ACZ196620 AMT196598:AMV196620 AWP196598:AWR196620 BGL196598:BGN196620 BQH196598:BQJ196620 CAD196598:CAF196620 CJZ196598:CKB196620 CTV196598:CTX196620 DDR196598:DDT196620 DNN196598:DNP196620 DXJ196598:DXL196620 EHF196598:EHH196620 ERB196598:ERD196620 FAX196598:FAZ196620 FKT196598:FKV196620 FUP196598:FUR196620 GEL196598:GEN196620 GOH196598:GOJ196620 GYD196598:GYF196620 HHZ196598:HIB196620 HRV196598:HRX196620 IBR196598:IBT196620 ILN196598:ILP196620 IVJ196598:IVL196620 JFF196598:JFH196620 JPB196598:JPD196620 JYX196598:JYZ196620 KIT196598:KIV196620 KSP196598:KSR196620 LCL196598:LCN196620 LMH196598:LMJ196620 LWD196598:LWF196620 MFZ196598:MGB196620 MPV196598:MPX196620 MZR196598:MZT196620 NJN196598:NJP196620 NTJ196598:NTL196620 ODF196598:ODH196620 ONB196598:OND196620 OWX196598:OWZ196620 PGT196598:PGV196620 PQP196598:PQR196620 QAL196598:QAN196620 QKH196598:QKJ196620 QUD196598:QUF196620 RDZ196598:REB196620 RNV196598:RNX196620 RXR196598:RXT196620 SHN196598:SHP196620 SRJ196598:SRL196620 TBF196598:TBH196620 TLB196598:TLD196620 TUX196598:TUZ196620 UET196598:UEV196620 UOP196598:UOR196620 UYL196598:UYN196620 VIH196598:VIJ196620 VSD196598:VSF196620 WBZ196598:WCB196620 WLV196598:WLX196620 WVR196598:WVT196620 J262134:L262156 JF262134:JH262156 TB262134:TD262156 ACX262134:ACZ262156 AMT262134:AMV262156 AWP262134:AWR262156 BGL262134:BGN262156 BQH262134:BQJ262156 CAD262134:CAF262156 CJZ262134:CKB262156 CTV262134:CTX262156 DDR262134:DDT262156 DNN262134:DNP262156 DXJ262134:DXL262156 EHF262134:EHH262156 ERB262134:ERD262156 FAX262134:FAZ262156 FKT262134:FKV262156 FUP262134:FUR262156 GEL262134:GEN262156 GOH262134:GOJ262156 GYD262134:GYF262156 HHZ262134:HIB262156 HRV262134:HRX262156 IBR262134:IBT262156 ILN262134:ILP262156 IVJ262134:IVL262156 JFF262134:JFH262156 JPB262134:JPD262156 JYX262134:JYZ262156 KIT262134:KIV262156 KSP262134:KSR262156 LCL262134:LCN262156 LMH262134:LMJ262156 LWD262134:LWF262156 MFZ262134:MGB262156 MPV262134:MPX262156 MZR262134:MZT262156 NJN262134:NJP262156 NTJ262134:NTL262156 ODF262134:ODH262156 ONB262134:OND262156 OWX262134:OWZ262156 PGT262134:PGV262156 PQP262134:PQR262156 QAL262134:QAN262156 QKH262134:QKJ262156 QUD262134:QUF262156 RDZ262134:REB262156 RNV262134:RNX262156 RXR262134:RXT262156 SHN262134:SHP262156 SRJ262134:SRL262156 TBF262134:TBH262156 TLB262134:TLD262156 TUX262134:TUZ262156 UET262134:UEV262156 UOP262134:UOR262156 UYL262134:UYN262156 VIH262134:VIJ262156 VSD262134:VSF262156 WBZ262134:WCB262156 WLV262134:WLX262156 WVR262134:WVT262156 J327670:L327692 JF327670:JH327692 TB327670:TD327692 ACX327670:ACZ327692 AMT327670:AMV327692 AWP327670:AWR327692 BGL327670:BGN327692 BQH327670:BQJ327692 CAD327670:CAF327692 CJZ327670:CKB327692 CTV327670:CTX327692 DDR327670:DDT327692 DNN327670:DNP327692 DXJ327670:DXL327692 EHF327670:EHH327692 ERB327670:ERD327692 FAX327670:FAZ327692 FKT327670:FKV327692 FUP327670:FUR327692 GEL327670:GEN327692 GOH327670:GOJ327692 GYD327670:GYF327692 HHZ327670:HIB327692 HRV327670:HRX327692 IBR327670:IBT327692 ILN327670:ILP327692 IVJ327670:IVL327692 JFF327670:JFH327692 JPB327670:JPD327692 JYX327670:JYZ327692 KIT327670:KIV327692 KSP327670:KSR327692 LCL327670:LCN327692 LMH327670:LMJ327692 LWD327670:LWF327692 MFZ327670:MGB327692 MPV327670:MPX327692 MZR327670:MZT327692 NJN327670:NJP327692 NTJ327670:NTL327692 ODF327670:ODH327692 ONB327670:OND327692 OWX327670:OWZ327692 PGT327670:PGV327692 PQP327670:PQR327692 QAL327670:QAN327692 QKH327670:QKJ327692 QUD327670:QUF327692 RDZ327670:REB327692 RNV327670:RNX327692 RXR327670:RXT327692 SHN327670:SHP327692 SRJ327670:SRL327692 TBF327670:TBH327692 TLB327670:TLD327692 TUX327670:TUZ327692 UET327670:UEV327692 UOP327670:UOR327692 UYL327670:UYN327692 VIH327670:VIJ327692 VSD327670:VSF327692 WBZ327670:WCB327692 WLV327670:WLX327692 WVR327670:WVT327692 J393206:L393228 JF393206:JH393228 TB393206:TD393228 ACX393206:ACZ393228 AMT393206:AMV393228 AWP393206:AWR393228 BGL393206:BGN393228 BQH393206:BQJ393228 CAD393206:CAF393228 CJZ393206:CKB393228 CTV393206:CTX393228 DDR393206:DDT393228 DNN393206:DNP393228 DXJ393206:DXL393228 EHF393206:EHH393228 ERB393206:ERD393228 FAX393206:FAZ393228 FKT393206:FKV393228 FUP393206:FUR393228 GEL393206:GEN393228 GOH393206:GOJ393228 GYD393206:GYF393228 HHZ393206:HIB393228 HRV393206:HRX393228 IBR393206:IBT393228 ILN393206:ILP393228 IVJ393206:IVL393228 JFF393206:JFH393228 JPB393206:JPD393228 JYX393206:JYZ393228 KIT393206:KIV393228 KSP393206:KSR393228 LCL393206:LCN393228 LMH393206:LMJ393228 LWD393206:LWF393228 MFZ393206:MGB393228 MPV393206:MPX393228 MZR393206:MZT393228 NJN393206:NJP393228 NTJ393206:NTL393228 ODF393206:ODH393228 ONB393206:OND393228 OWX393206:OWZ393228 PGT393206:PGV393228 PQP393206:PQR393228 QAL393206:QAN393228 QKH393206:QKJ393228 QUD393206:QUF393228 RDZ393206:REB393228 RNV393206:RNX393228 RXR393206:RXT393228 SHN393206:SHP393228 SRJ393206:SRL393228 TBF393206:TBH393228 TLB393206:TLD393228 TUX393206:TUZ393228 UET393206:UEV393228 UOP393206:UOR393228 UYL393206:UYN393228 VIH393206:VIJ393228 VSD393206:VSF393228 WBZ393206:WCB393228 WLV393206:WLX393228 WVR393206:WVT393228 J458742:L458764 JF458742:JH458764 TB458742:TD458764 ACX458742:ACZ458764 AMT458742:AMV458764 AWP458742:AWR458764 BGL458742:BGN458764 BQH458742:BQJ458764 CAD458742:CAF458764 CJZ458742:CKB458764 CTV458742:CTX458764 DDR458742:DDT458764 DNN458742:DNP458764 DXJ458742:DXL458764 EHF458742:EHH458764 ERB458742:ERD458764 FAX458742:FAZ458764 FKT458742:FKV458764 FUP458742:FUR458764 GEL458742:GEN458764 GOH458742:GOJ458764 GYD458742:GYF458764 HHZ458742:HIB458764 HRV458742:HRX458764 IBR458742:IBT458764 ILN458742:ILP458764 IVJ458742:IVL458764 JFF458742:JFH458764 JPB458742:JPD458764 JYX458742:JYZ458764 KIT458742:KIV458764 KSP458742:KSR458764 LCL458742:LCN458764 LMH458742:LMJ458764 LWD458742:LWF458764 MFZ458742:MGB458764 MPV458742:MPX458764 MZR458742:MZT458764 NJN458742:NJP458764 NTJ458742:NTL458764 ODF458742:ODH458764 ONB458742:OND458764 OWX458742:OWZ458764 PGT458742:PGV458764 PQP458742:PQR458764 QAL458742:QAN458764 QKH458742:QKJ458764 QUD458742:QUF458764 RDZ458742:REB458764 RNV458742:RNX458764 RXR458742:RXT458764 SHN458742:SHP458764 SRJ458742:SRL458764 TBF458742:TBH458764 TLB458742:TLD458764 TUX458742:TUZ458764 UET458742:UEV458764 UOP458742:UOR458764 UYL458742:UYN458764 VIH458742:VIJ458764 VSD458742:VSF458764 WBZ458742:WCB458764 WLV458742:WLX458764 WVR458742:WVT458764 J524278:L524300 JF524278:JH524300 TB524278:TD524300 ACX524278:ACZ524300 AMT524278:AMV524300 AWP524278:AWR524300 BGL524278:BGN524300 BQH524278:BQJ524300 CAD524278:CAF524300 CJZ524278:CKB524300 CTV524278:CTX524300 DDR524278:DDT524300 DNN524278:DNP524300 DXJ524278:DXL524300 EHF524278:EHH524300 ERB524278:ERD524300 FAX524278:FAZ524300 FKT524278:FKV524300 FUP524278:FUR524300 GEL524278:GEN524300 GOH524278:GOJ524300 GYD524278:GYF524300 HHZ524278:HIB524300 HRV524278:HRX524300 IBR524278:IBT524300 ILN524278:ILP524300 IVJ524278:IVL524300 JFF524278:JFH524300 JPB524278:JPD524300 JYX524278:JYZ524300 KIT524278:KIV524300 KSP524278:KSR524300 LCL524278:LCN524300 LMH524278:LMJ524300 LWD524278:LWF524300 MFZ524278:MGB524300 MPV524278:MPX524300 MZR524278:MZT524300 NJN524278:NJP524300 NTJ524278:NTL524300 ODF524278:ODH524300 ONB524278:OND524300 OWX524278:OWZ524300 PGT524278:PGV524300 PQP524278:PQR524300 QAL524278:QAN524300 QKH524278:QKJ524300 QUD524278:QUF524300 RDZ524278:REB524300 RNV524278:RNX524300 RXR524278:RXT524300 SHN524278:SHP524300 SRJ524278:SRL524300 TBF524278:TBH524300 TLB524278:TLD524300 TUX524278:TUZ524300 UET524278:UEV524300 UOP524278:UOR524300 UYL524278:UYN524300 VIH524278:VIJ524300 VSD524278:VSF524300 WBZ524278:WCB524300 WLV524278:WLX524300 WVR524278:WVT524300 J589814:L589836 JF589814:JH589836 TB589814:TD589836 ACX589814:ACZ589836 AMT589814:AMV589836 AWP589814:AWR589836 BGL589814:BGN589836 BQH589814:BQJ589836 CAD589814:CAF589836 CJZ589814:CKB589836 CTV589814:CTX589836 DDR589814:DDT589836 DNN589814:DNP589836 DXJ589814:DXL589836 EHF589814:EHH589836 ERB589814:ERD589836 FAX589814:FAZ589836 FKT589814:FKV589836 FUP589814:FUR589836 GEL589814:GEN589836 GOH589814:GOJ589836 GYD589814:GYF589836 HHZ589814:HIB589836 HRV589814:HRX589836 IBR589814:IBT589836 ILN589814:ILP589836 IVJ589814:IVL589836 JFF589814:JFH589836 JPB589814:JPD589836 JYX589814:JYZ589836 KIT589814:KIV589836 KSP589814:KSR589836 LCL589814:LCN589836 LMH589814:LMJ589836 LWD589814:LWF589836 MFZ589814:MGB589836 MPV589814:MPX589836 MZR589814:MZT589836 NJN589814:NJP589836 NTJ589814:NTL589836 ODF589814:ODH589836 ONB589814:OND589836 OWX589814:OWZ589836 PGT589814:PGV589836 PQP589814:PQR589836 QAL589814:QAN589836 QKH589814:QKJ589836 QUD589814:QUF589836 RDZ589814:REB589836 RNV589814:RNX589836 RXR589814:RXT589836 SHN589814:SHP589836 SRJ589814:SRL589836 TBF589814:TBH589836 TLB589814:TLD589836 TUX589814:TUZ589836 UET589814:UEV589836 UOP589814:UOR589836 UYL589814:UYN589836 VIH589814:VIJ589836 VSD589814:VSF589836 WBZ589814:WCB589836 WLV589814:WLX589836 WVR589814:WVT589836 J655350:L655372 JF655350:JH655372 TB655350:TD655372 ACX655350:ACZ655372 AMT655350:AMV655372 AWP655350:AWR655372 BGL655350:BGN655372 BQH655350:BQJ655372 CAD655350:CAF655372 CJZ655350:CKB655372 CTV655350:CTX655372 DDR655350:DDT655372 DNN655350:DNP655372 DXJ655350:DXL655372 EHF655350:EHH655372 ERB655350:ERD655372 FAX655350:FAZ655372 FKT655350:FKV655372 FUP655350:FUR655372 GEL655350:GEN655372 GOH655350:GOJ655372 GYD655350:GYF655372 HHZ655350:HIB655372 HRV655350:HRX655372 IBR655350:IBT655372 ILN655350:ILP655372 IVJ655350:IVL655372 JFF655350:JFH655372 JPB655350:JPD655372 JYX655350:JYZ655372 KIT655350:KIV655372 KSP655350:KSR655372 LCL655350:LCN655372 LMH655350:LMJ655372 LWD655350:LWF655372 MFZ655350:MGB655372 MPV655350:MPX655372 MZR655350:MZT655372 NJN655350:NJP655372 NTJ655350:NTL655372 ODF655350:ODH655372 ONB655350:OND655372 OWX655350:OWZ655372 PGT655350:PGV655372 PQP655350:PQR655372 QAL655350:QAN655372 QKH655350:QKJ655372 QUD655350:QUF655372 RDZ655350:REB655372 RNV655350:RNX655372 RXR655350:RXT655372 SHN655350:SHP655372 SRJ655350:SRL655372 TBF655350:TBH655372 TLB655350:TLD655372 TUX655350:TUZ655372 UET655350:UEV655372 UOP655350:UOR655372 UYL655350:UYN655372 VIH655350:VIJ655372 VSD655350:VSF655372 WBZ655350:WCB655372 WLV655350:WLX655372 WVR655350:WVT655372 J720886:L720908 JF720886:JH720908 TB720886:TD720908 ACX720886:ACZ720908 AMT720886:AMV720908 AWP720886:AWR720908 BGL720886:BGN720908 BQH720886:BQJ720908 CAD720886:CAF720908 CJZ720886:CKB720908 CTV720886:CTX720908 DDR720886:DDT720908 DNN720886:DNP720908 DXJ720886:DXL720908 EHF720886:EHH720908 ERB720886:ERD720908 FAX720886:FAZ720908 FKT720886:FKV720908 FUP720886:FUR720908 GEL720886:GEN720908 GOH720886:GOJ720908 GYD720886:GYF720908 HHZ720886:HIB720908 HRV720886:HRX720908 IBR720886:IBT720908 ILN720886:ILP720908 IVJ720886:IVL720908 JFF720886:JFH720908 JPB720886:JPD720908 JYX720886:JYZ720908 KIT720886:KIV720908 KSP720886:KSR720908 LCL720886:LCN720908 LMH720886:LMJ720908 LWD720886:LWF720908 MFZ720886:MGB720908 MPV720886:MPX720908 MZR720886:MZT720908 NJN720886:NJP720908 NTJ720886:NTL720908 ODF720886:ODH720908 ONB720886:OND720908 OWX720886:OWZ720908 PGT720886:PGV720908 PQP720886:PQR720908 QAL720886:QAN720908 QKH720886:QKJ720908 QUD720886:QUF720908 RDZ720886:REB720908 RNV720886:RNX720908 RXR720886:RXT720908 SHN720886:SHP720908 SRJ720886:SRL720908 TBF720886:TBH720908 TLB720886:TLD720908 TUX720886:TUZ720908 UET720886:UEV720908 UOP720886:UOR720908 UYL720886:UYN720908 VIH720886:VIJ720908 VSD720886:VSF720908 WBZ720886:WCB720908 WLV720886:WLX720908 WVR720886:WVT720908 J786422:L786444 JF786422:JH786444 TB786422:TD786444 ACX786422:ACZ786444 AMT786422:AMV786444 AWP786422:AWR786444 BGL786422:BGN786444 BQH786422:BQJ786444 CAD786422:CAF786444 CJZ786422:CKB786444 CTV786422:CTX786444 DDR786422:DDT786444 DNN786422:DNP786444 DXJ786422:DXL786444 EHF786422:EHH786444 ERB786422:ERD786444 FAX786422:FAZ786444 FKT786422:FKV786444 FUP786422:FUR786444 GEL786422:GEN786444 GOH786422:GOJ786444 GYD786422:GYF786444 HHZ786422:HIB786444 HRV786422:HRX786444 IBR786422:IBT786444 ILN786422:ILP786444 IVJ786422:IVL786444 JFF786422:JFH786444 JPB786422:JPD786444 JYX786422:JYZ786444 KIT786422:KIV786444 KSP786422:KSR786444 LCL786422:LCN786444 LMH786422:LMJ786444 LWD786422:LWF786444 MFZ786422:MGB786444 MPV786422:MPX786444 MZR786422:MZT786444 NJN786422:NJP786444 NTJ786422:NTL786444 ODF786422:ODH786444 ONB786422:OND786444 OWX786422:OWZ786444 PGT786422:PGV786444 PQP786422:PQR786444 QAL786422:QAN786444 QKH786422:QKJ786444 QUD786422:QUF786444 RDZ786422:REB786444 RNV786422:RNX786444 RXR786422:RXT786444 SHN786422:SHP786444 SRJ786422:SRL786444 TBF786422:TBH786444 TLB786422:TLD786444 TUX786422:TUZ786444 UET786422:UEV786444 UOP786422:UOR786444 UYL786422:UYN786444 VIH786422:VIJ786444 VSD786422:VSF786444 WBZ786422:WCB786444 WLV786422:WLX786444 WVR786422:WVT786444 J851958:L851980 JF851958:JH851980 TB851958:TD851980 ACX851958:ACZ851980 AMT851958:AMV851980 AWP851958:AWR851980 BGL851958:BGN851980 BQH851958:BQJ851980 CAD851958:CAF851980 CJZ851958:CKB851980 CTV851958:CTX851980 DDR851958:DDT851980 DNN851958:DNP851980 DXJ851958:DXL851980 EHF851958:EHH851980 ERB851958:ERD851980 FAX851958:FAZ851980 FKT851958:FKV851980 FUP851958:FUR851980 GEL851958:GEN851980 GOH851958:GOJ851980 GYD851958:GYF851980 HHZ851958:HIB851980 HRV851958:HRX851980 IBR851958:IBT851980 ILN851958:ILP851980 IVJ851958:IVL851980 JFF851958:JFH851980 JPB851958:JPD851980 JYX851958:JYZ851980 KIT851958:KIV851980 KSP851958:KSR851980 LCL851958:LCN851980 LMH851958:LMJ851980 LWD851958:LWF851980 MFZ851958:MGB851980 MPV851958:MPX851980 MZR851958:MZT851980 NJN851958:NJP851980 NTJ851958:NTL851980 ODF851958:ODH851980 ONB851958:OND851980 OWX851958:OWZ851980 PGT851958:PGV851980 PQP851958:PQR851980 QAL851958:QAN851980 QKH851958:QKJ851980 QUD851958:QUF851980 RDZ851958:REB851980 RNV851958:RNX851980 RXR851958:RXT851980 SHN851958:SHP851980 SRJ851958:SRL851980 TBF851958:TBH851980 TLB851958:TLD851980 TUX851958:TUZ851980 UET851958:UEV851980 UOP851958:UOR851980 UYL851958:UYN851980 VIH851958:VIJ851980 VSD851958:VSF851980 WBZ851958:WCB851980 WLV851958:WLX851980 WVR851958:WVT851980 J917494:L917516 JF917494:JH917516 TB917494:TD917516 ACX917494:ACZ917516 AMT917494:AMV917516 AWP917494:AWR917516 BGL917494:BGN917516 BQH917494:BQJ917516 CAD917494:CAF917516 CJZ917494:CKB917516 CTV917494:CTX917516 DDR917494:DDT917516 DNN917494:DNP917516 DXJ917494:DXL917516 EHF917494:EHH917516 ERB917494:ERD917516 FAX917494:FAZ917516 FKT917494:FKV917516 FUP917494:FUR917516 GEL917494:GEN917516 GOH917494:GOJ917516 GYD917494:GYF917516 HHZ917494:HIB917516 HRV917494:HRX917516 IBR917494:IBT917516 ILN917494:ILP917516 IVJ917494:IVL917516 JFF917494:JFH917516 JPB917494:JPD917516 JYX917494:JYZ917516 KIT917494:KIV917516 KSP917494:KSR917516 LCL917494:LCN917516 LMH917494:LMJ917516 LWD917494:LWF917516 MFZ917494:MGB917516 MPV917494:MPX917516 MZR917494:MZT917516 NJN917494:NJP917516 NTJ917494:NTL917516 ODF917494:ODH917516 ONB917494:OND917516 OWX917494:OWZ917516 PGT917494:PGV917516 PQP917494:PQR917516 QAL917494:QAN917516 QKH917494:QKJ917516 QUD917494:QUF917516 RDZ917494:REB917516 RNV917494:RNX917516 RXR917494:RXT917516 SHN917494:SHP917516 SRJ917494:SRL917516 TBF917494:TBH917516 TLB917494:TLD917516 TUX917494:TUZ917516 UET917494:UEV917516 UOP917494:UOR917516 UYL917494:UYN917516 VIH917494:VIJ917516 VSD917494:VSF917516 WBZ917494:WCB917516 WLV917494:WLX917516 WVR917494:WVT917516 J983030:L983052 JF983030:JH983052 TB983030:TD983052 ACX983030:ACZ983052 AMT983030:AMV983052 AWP983030:AWR983052 BGL983030:BGN983052 BQH983030:BQJ983052 CAD983030:CAF983052 CJZ983030:CKB983052 CTV983030:CTX983052 DDR983030:DDT983052 DNN983030:DNP983052 DXJ983030:DXL983052 EHF983030:EHH983052 ERB983030:ERD983052 FAX983030:FAZ983052 FKT983030:FKV983052 FUP983030:FUR983052 GEL983030:GEN983052 GOH983030:GOJ983052 GYD983030:GYF983052 HHZ983030:HIB983052 HRV983030:HRX983052 IBR983030:IBT983052 ILN983030:ILP983052 IVJ983030:IVL983052 JFF983030:JFH983052 JPB983030:JPD983052 JYX983030:JYZ983052 KIT983030:KIV983052 KSP983030:KSR983052 LCL983030:LCN983052 LMH983030:LMJ983052 LWD983030:LWF983052 MFZ983030:MGB983052 MPV983030:MPX983052 MZR983030:MZT983052 NJN983030:NJP983052 NTJ983030:NTL983052 ODF983030:ODH983052 ONB983030:OND983052 OWX983030:OWZ983052 PGT983030:PGV983052 PQP983030:PQR983052 QAL983030:QAN983052 QKH983030:QKJ983052 QUD983030:QUF983052 RDZ983030:REB983052 RNV983030:RNX983052 RXR983030:RXT983052 SHN983030:SHP983052 SRJ983030:SRL983052 TBF983030:TBH983052 TLB983030:TLD983052 TUX983030:TUZ983052 UET983030:UEV983052 UOP983030:UOR983052 UYL983030:UYN983052 VIH983030:VIJ983052 VSD983030:VSF983052 WBZ983030:WCB983052 WLV983030:WLX983052 WVR983030:WVT983052 G53:H76 D20:D43 D53:D76 G20:H43" xr:uid="{B087FE4F-03DB-4B2D-BABD-0465B8AFA694}">
      <formula1>0</formula1>
    </dataValidation>
    <dataValidation type="decimal" operator="greaterThanOrEqual" allowBlank="1" showInputMessage="1" showErrorMessage="1" errorTitle="Negatieve waarde" error="Gelieve positieve waarde in te geven" sqref="JD65526:JE65548 SZ65526:TA65548 ACV65526:ACW65548 AMR65526:AMS65548 AWN65526:AWO65548 BGJ65526:BGK65548 BQF65526:BQG65548 CAB65526:CAC65548 CJX65526:CJY65548 CTT65526:CTU65548 DDP65526:DDQ65548 DNL65526:DNM65548 DXH65526:DXI65548 EHD65526:EHE65548 EQZ65526:ERA65548 FAV65526:FAW65548 FKR65526:FKS65548 FUN65526:FUO65548 GEJ65526:GEK65548 GOF65526:GOG65548 GYB65526:GYC65548 HHX65526:HHY65548 HRT65526:HRU65548 IBP65526:IBQ65548 ILL65526:ILM65548 IVH65526:IVI65548 JFD65526:JFE65548 JOZ65526:JPA65548 JYV65526:JYW65548 KIR65526:KIS65548 KSN65526:KSO65548 LCJ65526:LCK65548 LMF65526:LMG65548 LWB65526:LWC65548 MFX65526:MFY65548 MPT65526:MPU65548 MZP65526:MZQ65548 NJL65526:NJM65548 NTH65526:NTI65548 ODD65526:ODE65548 OMZ65526:ONA65548 OWV65526:OWW65548 PGR65526:PGS65548 PQN65526:PQO65548 QAJ65526:QAK65548 QKF65526:QKG65548 QUB65526:QUC65548 RDX65526:RDY65548 RNT65526:RNU65548 RXP65526:RXQ65548 SHL65526:SHM65548 SRH65526:SRI65548 TBD65526:TBE65548 TKZ65526:TLA65548 TUV65526:TUW65548 UER65526:UES65548 UON65526:UOO65548 UYJ65526:UYK65548 VIF65526:VIG65548 VSB65526:VSC65548 WBX65526:WBY65548 WLT65526:WLU65548 WVP65526:WVQ65548 JD131062:JE131084 SZ131062:TA131084 ACV131062:ACW131084 AMR131062:AMS131084 AWN131062:AWO131084 BGJ131062:BGK131084 BQF131062:BQG131084 CAB131062:CAC131084 CJX131062:CJY131084 CTT131062:CTU131084 DDP131062:DDQ131084 DNL131062:DNM131084 DXH131062:DXI131084 EHD131062:EHE131084 EQZ131062:ERA131084 FAV131062:FAW131084 FKR131062:FKS131084 FUN131062:FUO131084 GEJ131062:GEK131084 GOF131062:GOG131084 GYB131062:GYC131084 HHX131062:HHY131084 HRT131062:HRU131084 IBP131062:IBQ131084 ILL131062:ILM131084 IVH131062:IVI131084 JFD131062:JFE131084 JOZ131062:JPA131084 JYV131062:JYW131084 KIR131062:KIS131084 KSN131062:KSO131084 LCJ131062:LCK131084 LMF131062:LMG131084 LWB131062:LWC131084 MFX131062:MFY131084 MPT131062:MPU131084 MZP131062:MZQ131084 NJL131062:NJM131084 NTH131062:NTI131084 ODD131062:ODE131084 OMZ131062:ONA131084 OWV131062:OWW131084 PGR131062:PGS131084 PQN131062:PQO131084 QAJ131062:QAK131084 QKF131062:QKG131084 QUB131062:QUC131084 RDX131062:RDY131084 RNT131062:RNU131084 RXP131062:RXQ131084 SHL131062:SHM131084 SRH131062:SRI131084 TBD131062:TBE131084 TKZ131062:TLA131084 TUV131062:TUW131084 UER131062:UES131084 UON131062:UOO131084 UYJ131062:UYK131084 VIF131062:VIG131084 VSB131062:VSC131084 WBX131062:WBY131084 WLT131062:WLU131084 WVP131062:WVQ131084 JD196598:JE196620 SZ196598:TA196620 ACV196598:ACW196620 AMR196598:AMS196620 AWN196598:AWO196620 BGJ196598:BGK196620 BQF196598:BQG196620 CAB196598:CAC196620 CJX196598:CJY196620 CTT196598:CTU196620 DDP196598:DDQ196620 DNL196598:DNM196620 DXH196598:DXI196620 EHD196598:EHE196620 EQZ196598:ERA196620 FAV196598:FAW196620 FKR196598:FKS196620 FUN196598:FUO196620 GEJ196598:GEK196620 GOF196598:GOG196620 GYB196598:GYC196620 HHX196598:HHY196620 HRT196598:HRU196620 IBP196598:IBQ196620 ILL196598:ILM196620 IVH196598:IVI196620 JFD196598:JFE196620 JOZ196598:JPA196620 JYV196598:JYW196620 KIR196598:KIS196620 KSN196598:KSO196620 LCJ196598:LCK196620 LMF196598:LMG196620 LWB196598:LWC196620 MFX196598:MFY196620 MPT196598:MPU196620 MZP196598:MZQ196620 NJL196598:NJM196620 NTH196598:NTI196620 ODD196598:ODE196620 OMZ196598:ONA196620 OWV196598:OWW196620 PGR196598:PGS196620 PQN196598:PQO196620 QAJ196598:QAK196620 QKF196598:QKG196620 QUB196598:QUC196620 RDX196598:RDY196620 RNT196598:RNU196620 RXP196598:RXQ196620 SHL196598:SHM196620 SRH196598:SRI196620 TBD196598:TBE196620 TKZ196598:TLA196620 TUV196598:TUW196620 UER196598:UES196620 UON196598:UOO196620 UYJ196598:UYK196620 VIF196598:VIG196620 VSB196598:VSC196620 WBX196598:WBY196620 WLT196598:WLU196620 WVP196598:WVQ196620 JD262134:JE262156 SZ262134:TA262156 ACV262134:ACW262156 AMR262134:AMS262156 AWN262134:AWO262156 BGJ262134:BGK262156 BQF262134:BQG262156 CAB262134:CAC262156 CJX262134:CJY262156 CTT262134:CTU262156 DDP262134:DDQ262156 DNL262134:DNM262156 DXH262134:DXI262156 EHD262134:EHE262156 EQZ262134:ERA262156 FAV262134:FAW262156 FKR262134:FKS262156 FUN262134:FUO262156 GEJ262134:GEK262156 GOF262134:GOG262156 GYB262134:GYC262156 HHX262134:HHY262156 HRT262134:HRU262156 IBP262134:IBQ262156 ILL262134:ILM262156 IVH262134:IVI262156 JFD262134:JFE262156 JOZ262134:JPA262156 JYV262134:JYW262156 KIR262134:KIS262156 KSN262134:KSO262156 LCJ262134:LCK262156 LMF262134:LMG262156 LWB262134:LWC262156 MFX262134:MFY262156 MPT262134:MPU262156 MZP262134:MZQ262156 NJL262134:NJM262156 NTH262134:NTI262156 ODD262134:ODE262156 OMZ262134:ONA262156 OWV262134:OWW262156 PGR262134:PGS262156 PQN262134:PQO262156 QAJ262134:QAK262156 QKF262134:QKG262156 QUB262134:QUC262156 RDX262134:RDY262156 RNT262134:RNU262156 RXP262134:RXQ262156 SHL262134:SHM262156 SRH262134:SRI262156 TBD262134:TBE262156 TKZ262134:TLA262156 TUV262134:TUW262156 UER262134:UES262156 UON262134:UOO262156 UYJ262134:UYK262156 VIF262134:VIG262156 VSB262134:VSC262156 WBX262134:WBY262156 WLT262134:WLU262156 WVP262134:WVQ262156 JD327670:JE327692 SZ327670:TA327692 ACV327670:ACW327692 AMR327670:AMS327692 AWN327670:AWO327692 BGJ327670:BGK327692 BQF327670:BQG327692 CAB327670:CAC327692 CJX327670:CJY327692 CTT327670:CTU327692 DDP327670:DDQ327692 DNL327670:DNM327692 DXH327670:DXI327692 EHD327670:EHE327692 EQZ327670:ERA327692 FAV327670:FAW327692 FKR327670:FKS327692 FUN327670:FUO327692 GEJ327670:GEK327692 GOF327670:GOG327692 GYB327670:GYC327692 HHX327670:HHY327692 HRT327670:HRU327692 IBP327670:IBQ327692 ILL327670:ILM327692 IVH327670:IVI327692 JFD327670:JFE327692 JOZ327670:JPA327692 JYV327670:JYW327692 KIR327670:KIS327692 KSN327670:KSO327692 LCJ327670:LCK327692 LMF327670:LMG327692 LWB327670:LWC327692 MFX327670:MFY327692 MPT327670:MPU327692 MZP327670:MZQ327692 NJL327670:NJM327692 NTH327670:NTI327692 ODD327670:ODE327692 OMZ327670:ONA327692 OWV327670:OWW327692 PGR327670:PGS327692 PQN327670:PQO327692 QAJ327670:QAK327692 QKF327670:QKG327692 QUB327670:QUC327692 RDX327670:RDY327692 RNT327670:RNU327692 RXP327670:RXQ327692 SHL327670:SHM327692 SRH327670:SRI327692 TBD327670:TBE327692 TKZ327670:TLA327692 TUV327670:TUW327692 UER327670:UES327692 UON327670:UOO327692 UYJ327670:UYK327692 VIF327670:VIG327692 VSB327670:VSC327692 WBX327670:WBY327692 WLT327670:WLU327692 WVP327670:WVQ327692 JD393206:JE393228 SZ393206:TA393228 ACV393206:ACW393228 AMR393206:AMS393228 AWN393206:AWO393228 BGJ393206:BGK393228 BQF393206:BQG393228 CAB393206:CAC393228 CJX393206:CJY393228 CTT393206:CTU393228 DDP393206:DDQ393228 DNL393206:DNM393228 DXH393206:DXI393228 EHD393206:EHE393228 EQZ393206:ERA393228 FAV393206:FAW393228 FKR393206:FKS393228 FUN393206:FUO393228 GEJ393206:GEK393228 GOF393206:GOG393228 GYB393206:GYC393228 HHX393206:HHY393228 HRT393206:HRU393228 IBP393206:IBQ393228 ILL393206:ILM393228 IVH393206:IVI393228 JFD393206:JFE393228 JOZ393206:JPA393228 JYV393206:JYW393228 KIR393206:KIS393228 KSN393206:KSO393228 LCJ393206:LCK393228 LMF393206:LMG393228 LWB393206:LWC393228 MFX393206:MFY393228 MPT393206:MPU393228 MZP393206:MZQ393228 NJL393206:NJM393228 NTH393206:NTI393228 ODD393206:ODE393228 OMZ393206:ONA393228 OWV393206:OWW393228 PGR393206:PGS393228 PQN393206:PQO393228 QAJ393206:QAK393228 QKF393206:QKG393228 QUB393206:QUC393228 RDX393206:RDY393228 RNT393206:RNU393228 RXP393206:RXQ393228 SHL393206:SHM393228 SRH393206:SRI393228 TBD393206:TBE393228 TKZ393206:TLA393228 TUV393206:TUW393228 UER393206:UES393228 UON393206:UOO393228 UYJ393206:UYK393228 VIF393206:VIG393228 VSB393206:VSC393228 WBX393206:WBY393228 WLT393206:WLU393228 WVP393206:WVQ393228 JD458742:JE458764 SZ458742:TA458764 ACV458742:ACW458764 AMR458742:AMS458764 AWN458742:AWO458764 BGJ458742:BGK458764 BQF458742:BQG458764 CAB458742:CAC458764 CJX458742:CJY458764 CTT458742:CTU458764 DDP458742:DDQ458764 DNL458742:DNM458764 DXH458742:DXI458764 EHD458742:EHE458764 EQZ458742:ERA458764 FAV458742:FAW458764 FKR458742:FKS458764 FUN458742:FUO458764 GEJ458742:GEK458764 GOF458742:GOG458764 GYB458742:GYC458764 HHX458742:HHY458764 HRT458742:HRU458764 IBP458742:IBQ458764 ILL458742:ILM458764 IVH458742:IVI458764 JFD458742:JFE458764 JOZ458742:JPA458764 JYV458742:JYW458764 KIR458742:KIS458764 KSN458742:KSO458764 LCJ458742:LCK458764 LMF458742:LMG458764 LWB458742:LWC458764 MFX458742:MFY458764 MPT458742:MPU458764 MZP458742:MZQ458764 NJL458742:NJM458764 NTH458742:NTI458764 ODD458742:ODE458764 OMZ458742:ONA458764 OWV458742:OWW458764 PGR458742:PGS458764 PQN458742:PQO458764 QAJ458742:QAK458764 QKF458742:QKG458764 QUB458742:QUC458764 RDX458742:RDY458764 RNT458742:RNU458764 RXP458742:RXQ458764 SHL458742:SHM458764 SRH458742:SRI458764 TBD458742:TBE458764 TKZ458742:TLA458764 TUV458742:TUW458764 UER458742:UES458764 UON458742:UOO458764 UYJ458742:UYK458764 VIF458742:VIG458764 VSB458742:VSC458764 WBX458742:WBY458764 WLT458742:WLU458764 WVP458742:WVQ458764 JD524278:JE524300 SZ524278:TA524300 ACV524278:ACW524300 AMR524278:AMS524300 AWN524278:AWO524300 BGJ524278:BGK524300 BQF524278:BQG524300 CAB524278:CAC524300 CJX524278:CJY524300 CTT524278:CTU524300 DDP524278:DDQ524300 DNL524278:DNM524300 DXH524278:DXI524300 EHD524278:EHE524300 EQZ524278:ERA524300 FAV524278:FAW524300 FKR524278:FKS524300 FUN524278:FUO524300 GEJ524278:GEK524300 GOF524278:GOG524300 GYB524278:GYC524300 HHX524278:HHY524300 HRT524278:HRU524300 IBP524278:IBQ524300 ILL524278:ILM524300 IVH524278:IVI524300 JFD524278:JFE524300 JOZ524278:JPA524300 JYV524278:JYW524300 KIR524278:KIS524300 KSN524278:KSO524300 LCJ524278:LCK524300 LMF524278:LMG524300 LWB524278:LWC524300 MFX524278:MFY524300 MPT524278:MPU524300 MZP524278:MZQ524300 NJL524278:NJM524300 NTH524278:NTI524300 ODD524278:ODE524300 OMZ524278:ONA524300 OWV524278:OWW524300 PGR524278:PGS524300 PQN524278:PQO524300 QAJ524278:QAK524300 QKF524278:QKG524300 QUB524278:QUC524300 RDX524278:RDY524300 RNT524278:RNU524300 RXP524278:RXQ524300 SHL524278:SHM524300 SRH524278:SRI524300 TBD524278:TBE524300 TKZ524278:TLA524300 TUV524278:TUW524300 UER524278:UES524300 UON524278:UOO524300 UYJ524278:UYK524300 VIF524278:VIG524300 VSB524278:VSC524300 WBX524278:WBY524300 WLT524278:WLU524300 WVP524278:WVQ524300 JD589814:JE589836 SZ589814:TA589836 ACV589814:ACW589836 AMR589814:AMS589836 AWN589814:AWO589836 BGJ589814:BGK589836 BQF589814:BQG589836 CAB589814:CAC589836 CJX589814:CJY589836 CTT589814:CTU589836 DDP589814:DDQ589836 DNL589814:DNM589836 DXH589814:DXI589836 EHD589814:EHE589836 EQZ589814:ERA589836 FAV589814:FAW589836 FKR589814:FKS589836 FUN589814:FUO589836 GEJ589814:GEK589836 GOF589814:GOG589836 GYB589814:GYC589836 HHX589814:HHY589836 HRT589814:HRU589836 IBP589814:IBQ589836 ILL589814:ILM589836 IVH589814:IVI589836 JFD589814:JFE589836 JOZ589814:JPA589836 JYV589814:JYW589836 KIR589814:KIS589836 KSN589814:KSO589836 LCJ589814:LCK589836 LMF589814:LMG589836 LWB589814:LWC589836 MFX589814:MFY589836 MPT589814:MPU589836 MZP589814:MZQ589836 NJL589814:NJM589836 NTH589814:NTI589836 ODD589814:ODE589836 OMZ589814:ONA589836 OWV589814:OWW589836 PGR589814:PGS589836 PQN589814:PQO589836 QAJ589814:QAK589836 QKF589814:QKG589836 QUB589814:QUC589836 RDX589814:RDY589836 RNT589814:RNU589836 RXP589814:RXQ589836 SHL589814:SHM589836 SRH589814:SRI589836 TBD589814:TBE589836 TKZ589814:TLA589836 TUV589814:TUW589836 UER589814:UES589836 UON589814:UOO589836 UYJ589814:UYK589836 VIF589814:VIG589836 VSB589814:VSC589836 WBX589814:WBY589836 WLT589814:WLU589836 WVP589814:WVQ589836 JD655350:JE655372 SZ655350:TA655372 ACV655350:ACW655372 AMR655350:AMS655372 AWN655350:AWO655372 BGJ655350:BGK655372 BQF655350:BQG655372 CAB655350:CAC655372 CJX655350:CJY655372 CTT655350:CTU655372 DDP655350:DDQ655372 DNL655350:DNM655372 DXH655350:DXI655372 EHD655350:EHE655372 EQZ655350:ERA655372 FAV655350:FAW655372 FKR655350:FKS655372 FUN655350:FUO655372 GEJ655350:GEK655372 GOF655350:GOG655372 GYB655350:GYC655372 HHX655350:HHY655372 HRT655350:HRU655372 IBP655350:IBQ655372 ILL655350:ILM655372 IVH655350:IVI655372 JFD655350:JFE655372 JOZ655350:JPA655372 JYV655350:JYW655372 KIR655350:KIS655372 KSN655350:KSO655372 LCJ655350:LCK655372 LMF655350:LMG655372 LWB655350:LWC655372 MFX655350:MFY655372 MPT655350:MPU655372 MZP655350:MZQ655372 NJL655350:NJM655372 NTH655350:NTI655372 ODD655350:ODE655372 OMZ655350:ONA655372 OWV655350:OWW655372 PGR655350:PGS655372 PQN655350:PQO655372 QAJ655350:QAK655372 QKF655350:QKG655372 QUB655350:QUC655372 RDX655350:RDY655372 RNT655350:RNU655372 RXP655350:RXQ655372 SHL655350:SHM655372 SRH655350:SRI655372 TBD655350:TBE655372 TKZ655350:TLA655372 TUV655350:TUW655372 UER655350:UES655372 UON655350:UOO655372 UYJ655350:UYK655372 VIF655350:VIG655372 VSB655350:VSC655372 WBX655350:WBY655372 WLT655350:WLU655372 WVP655350:WVQ655372 JD720886:JE720908 SZ720886:TA720908 ACV720886:ACW720908 AMR720886:AMS720908 AWN720886:AWO720908 BGJ720886:BGK720908 BQF720886:BQG720908 CAB720886:CAC720908 CJX720886:CJY720908 CTT720886:CTU720908 DDP720886:DDQ720908 DNL720886:DNM720908 DXH720886:DXI720908 EHD720886:EHE720908 EQZ720886:ERA720908 FAV720886:FAW720908 FKR720886:FKS720908 FUN720886:FUO720908 GEJ720886:GEK720908 GOF720886:GOG720908 GYB720886:GYC720908 HHX720886:HHY720908 HRT720886:HRU720908 IBP720886:IBQ720908 ILL720886:ILM720908 IVH720886:IVI720908 JFD720886:JFE720908 JOZ720886:JPA720908 JYV720886:JYW720908 KIR720886:KIS720908 KSN720886:KSO720908 LCJ720886:LCK720908 LMF720886:LMG720908 LWB720886:LWC720908 MFX720886:MFY720908 MPT720886:MPU720908 MZP720886:MZQ720908 NJL720886:NJM720908 NTH720886:NTI720908 ODD720886:ODE720908 OMZ720886:ONA720908 OWV720886:OWW720908 PGR720886:PGS720908 PQN720886:PQO720908 QAJ720886:QAK720908 QKF720886:QKG720908 QUB720886:QUC720908 RDX720886:RDY720908 RNT720886:RNU720908 RXP720886:RXQ720908 SHL720886:SHM720908 SRH720886:SRI720908 TBD720886:TBE720908 TKZ720886:TLA720908 TUV720886:TUW720908 UER720886:UES720908 UON720886:UOO720908 UYJ720886:UYK720908 VIF720886:VIG720908 VSB720886:VSC720908 WBX720886:WBY720908 WLT720886:WLU720908 WVP720886:WVQ720908 JD786422:JE786444 SZ786422:TA786444 ACV786422:ACW786444 AMR786422:AMS786444 AWN786422:AWO786444 BGJ786422:BGK786444 BQF786422:BQG786444 CAB786422:CAC786444 CJX786422:CJY786444 CTT786422:CTU786444 DDP786422:DDQ786444 DNL786422:DNM786444 DXH786422:DXI786444 EHD786422:EHE786444 EQZ786422:ERA786444 FAV786422:FAW786444 FKR786422:FKS786444 FUN786422:FUO786444 GEJ786422:GEK786444 GOF786422:GOG786444 GYB786422:GYC786444 HHX786422:HHY786444 HRT786422:HRU786444 IBP786422:IBQ786444 ILL786422:ILM786444 IVH786422:IVI786444 JFD786422:JFE786444 JOZ786422:JPA786444 JYV786422:JYW786444 KIR786422:KIS786444 KSN786422:KSO786444 LCJ786422:LCK786444 LMF786422:LMG786444 LWB786422:LWC786444 MFX786422:MFY786444 MPT786422:MPU786444 MZP786422:MZQ786444 NJL786422:NJM786444 NTH786422:NTI786444 ODD786422:ODE786444 OMZ786422:ONA786444 OWV786422:OWW786444 PGR786422:PGS786444 PQN786422:PQO786444 QAJ786422:QAK786444 QKF786422:QKG786444 QUB786422:QUC786444 RDX786422:RDY786444 RNT786422:RNU786444 RXP786422:RXQ786444 SHL786422:SHM786444 SRH786422:SRI786444 TBD786422:TBE786444 TKZ786422:TLA786444 TUV786422:TUW786444 UER786422:UES786444 UON786422:UOO786444 UYJ786422:UYK786444 VIF786422:VIG786444 VSB786422:VSC786444 WBX786422:WBY786444 WLT786422:WLU786444 WVP786422:WVQ786444 JD851958:JE851980 SZ851958:TA851980 ACV851958:ACW851980 AMR851958:AMS851980 AWN851958:AWO851980 BGJ851958:BGK851980 BQF851958:BQG851980 CAB851958:CAC851980 CJX851958:CJY851980 CTT851958:CTU851980 DDP851958:DDQ851980 DNL851958:DNM851980 DXH851958:DXI851980 EHD851958:EHE851980 EQZ851958:ERA851980 FAV851958:FAW851980 FKR851958:FKS851980 FUN851958:FUO851980 GEJ851958:GEK851980 GOF851958:GOG851980 GYB851958:GYC851980 HHX851958:HHY851980 HRT851958:HRU851980 IBP851958:IBQ851980 ILL851958:ILM851980 IVH851958:IVI851980 JFD851958:JFE851980 JOZ851958:JPA851980 JYV851958:JYW851980 KIR851958:KIS851980 KSN851958:KSO851980 LCJ851958:LCK851980 LMF851958:LMG851980 LWB851958:LWC851980 MFX851958:MFY851980 MPT851958:MPU851980 MZP851958:MZQ851980 NJL851958:NJM851980 NTH851958:NTI851980 ODD851958:ODE851980 OMZ851958:ONA851980 OWV851958:OWW851980 PGR851958:PGS851980 PQN851958:PQO851980 QAJ851958:QAK851980 QKF851958:QKG851980 QUB851958:QUC851980 RDX851958:RDY851980 RNT851958:RNU851980 RXP851958:RXQ851980 SHL851958:SHM851980 SRH851958:SRI851980 TBD851958:TBE851980 TKZ851958:TLA851980 TUV851958:TUW851980 UER851958:UES851980 UON851958:UOO851980 UYJ851958:UYK851980 VIF851958:VIG851980 VSB851958:VSC851980 WBX851958:WBY851980 WLT851958:WLU851980 WVP851958:WVQ851980 JD917494:JE917516 SZ917494:TA917516 ACV917494:ACW917516 AMR917494:AMS917516 AWN917494:AWO917516 BGJ917494:BGK917516 BQF917494:BQG917516 CAB917494:CAC917516 CJX917494:CJY917516 CTT917494:CTU917516 DDP917494:DDQ917516 DNL917494:DNM917516 DXH917494:DXI917516 EHD917494:EHE917516 EQZ917494:ERA917516 FAV917494:FAW917516 FKR917494:FKS917516 FUN917494:FUO917516 GEJ917494:GEK917516 GOF917494:GOG917516 GYB917494:GYC917516 HHX917494:HHY917516 HRT917494:HRU917516 IBP917494:IBQ917516 ILL917494:ILM917516 IVH917494:IVI917516 JFD917494:JFE917516 JOZ917494:JPA917516 JYV917494:JYW917516 KIR917494:KIS917516 KSN917494:KSO917516 LCJ917494:LCK917516 LMF917494:LMG917516 LWB917494:LWC917516 MFX917494:MFY917516 MPT917494:MPU917516 MZP917494:MZQ917516 NJL917494:NJM917516 NTH917494:NTI917516 ODD917494:ODE917516 OMZ917494:ONA917516 OWV917494:OWW917516 PGR917494:PGS917516 PQN917494:PQO917516 QAJ917494:QAK917516 QKF917494:QKG917516 QUB917494:QUC917516 RDX917494:RDY917516 RNT917494:RNU917516 RXP917494:RXQ917516 SHL917494:SHM917516 SRH917494:SRI917516 TBD917494:TBE917516 TKZ917494:TLA917516 TUV917494:TUW917516 UER917494:UES917516 UON917494:UOO917516 UYJ917494:UYK917516 VIF917494:VIG917516 VSB917494:VSC917516 WBX917494:WBY917516 WLT917494:WLU917516 WVP917494:WVQ917516 WVU983030:WVU983052 JD983030:JE983052 SZ983030:TA983052 ACV983030:ACW983052 AMR983030:AMS983052 AWN983030:AWO983052 BGJ983030:BGK983052 BQF983030:BQG983052 CAB983030:CAC983052 CJX983030:CJY983052 CTT983030:CTU983052 DDP983030:DDQ983052 DNL983030:DNM983052 DXH983030:DXI983052 EHD983030:EHE983052 EQZ983030:ERA983052 FAV983030:FAW983052 FKR983030:FKS983052 FUN983030:FUO983052 GEJ983030:GEK983052 GOF983030:GOG983052 GYB983030:GYC983052 HHX983030:HHY983052 HRT983030:HRU983052 IBP983030:IBQ983052 ILL983030:ILM983052 IVH983030:IVI983052 JFD983030:JFE983052 JOZ983030:JPA983052 JYV983030:JYW983052 KIR983030:KIS983052 KSN983030:KSO983052 LCJ983030:LCK983052 LMF983030:LMG983052 LWB983030:LWC983052 MFX983030:MFY983052 MPT983030:MPU983052 MZP983030:MZQ983052 NJL983030:NJM983052 NTH983030:NTI983052 ODD983030:ODE983052 OMZ983030:ONA983052 OWV983030:OWW983052 PGR983030:PGS983052 PQN983030:PQO983052 QAJ983030:QAK983052 QKF983030:QKG983052 QUB983030:QUC983052 RDX983030:RDY983052 RNT983030:RNU983052 RXP983030:RXQ983052 SHL983030:SHM983052 SRH983030:SRI983052 TBD983030:TBE983052 TKZ983030:TLA983052 TUV983030:TUW983052 UER983030:UES983052 UON983030:UOO983052 UYJ983030:UYK983052 VIF983030:VIG983052 VSB983030:VSC983052 WBX983030:WBY983052 WLT983030:WLU983052 WVP983030:WVQ983052 C65526:C65548 JA65526:JA65548 SW65526:SW65548 ACS65526:ACS65548 AMO65526:AMO65548 AWK65526:AWK65548 BGG65526:BGG65548 BQC65526:BQC65548 BZY65526:BZY65548 CJU65526:CJU65548 CTQ65526:CTQ65548 DDM65526:DDM65548 DNI65526:DNI65548 DXE65526:DXE65548 EHA65526:EHA65548 EQW65526:EQW65548 FAS65526:FAS65548 FKO65526:FKO65548 FUK65526:FUK65548 GEG65526:GEG65548 GOC65526:GOC65548 GXY65526:GXY65548 HHU65526:HHU65548 HRQ65526:HRQ65548 IBM65526:IBM65548 ILI65526:ILI65548 IVE65526:IVE65548 JFA65526:JFA65548 JOW65526:JOW65548 JYS65526:JYS65548 KIO65526:KIO65548 KSK65526:KSK65548 LCG65526:LCG65548 LMC65526:LMC65548 LVY65526:LVY65548 MFU65526:MFU65548 MPQ65526:MPQ65548 MZM65526:MZM65548 NJI65526:NJI65548 NTE65526:NTE65548 ODA65526:ODA65548 OMW65526:OMW65548 OWS65526:OWS65548 PGO65526:PGO65548 PQK65526:PQK65548 QAG65526:QAG65548 QKC65526:QKC65548 QTY65526:QTY65548 RDU65526:RDU65548 RNQ65526:RNQ65548 RXM65526:RXM65548 SHI65526:SHI65548 SRE65526:SRE65548 TBA65526:TBA65548 TKW65526:TKW65548 TUS65526:TUS65548 UEO65526:UEO65548 UOK65526:UOK65548 UYG65526:UYG65548 VIC65526:VIC65548 VRY65526:VRY65548 WBU65526:WBU65548 WLQ65526:WLQ65548 WVM65526:WVM65548 C131062:C131084 JA131062:JA131084 SW131062:SW131084 ACS131062:ACS131084 AMO131062:AMO131084 AWK131062:AWK131084 BGG131062:BGG131084 BQC131062:BQC131084 BZY131062:BZY131084 CJU131062:CJU131084 CTQ131062:CTQ131084 DDM131062:DDM131084 DNI131062:DNI131084 DXE131062:DXE131084 EHA131062:EHA131084 EQW131062:EQW131084 FAS131062:FAS131084 FKO131062:FKO131084 FUK131062:FUK131084 GEG131062:GEG131084 GOC131062:GOC131084 GXY131062:GXY131084 HHU131062:HHU131084 HRQ131062:HRQ131084 IBM131062:IBM131084 ILI131062:ILI131084 IVE131062:IVE131084 JFA131062:JFA131084 JOW131062:JOW131084 JYS131062:JYS131084 KIO131062:KIO131084 KSK131062:KSK131084 LCG131062:LCG131084 LMC131062:LMC131084 LVY131062:LVY131084 MFU131062:MFU131084 MPQ131062:MPQ131084 MZM131062:MZM131084 NJI131062:NJI131084 NTE131062:NTE131084 ODA131062:ODA131084 OMW131062:OMW131084 OWS131062:OWS131084 PGO131062:PGO131084 PQK131062:PQK131084 QAG131062:QAG131084 QKC131062:QKC131084 QTY131062:QTY131084 RDU131062:RDU131084 RNQ131062:RNQ131084 RXM131062:RXM131084 SHI131062:SHI131084 SRE131062:SRE131084 TBA131062:TBA131084 TKW131062:TKW131084 TUS131062:TUS131084 UEO131062:UEO131084 UOK131062:UOK131084 UYG131062:UYG131084 VIC131062:VIC131084 VRY131062:VRY131084 WBU131062:WBU131084 WLQ131062:WLQ131084 WVM131062:WVM131084 C196598:C196620 JA196598:JA196620 SW196598:SW196620 ACS196598:ACS196620 AMO196598:AMO196620 AWK196598:AWK196620 BGG196598:BGG196620 BQC196598:BQC196620 BZY196598:BZY196620 CJU196598:CJU196620 CTQ196598:CTQ196620 DDM196598:DDM196620 DNI196598:DNI196620 DXE196598:DXE196620 EHA196598:EHA196620 EQW196598:EQW196620 FAS196598:FAS196620 FKO196598:FKO196620 FUK196598:FUK196620 GEG196598:GEG196620 GOC196598:GOC196620 GXY196598:GXY196620 HHU196598:HHU196620 HRQ196598:HRQ196620 IBM196598:IBM196620 ILI196598:ILI196620 IVE196598:IVE196620 JFA196598:JFA196620 JOW196598:JOW196620 JYS196598:JYS196620 KIO196598:KIO196620 KSK196598:KSK196620 LCG196598:LCG196620 LMC196598:LMC196620 LVY196598:LVY196620 MFU196598:MFU196620 MPQ196598:MPQ196620 MZM196598:MZM196620 NJI196598:NJI196620 NTE196598:NTE196620 ODA196598:ODA196620 OMW196598:OMW196620 OWS196598:OWS196620 PGO196598:PGO196620 PQK196598:PQK196620 QAG196598:QAG196620 QKC196598:QKC196620 QTY196598:QTY196620 RDU196598:RDU196620 RNQ196598:RNQ196620 RXM196598:RXM196620 SHI196598:SHI196620 SRE196598:SRE196620 TBA196598:TBA196620 TKW196598:TKW196620 TUS196598:TUS196620 UEO196598:UEO196620 UOK196598:UOK196620 UYG196598:UYG196620 VIC196598:VIC196620 VRY196598:VRY196620 WBU196598:WBU196620 WLQ196598:WLQ196620 WVM196598:WVM196620 C262134:C262156 JA262134:JA262156 SW262134:SW262156 ACS262134:ACS262156 AMO262134:AMO262156 AWK262134:AWK262156 BGG262134:BGG262156 BQC262134:BQC262156 BZY262134:BZY262156 CJU262134:CJU262156 CTQ262134:CTQ262156 DDM262134:DDM262156 DNI262134:DNI262156 DXE262134:DXE262156 EHA262134:EHA262156 EQW262134:EQW262156 FAS262134:FAS262156 FKO262134:FKO262156 FUK262134:FUK262156 GEG262134:GEG262156 GOC262134:GOC262156 GXY262134:GXY262156 HHU262134:HHU262156 HRQ262134:HRQ262156 IBM262134:IBM262156 ILI262134:ILI262156 IVE262134:IVE262156 JFA262134:JFA262156 JOW262134:JOW262156 JYS262134:JYS262156 KIO262134:KIO262156 KSK262134:KSK262156 LCG262134:LCG262156 LMC262134:LMC262156 LVY262134:LVY262156 MFU262134:MFU262156 MPQ262134:MPQ262156 MZM262134:MZM262156 NJI262134:NJI262156 NTE262134:NTE262156 ODA262134:ODA262156 OMW262134:OMW262156 OWS262134:OWS262156 PGO262134:PGO262156 PQK262134:PQK262156 QAG262134:QAG262156 QKC262134:QKC262156 QTY262134:QTY262156 RDU262134:RDU262156 RNQ262134:RNQ262156 RXM262134:RXM262156 SHI262134:SHI262156 SRE262134:SRE262156 TBA262134:TBA262156 TKW262134:TKW262156 TUS262134:TUS262156 UEO262134:UEO262156 UOK262134:UOK262156 UYG262134:UYG262156 VIC262134:VIC262156 VRY262134:VRY262156 WBU262134:WBU262156 WLQ262134:WLQ262156 WVM262134:WVM262156 C327670:C327692 JA327670:JA327692 SW327670:SW327692 ACS327670:ACS327692 AMO327670:AMO327692 AWK327670:AWK327692 BGG327670:BGG327692 BQC327670:BQC327692 BZY327670:BZY327692 CJU327670:CJU327692 CTQ327670:CTQ327692 DDM327670:DDM327692 DNI327670:DNI327692 DXE327670:DXE327692 EHA327670:EHA327692 EQW327670:EQW327692 FAS327670:FAS327692 FKO327670:FKO327692 FUK327670:FUK327692 GEG327670:GEG327692 GOC327670:GOC327692 GXY327670:GXY327692 HHU327670:HHU327692 HRQ327670:HRQ327692 IBM327670:IBM327692 ILI327670:ILI327692 IVE327670:IVE327692 JFA327670:JFA327692 JOW327670:JOW327692 JYS327670:JYS327692 KIO327670:KIO327692 KSK327670:KSK327692 LCG327670:LCG327692 LMC327670:LMC327692 LVY327670:LVY327692 MFU327670:MFU327692 MPQ327670:MPQ327692 MZM327670:MZM327692 NJI327670:NJI327692 NTE327670:NTE327692 ODA327670:ODA327692 OMW327670:OMW327692 OWS327670:OWS327692 PGO327670:PGO327692 PQK327670:PQK327692 QAG327670:QAG327692 QKC327670:QKC327692 QTY327670:QTY327692 RDU327670:RDU327692 RNQ327670:RNQ327692 RXM327670:RXM327692 SHI327670:SHI327692 SRE327670:SRE327692 TBA327670:TBA327692 TKW327670:TKW327692 TUS327670:TUS327692 UEO327670:UEO327692 UOK327670:UOK327692 UYG327670:UYG327692 VIC327670:VIC327692 VRY327670:VRY327692 WBU327670:WBU327692 WLQ327670:WLQ327692 WVM327670:WVM327692 C393206:C393228 JA393206:JA393228 SW393206:SW393228 ACS393206:ACS393228 AMO393206:AMO393228 AWK393206:AWK393228 BGG393206:BGG393228 BQC393206:BQC393228 BZY393206:BZY393228 CJU393206:CJU393228 CTQ393206:CTQ393228 DDM393206:DDM393228 DNI393206:DNI393228 DXE393206:DXE393228 EHA393206:EHA393228 EQW393206:EQW393228 FAS393206:FAS393228 FKO393206:FKO393228 FUK393206:FUK393228 GEG393206:GEG393228 GOC393206:GOC393228 GXY393206:GXY393228 HHU393206:HHU393228 HRQ393206:HRQ393228 IBM393206:IBM393228 ILI393206:ILI393228 IVE393206:IVE393228 JFA393206:JFA393228 JOW393206:JOW393228 JYS393206:JYS393228 KIO393206:KIO393228 KSK393206:KSK393228 LCG393206:LCG393228 LMC393206:LMC393228 LVY393206:LVY393228 MFU393206:MFU393228 MPQ393206:MPQ393228 MZM393206:MZM393228 NJI393206:NJI393228 NTE393206:NTE393228 ODA393206:ODA393228 OMW393206:OMW393228 OWS393206:OWS393228 PGO393206:PGO393228 PQK393206:PQK393228 QAG393206:QAG393228 QKC393206:QKC393228 QTY393206:QTY393228 RDU393206:RDU393228 RNQ393206:RNQ393228 RXM393206:RXM393228 SHI393206:SHI393228 SRE393206:SRE393228 TBA393206:TBA393228 TKW393206:TKW393228 TUS393206:TUS393228 UEO393206:UEO393228 UOK393206:UOK393228 UYG393206:UYG393228 VIC393206:VIC393228 VRY393206:VRY393228 WBU393206:WBU393228 WLQ393206:WLQ393228 WVM393206:WVM393228 C458742:C458764 JA458742:JA458764 SW458742:SW458764 ACS458742:ACS458764 AMO458742:AMO458764 AWK458742:AWK458764 BGG458742:BGG458764 BQC458742:BQC458764 BZY458742:BZY458764 CJU458742:CJU458764 CTQ458742:CTQ458764 DDM458742:DDM458764 DNI458742:DNI458764 DXE458742:DXE458764 EHA458742:EHA458764 EQW458742:EQW458764 FAS458742:FAS458764 FKO458742:FKO458764 FUK458742:FUK458764 GEG458742:GEG458764 GOC458742:GOC458764 GXY458742:GXY458764 HHU458742:HHU458764 HRQ458742:HRQ458764 IBM458742:IBM458764 ILI458742:ILI458764 IVE458742:IVE458764 JFA458742:JFA458764 JOW458742:JOW458764 JYS458742:JYS458764 KIO458742:KIO458764 KSK458742:KSK458764 LCG458742:LCG458764 LMC458742:LMC458764 LVY458742:LVY458764 MFU458742:MFU458764 MPQ458742:MPQ458764 MZM458742:MZM458764 NJI458742:NJI458764 NTE458742:NTE458764 ODA458742:ODA458764 OMW458742:OMW458764 OWS458742:OWS458764 PGO458742:PGO458764 PQK458742:PQK458764 QAG458742:QAG458764 QKC458742:QKC458764 QTY458742:QTY458764 RDU458742:RDU458764 RNQ458742:RNQ458764 RXM458742:RXM458764 SHI458742:SHI458764 SRE458742:SRE458764 TBA458742:TBA458764 TKW458742:TKW458764 TUS458742:TUS458764 UEO458742:UEO458764 UOK458742:UOK458764 UYG458742:UYG458764 VIC458742:VIC458764 VRY458742:VRY458764 WBU458742:WBU458764 WLQ458742:WLQ458764 WVM458742:WVM458764 C524278:C524300 JA524278:JA524300 SW524278:SW524300 ACS524278:ACS524300 AMO524278:AMO524300 AWK524278:AWK524300 BGG524278:BGG524300 BQC524278:BQC524300 BZY524278:BZY524300 CJU524278:CJU524300 CTQ524278:CTQ524300 DDM524278:DDM524300 DNI524278:DNI524300 DXE524278:DXE524300 EHA524278:EHA524300 EQW524278:EQW524300 FAS524278:FAS524300 FKO524278:FKO524300 FUK524278:FUK524300 GEG524278:GEG524300 GOC524278:GOC524300 GXY524278:GXY524300 HHU524278:HHU524300 HRQ524278:HRQ524300 IBM524278:IBM524300 ILI524278:ILI524300 IVE524278:IVE524300 JFA524278:JFA524300 JOW524278:JOW524300 JYS524278:JYS524300 KIO524278:KIO524300 KSK524278:KSK524300 LCG524278:LCG524300 LMC524278:LMC524300 LVY524278:LVY524300 MFU524278:MFU524300 MPQ524278:MPQ524300 MZM524278:MZM524300 NJI524278:NJI524300 NTE524278:NTE524300 ODA524278:ODA524300 OMW524278:OMW524300 OWS524278:OWS524300 PGO524278:PGO524300 PQK524278:PQK524300 QAG524278:QAG524300 QKC524278:QKC524300 QTY524278:QTY524300 RDU524278:RDU524300 RNQ524278:RNQ524300 RXM524278:RXM524300 SHI524278:SHI524300 SRE524278:SRE524300 TBA524278:TBA524300 TKW524278:TKW524300 TUS524278:TUS524300 UEO524278:UEO524300 UOK524278:UOK524300 UYG524278:UYG524300 VIC524278:VIC524300 VRY524278:VRY524300 WBU524278:WBU524300 WLQ524278:WLQ524300 WVM524278:WVM524300 C589814:C589836 JA589814:JA589836 SW589814:SW589836 ACS589814:ACS589836 AMO589814:AMO589836 AWK589814:AWK589836 BGG589814:BGG589836 BQC589814:BQC589836 BZY589814:BZY589836 CJU589814:CJU589836 CTQ589814:CTQ589836 DDM589814:DDM589836 DNI589814:DNI589836 DXE589814:DXE589836 EHA589814:EHA589836 EQW589814:EQW589836 FAS589814:FAS589836 FKO589814:FKO589836 FUK589814:FUK589836 GEG589814:GEG589836 GOC589814:GOC589836 GXY589814:GXY589836 HHU589814:HHU589836 HRQ589814:HRQ589836 IBM589814:IBM589836 ILI589814:ILI589836 IVE589814:IVE589836 JFA589814:JFA589836 JOW589814:JOW589836 JYS589814:JYS589836 KIO589814:KIO589836 KSK589814:KSK589836 LCG589814:LCG589836 LMC589814:LMC589836 LVY589814:LVY589836 MFU589814:MFU589836 MPQ589814:MPQ589836 MZM589814:MZM589836 NJI589814:NJI589836 NTE589814:NTE589836 ODA589814:ODA589836 OMW589814:OMW589836 OWS589814:OWS589836 PGO589814:PGO589836 PQK589814:PQK589836 QAG589814:QAG589836 QKC589814:QKC589836 QTY589814:QTY589836 RDU589814:RDU589836 RNQ589814:RNQ589836 RXM589814:RXM589836 SHI589814:SHI589836 SRE589814:SRE589836 TBA589814:TBA589836 TKW589814:TKW589836 TUS589814:TUS589836 UEO589814:UEO589836 UOK589814:UOK589836 UYG589814:UYG589836 VIC589814:VIC589836 VRY589814:VRY589836 WBU589814:WBU589836 WLQ589814:WLQ589836 WVM589814:WVM589836 C655350:C655372 JA655350:JA655372 SW655350:SW655372 ACS655350:ACS655372 AMO655350:AMO655372 AWK655350:AWK655372 BGG655350:BGG655372 BQC655350:BQC655372 BZY655350:BZY655372 CJU655350:CJU655372 CTQ655350:CTQ655372 DDM655350:DDM655372 DNI655350:DNI655372 DXE655350:DXE655372 EHA655350:EHA655372 EQW655350:EQW655372 FAS655350:FAS655372 FKO655350:FKO655372 FUK655350:FUK655372 GEG655350:GEG655372 GOC655350:GOC655372 GXY655350:GXY655372 HHU655350:HHU655372 HRQ655350:HRQ655372 IBM655350:IBM655372 ILI655350:ILI655372 IVE655350:IVE655372 JFA655350:JFA655372 JOW655350:JOW655372 JYS655350:JYS655372 KIO655350:KIO655372 KSK655350:KSK655372 LCG655350:LCG655372 LMC655350:LMC655372 LVY655350:LVY655372 MFU655350:MFU655372 MPQ655350:MPQ655372 MZM655350:MZM655372 NJI655350:NJI655372 NTE655350:NTE655372 ODA655350:ODA655372 OMW655350:OMW655372 OWS655350:OWS655372 PGO655350:PGO655372 PQK655350:PQK655372 QAG655350:QAG655372 QKC655350:QKC655372 QTY655350:QTY655372 RDU655350:RDU655372 RNQ655350:RNQ655372 RXM655350:RXM655372 SHI655350:SHI655372 SRE655350:SRE655372 TBA655350:TBA655372 TKW655350:TKW655372 TUS655350:TUS655372 UEO655350:UEO655372 UOK655350:UOK655372 UYG655350:UYG655372 VIC655350:VIC655372 VRY655350:VRY655372 WBU655350:WBU655372 WLQ655350:WLQ655372 WVM655350:WVM655372 C720886:C720908 JA720886:JA720908 SW720886:SW720908 ACS720886:ACS720908 AMO720886:AMO720908 AWK720886:AWK720908 BGG720886:BGG720908 BQC720886:BQC720908 BZY720886:BZY720908 CJU720886:CJU720908 CTQ720886:CTQ720908 DDM720886:DDM720908 DNI720886:DNI720908 DXE720886:DXE720908 EHA720886:EHA720908 EQW720886:EQW720908 FAS720886:FAS720908 FKO720886:FKO720908 FUK720886:FUK720908 GEG720886:GEG720908 GOC720886:GOC720908 GXY720886:GXY720908 HHU720886:HHU720908 HRQ720886:HRQ720908 IBM720886:IBM720908 ILI720886:ILI720908 IVE720886:IVE720908 JFA720886:JFA720908 JOW720886:JOW720908 JYS720886:JYS720908 KIO720886:KIO720908 KSK720886:KSK720908 LCG720886:LCG720908 LMC720886:LMC720908 LVY720886:LVY720908 MFU720886:MFU720908 MPQ720886:MPQ720908 MZM720886:MZM720908 NJI720886:NJI720908 NTE720886:NTE720908 ODA720886:ODA720908 OMW720886:OMW720908 OWS720886:OWS720908 PGO720886:PGO720908 PQK720886:PQK720908 QAG720886:QAG720908 QKC720886:QKC720908 QTY720886:QTY720908 RDU720886:RDU720908 RNQ720886:RNQ720908 RXM720886:RXM720908 SHI720886:SHI720908 SRE720886:SRE720908 TBA720886:TBA720908 TKW720886:TKW720908 TUS720886:TUS720908 UEO720886:UEO720908 UOK720886:UOK720908 UYG720886:UYG720908 VIC720886:VIC720908 VRY720886:VRY720908 WBU720886:WBU720908 WLQ720886:WLQ720908 WVM720886:WVM720908 C786422:C786444 JA786422:JA786444 SW786422:SW786444 ACS786422:ACS786444 AMO786422:AMO786444 AWK786422:AWK786444 BGG786422:BGG786444 BQC786422:BQC786444 BZY786422:BZY786444 CJU786422:CJU786444 CTQ786422:CTQ786444 DDM786422:DDM786444 DNI786422:DNI786444 DXE786422:DXE786444 EHA786422:EHA786444 EQW786422:EQW786444 FAS786422:FAS786444 FKO786422:FKO786444 FUK786422:FUK786444 GEG786422:GEG786444 GOC786422:GOC786444 GXY786422:GXY786444 HHU786422:HHU786444 HRQ786422:HRQ786444 IBM786422:IBM786444 ILI786422:ILI786444 IVE786422:IVE786444 JFA786422:JFA786444 JOW786422:JOW786444 JYS786422:JYS786444 KIO786422:KIO786444 KSK786422:KSK786444 LCG786422:LCG786444 LMC786422:LMC786444 LVY786422:LVY786444 MFU786422:MFU786444 MPQ786422:MPQ786444 MZM786422:MZM786444 NJI786422:NJI786444 NTE786422:NTE786444 ODA786422:ODA786444 OMW786422:OMW786444 OWS786422:OWS786444 PGO786422:PGO786444 PQK786422:PQK786444 QAG786422:QAG786444 QKC786422:QKC786444 QTY786422:QTY786444 RDU786422:RDU786444 RNQ786422:RNQ786444 RXM786422:RXM786444 SHI786422:SHI786444 SRE786422:SRE786444 TBA786422:TBA786444 TKW786422:TKW786444 TUS786422:TUS786444 UEO786422:UEO786444 UOK786422:UOK786444 UYG786422:UYG786444 VIC786422:VIC786444 VRY786422:VRY786444 WBU786422:WBU786444 WLQ786422:WLQ786444 WVM786422:WVM786444 C851958:C851980 JA851958:JA851980 SW851958:SW851980 ACS851958:ACS851980 AMO851958:AMO851980 AWK851958:AWK851980 BGG851958:BGG851980 BQC851958:BQC851980 BZY851958:BZY851980 CJU851958:CJU851980 CTQ851958:CTQ851980 DDM851958:DDM851980 DNI851958:DNI851980 DXE851958:DXE851980 EHA851958:EHA851980 EQW851958:EQW851980 FAS851958:FAS851980 FKO851958:FKO851980 FUK851958:FUK851980 GEG851958:GEG851980 GOC851958:GOC851980 GXY851958:GXY851980 HHU851958:HHU851980 HRQ851958:HRQ851980 IBM851958:IBM851980 ILI851958:ILI851980 IVE851958:IVE851980 JFA851958:JFA851980 JOW851958:JOW851980 JYS851958:JYS851980 KIO851958:KIO851980 KSK851958:KSK851980 LCG851958:LCG851980 LMC851958:LMC851980 LVY851958:LVY851980 MFU851958:MFU851980 MPQ851958:MPQ851980 MZM851958:MZM851980 NJI851958:NJI851980 NTE851958:NTE851980 ODA851958:ODA851980 OMW851958:OMW851980 OWS851958:OWS851980 PGO851958:PGO851980 PQK851958:PQK851980 QAG851958:QAG851980 QKC851958:QKC851980 QTY851958:QTY851980 RDU851958:RDU851980 RNQ851958:RNQ851980 RXM851958:RXM851980 SHI851958:SHI851980 SRE851958:SRE851980 TBA851958:TBA851980 TKW851958:TKW851980 TUS851958:TUS851980 UEO851958:UEO851980 UOK851958:UOK851980 UYG851958:UYG851980 VIC851958:VIC851980 VRY851958:VRY851980 WBU851958:WBU851980 WLQ851958:WLQ851980 WVM851958:WVM851980 C917494:C917516 JA917494:JA917516 SW917494:SW917516 ACS917494:ACS917516 AMO917494:AMO917516 AWK917494:AWK917516 BGG917494:BGG917516 BQC917494:BQC917516 BZY917494:BZY917516 CJU917494:CJU917516 CTQ917494:CTQ917516 DDM917494:DDM917516 DNI917494:DNI917516 DXE917494:DXE917516 EHA917494:EHA917516 EQW917494:EQW917516 FAS917494:FAS917516 FKO917494:FKO917516 FUK917494:FUK917516 GEG917494:GEG917516 GOC917494:GOC917516 GXY917494:GXY917516 HHU917494:HHU917516 HRQ917494:HRQ917516 IBM917494:IBM917516 ILI917494:ILI917516 IVE917494:IVE917516 JFA917494:JFA917516 JOW917494:JOW917516 JYS917494:JYS917516 KIO917494:KIO917516 KSK917494:KSK917516 LCG917494:LCG917516 LMC917494:LMC917516 LVY917494:LVY917516 MFU917494:MFU917516 MPQ917494:MPQ917516 MZM917494:MZM917516 NJI917494:NJI917516 NTE917494:NTE917516 ODA917494:ODA917516 OMW917494:OMW917516 OWS917494:OWS917516 PGO917494:PGO917516 PQK917494:PQK917516 QAG917494:QAG917516 QKC917494:QKC917516 QTY917494:QTY917516 RDU917494:RDU917516 RNQ917494:RNQ917516 RXM917494:RXM917516 SHI917494:SHI917516 SRE917494:SRE917516 TBA917494:TBA917516 TKW917494:TKW917516 TUS917494:TUS917516 UEO917494:UEO917516 UOK917494:UOK917516 UYG917494:UYG917516 VIC917494:VIC917516 VRY917494:VRY917516 WBU917494:WBU917516 WLQ917494:WLQ917516 WVM917494:WVM917516 C983030:C983052 JA983030:JA983052 SW983030:SW983052 ACS983030:ACS983052 AMO983030:AMO983052 AWK983030:AWK983052 BGG983030:BGG983052 BQC983030:BQC983052 BZY983030:BZY983052 CJU983030:CJU983052 CTQ983030:CTQ983052 DDM983030:DDM983052 DNI983030:DNI983052 DXE983030:DXE983052 EHA983030:EHA983052 EQW983030:EQW983052 FAS983030:FAS983052 FKO983030:FKO983052 FUK983030:FUK983052 GEG983030:GEG983052 GOC983030:GOC983052 GXY983030:GXY983052 HHU983030:HHU983052 HRQ983030:HRQ983052 IBM983030:IBM983052 ILI983030:ILI983052 IVE983030:IVE983052 JFA983030:JFA983052 JOW983030:JOW983052 JYS983030:JYS983052 KIO983030:KIO983052 KSK983030:KSK983052 LCG983030:LCG983052 LMC983030:LMC983052 LVY983030:LVY983052 MFU983030:MFU983052 MPQ983030:MPQ983052 MZM983030:MZM983052 NJI983030:NJI983052 NTE983030:NTE983052 ODA983030:ODA983052 OMW983030:OMW983052 OWS983030:OWS983052 PGO983030:PGO983052 PQK983030:PQK983052 QAG983030:QAG983052 QKC983030:QKC983052 QTY983030:QTY983052 RDU983030:RDU983052 RNQ983030:RNQ983052 RXM983030:RXM983052 SHI983030:SHI983052 SRE983030:SRE983052 TBA983030:TBA983052 TKW983030:TKW983052 TUS983030:TUS983052 UEO983030:UEO983052 UOK983030:UOK983052 UYG983030:UYG983052 VIC983030:VIC983052 VRY983030:VRY983052 WBU983030:WBU983052 WLQ983030:WLQ983052 WVM983030:WVM983052 M65526:M65548 JI65526:JI65548 TE65526:TE65548 ADA65526:ADA65548 AMW65526:AMW65548 AWS65526:AWS65548 BGO65526:BGO65548 BQK65526:BQK65548 CAG65526:CAG65548 CKC65526:CKC65548 CTY65526:CTY65548 DDU65526:DDU65548 DNQ65526:DNQ65548 DXM65526:DXM65548 EHI65526:EHI65548 ERE65526:ERE65548 FBA65526:FBA65548 FKW65526:FKW65548 FUS65526:FUS65548 GEO65526:GEO65548 GOK65526:GOK65548 GYG65526:GYG65548 HIC65526:HIC65548 HRY65526:HRY65548 IBU65526:IBU65548 ILQ65526:ILQ65548 IVM65526:IVM65548 JFI65526:JFI65548 JPE65526:JPE65548 JZA65526:JZA65548 KIW65526:KIW65548 KSS65526:KSS65548 LCO65526:LCO65548 LMK65526:LMK65548 LWG65526:LWG65548 MGC65526:MGC65548 MPY65526:MPY65548 MZU65526:MZU65548 NJQ65526:NJQ65548 NTM65526:NTM65548 ODI65526:ODI65548 ONE65526:ONE65548 OXA65526:OXA65548 PGW65526:PGW65548 PQS65526:PQS65548 QAO65526:QAO65548 QKK65526:QKK65548 QUG65526:QUG65548 REC65526:REC65548 RNY65526:RNY65548 RXU65526:RXU65548 SHQ65526:SHQ65548 SRM65526:SRM65548 TBI65526:TBI65548 TLE65526:TLE65548 TVA65526:TVA65548 UEW65526:UEW65548 UOS65526:UOS65548 UYO65526:UYO65548 VIK65526:VIK65548 VSG65526:VSG65548 WCC65526:WCC65548 WLY65526:WLY65548 WVU65526:WVU65548 M131062:M131084 JI131062:JI131084 TE131062:TE131084 ADA131062:ADA131084 AMW131062:AMW131084 AWS131062:AWS131084 BGO131062:BGO131084 BQK131062:BQK131084 CAG131062:CAG131084 CKC131062:CKC131084 CTY131062:CTY131084 DDU131062:DDU131084 DNQ131062:DNQ131084 DXM131062:DXM131084 EHI131062:EHI131084 ERE131062:ERE131084 FBA131062:FBA131084 FKW131062:FKW131084 FUS131062:FUS131084 GEO131062:GEO131084 GOK131062:GOK131084 GYG131062:GYG131084 HIC131062:HIC131084 HRY131062:HRY131084 IBU131062:IBU131084 ILQ131062:ILQ131084 IVM131062:IVM131084 JFI131062:JFI131084 JPE131062:JPE131084 JZA131062:JZA131084 KIW131062:KIW131084 KSS131062:KSS131084 LCO131062:LCO131084 LMK131062:LMK131084 LWG131062:LWG131084 MGC131062:MGC131084 MPY131062:MPY131084 MZU131062:MZU131084 NJQ131062:NJQ131084 NTM131062:NTM131084 ODI131062:ODI131084 ONE131062:ONE131084 OXA131062:OXA131084 PGW131062:PGW131084 PQS131062:PQS131084 QAO131062:QAO131084 QKK131062:QKK131084 QUG131062:QUG131084 REC131062:REC131084 RNY131062:RNY131084 RXU131062:RXU131084 SHQ131062:SHQ131084 SRM131062:SRM131084 TBI131062:TBI131084 TLE131062:TLE131084 TVA131062:TVA131084 UEW131062:UEW131084 UOS131062:UOS131084 UYO131062:UYO131084 VIK131062:VIK131084 VSG131062:VSG131084 WCC131062:WCC131084 WLY131062:WLY131084 WVU131062:WVU131084 M196598:M196620 JI196598:JI196620 TE196598:TE196620 ADA196598:ADA196620 AMW196598:AMW196620 AWS196598:AWS196620 BGO196598:BGO196620 BQK196598:BQK196620 CAG196598:CAG196620 CKC196598:CKC196620 CTY196598:CTY196620 DDU196598:DDU196620 DNQ196598:DNQ196620 DXM196598:DXM196620 EHI196598:EHI196620 ERE196598:ERE196620 FBA196598:FBA196620 FKW196598:FKW196620 FUS196598:FUS196620 GEO196598:GEO196620 GOK196598:GOK196620 GYG196598:GYG196620 HIC196598:HIC196620 HRY196598:HRY196620 IBU196598:IBU196620 ILQ196598:ILQ196620 IVM196598:IVM196620 JFI196598:JFI196620 JPE196598:JPE196620 JZA196598:JZA196620 KIW196598:KIW196620 KSS196598:KSS196620 LCO196598:LCO196620 LMK196598:LMK196620 LWG196598:LWG196620 MGC196598:MGC196620 MPY196598:MPY196620 MZU196598:MZU196620 NJQ196598:NJQ196620 NTM196598:NTM196620 ODI196598:ODI196620 ONE196598:ONE196620 OXA196598:OXA196620 PGW196598:PGW196620 PQS196598:PQS196620 QAO196598:QAO196620 QKK196598:QKK196620 QUG196598:QUG196620 REC196598:REC196620 RNY196598:RNY196620 RXU196598:RXU196620 SHQ196598:SHQ196620 SRM196598:SRM196620 TBI196598:TBI196620 TLE196598:TLE196620 TVA196598:TVA196620 UEW196598:UEW196620 UOS196598:UOS196620 UYO196598:UYO196620 VIK196598:VIK196620 VSG196598:VSG196620 WCC196598:WCC196620 WLY196598:WLY196620 WVU196598:WVU196620 M262134:M262156 JI262134:JI262156 TE262134:TE262156 ADA262134:ADA262156 AMW262134:AMW262156 AWS262134:AWS262156 BGO262134:BGO262156 BQK262134:BQK262156 CAG262134:CAG262156 CKC262134:CKC262156 CTY262134:CTY262156 DDU262134:DDU262156 DNQ262134:DNQ262156 DXM262134:DXM262156 EHI262134:EHI262156 ERE262134:ERE262156 FBA262134:FBA262156 FKW262134:FKW262156 FUS262134:FUS262156 GEO262134:GEO262156 GOK262134:GOK262156 GYG262134:GYG262156 HIC262134:HIC262156 HRY262134:HRY262156 IBU262134:IBU262156 ILQ262134:ILQ262156 IVM262134:IVM262156 JFI262134:JFI262156 JPE262134:JPE262156 JZA262134:JZA262156 KIW262134:KIW262156 KSS262134:KSS262156 LCO262134:LCO262156 LMK262134:LMK262156 LWG262134:LWG262156 MGC262134:MGC262156 MPY262134:MPY262156 MZU262134:MZU262156 NJQ262134:NJQ262156 NTM262134:NTM262156 ODI262134:ODI262156 ONE262134:ONE262156 OXA262134:OXA262156 PGW262134:PGW262156 PQS262134:PQS262156 QAO262134:QAO262156 QKK262134:QKK262156 QUG262134:QUG262156 REC262134:REC262156 RNY262134:RNY262156 RXU262134:RXU262156 SHQ262134:SHQ262156 SRM262134:SRM262156 TBI262134:TBI262156 TLE262134:TLE262156 TVA262134:TVA262156 UEW262134:UEW262156 UOS262134:UOS262156 UYO262134:UYO262156 VIK262134:VIK262156 VSG262134:VSG262156 WCC262134:WCC262156 WLY262134:WLY262156 WVU262134:WVU262156 M327670:M327692 JI327670:JI327692 TE327670:TE327692 ADA327670:ADA327692 AMW327670:AMW327692 AWS327670:AWS327692 BGO327670:BGO327692 BQK327670:BQK327692 CAG327670:CAG327692 CKC327670:CKC327692 CTY327670:CTY327692 DDU327670:DDU327692 DNQ327670:DNQ327692 DXM327670:DXM327692 EHI327670:EHI327692 ERE327670:ERE327692 FBA327670:FBA327692 FKW327670:FKW327692 FUS327670:FUS327692 GEO327670:GEO327692 GOK327670:GOK327692 GYG327670:GYG327692 HIC327670:HIC327692 HRY327670:HRY327692 IBU327670:IBU327692 ILQ327670:ILQ327692 IVM327670:IVM327692 JFI327670:JFI327692 JPE327670:JPE327692 JZA327670:JZA327692 KIW327670:KIW327692 KSS327670:KSS327692 LCO327670:LCO327692 LMK327670:LMK327692 LWG327670:LWG327692 MGC327670:MGC327692 MPY327670:MPY327692 MZU327670:MZU327692 NJQ327670:NJQ327692 NTM327670:NTM327692 ODI327670:ODI327692 ONE327670:ONE327692 OXA327670:OXA327692 PGW327670:PGW327692 PQS327670:PQS327692 QAO327670:QAO327692 QKK327670:QKK327692 QUG327670:QUG327692 REC327670:REC327692 RNY327670:RNY327692 RXU327670:RXU327692 SHQ327670:SHQ327692 SRM327670:SRM327692 TBI327670:TBI327692 TLE327670:TLE327692 TVA327670:TVA327692 UEW327670:UEW327692 UOS327670:UOS327692 UYO327670:UYO327692 VIK327670:VIK327692 VSG327670:VSG327692 WCC327670:WCC327692 WLY327670:WLY327692 WVU327670:WVU327692 M393206:M393228 JI393206:JI393228 TE393206:TE393228 ADA393206:ADA393228 AMW393206:AMW393228 AWS393206:AWS393228 BGO393206:BGO393228 BQK393206:BQK393228 CAG393206:CAG393228 CKC393206:CKC393228 CTY393206:CTY393228 DDU393206:DDU393228 DNQ393206:DNQ393228 DXM393206:DXM393228 EHI393206:EHI393228 ERE393206:ERE393228 FBA393206:FBA393228 FKW393206:FKW393228 FUS393206:FUS393228 GEO393206:GEO393228 GOK393206:GOK393228 GYG393206:GYG393228 HIC393206:HIC393228 HRY393206:HRY393228 IBU393206:IBU393228 ILQ393206:ILQ393228 IVM393206:IVM393228 JFI393206:JFI393228 JPE393206:JPE393228 JZA393206:JZA393228 KIW393206:KIW393228 KSS393206:KSS393228 LCO393206:LCO393228 LMK393206:LMK393228 LWG393206:LWG393228 MGC393206:MGC393228 MPY393206:MPY393228 MZU393206:MZU393228 NJQ393206:NJQ393228 NTM393206:NTM393228 ODI393206:ODI393228 ONE393206:ONE393228 OXA393206:OXA393228 PGW393206:PGW393228 PQS393206:PQS393228 QAO393206:QAO393228 QKK393206:QKK393228 QUG393206:QUG393228 REC393206:REC393228 RNY393206:RNY393228 RXU393206:RXU393228 SHQ393206:SHQ393228 SRM393206:SRM393228 TBI393206:TBI393228 TLE393206:TLE393228 TVA393206:TVA393228 UEW393206:UEW393228 UOS393206:UOS393228 UYO393206:UYO393228 VIK393206:VIK393228 VSG393206:VSG393228 WCC393206:WCC393228 WLY393206:WLY393228 WVU393206:WVU393228 M458742:M458764 JI458742:JI458764 TE458742:TE458764 ADA458742:ADA458764 AMW458742:AMW458764 AWS458742:AWS458764 BGO458742:BGO458764 BQK458742:BQK458764 CAG458742:CAG458764 CKC458742:CKC458764 CTY458742:CTY458764 DDU458742:DDU458764 DNQ458742:DNQ458764 DXM458742:DXM458764 EHI458742:EHI458764 ERE458742:ERE458764 FBA458742:FBA458764 FKW458742:FKW458764 FUS458742:FUS458764 GEO458742:GEO458764 GOK458742:GOK458764 GYG458742:GYG458764 HIC458742:HIC458764 HRY458742:HRY458764 IBU458742:IBU458764 ILQ458742:ILQ458764 IVM458742:IVM458764 JFI458742:JFI458764 JPE458742:JPE458764 JZA458742:JZA458764 KIW458742:KIW458764 KSS458742:KSS458764 LCO458742:LCO458764 LMK458742:LMK458764 LWG458742:LWG458764 MGC458742:MGC458764 MPY458742:MPY458764 MZU458742:MZU458764 NJQ458742:NJQ458764 NTM458742:NTM458764 ODI458742:ODI458764 ONE458742:ONE458764 OXA458742:OXA458764 PGW458742:PGW458764 PQS458742:PQS458764 QAO458742:QAO458764 QKK458742:QKK458764 QUG458742:QUG458764 REC458742:REC458764 RNY458742:RNY458764 RXU458742:RXU458764 SHQ458742:SHQ458764 SRM458742:SRM458764 TBI458742:TBI458764 TLE458742:TLE458764 TVA458742:TVA458764 UEW458742:UEW458764 UOS458742:UOS458764 UYO458742:UYO458764 VIK458742:VIK458764 VSG458742:VSG458764 WCC458742:WCC458764 WLY458742:WLY458764 WVU458742:WVU458764 M524278:M524300 JI524278:JI524300 TE524278:TE524300 ADA524278:ADA524300 AMW524278:AMW524300 AWS524278:AWS524300 BGO524278:BGO524300 BQK524278:BQK524300 CAG524278:CAG524300 CKC524278:CKC524300 CTY524278:CTY524300 DDU524278:DDU524300 DNQ524278:DNQ524300 DXM524278:DXM524300 EHI524278:EHI524300 ERE524278:ERE524300 FBA524278:FBA524300 FKW524278:FKW524300 FUS524278:FUS524300 GEO524278:GEO524300 GOK524278:GOK524300 GYG524278:GYG524300 HIC524278:HIC524300 HRY524278:HRY524300 IBU524278:IBU524300 ILQ524278:ILQ524300 IVM524278:IVM524300 JFI524278:JFI524300 JPE524278:JPE524300 JZA524278:JZA524300 KIW524278:KIW524300 KSS524278:KSS524300 LCO524278:LCO524300 LMK524278:LMK524300 LWG524278:LWG524300 MGC524278:MGC524300 MPY524278:MPY524300 MZU524278:MZU524300 NJQ524278:NJQ524300 NTM524278:NTM524300 ODI524278:ODI524300 ONE524278:ONE524300 OXA524278:OXA524300 PGW524278:PGW524300 PQS524278:PQS524300 QAO524278:QAO524300 QKK524278:QKK524300 QUG524278:QUG524300 REC524278:REC524300 RNY524278:RNY524300 RXU524278:RXU524300 SHQ524278:SHQ524300 SRM524278:SRM524300 TBI524278:TBI524300 TLE524278:TLE524300 TVA524278:TVA524300 UEW524278:UEW524300 UOS524278:UOS524300 UYO524278:UYO524300 VIK524278:VIK524300 VSG524278:VSG524300 WCC524278:WCC524300 WLY524278:WLY524300 WVU524278:WVU524300 M589814:M589836 JI589814:JI589836 TE589814:TE589836 ADA589814:ADA589836 AMW589814:AMW589836 AWS589814:AWS589836 BGO589814:BGO589836 BQK589814:BQK589836 CAG589814:CAG589836 CKC589814:CKC589836 CTY589814:CTY589836 DDU589814:DDU589836 DNQ589814:DNQ589836 DXM589814:DXM589836 EHI589814:EHI589836 ERE589814:ERE589836 FBA589814:FBA589836 FKW589814:FKW589836 FUS589814:FUS589836 GEO589814:GEO589836 GOK589814:GOK589836 GYG589814:GYG589836 HIC589814:HIC589836 HRY589814:HRY589836 IBU589814:IBU589836 ILQ589814:ILQ589836 IVM589814:IVM589836 JFI589814:JFI589836 JPE589814:JPE589836 JZA589814:JZA589836 KIW589814:KIW589836 KSS589814:KSS589836 LCO589814:LCO589836 LMK589814:LMK589836 LWG589814:LWG589836 MGC589814:MGC589836 MPY589814:MPY589836 MZU589814:MZU589836 NJQ589814:NJQ589836 NTM589814:NTM589836 ODI589814:ODI589836 ONE589814:ONE589836 OXA589814:OXA589836 PGW589814:PGW589836 PQS589814:PQS589836 QAO589814:QAO589836 QKK589814:QKK589836 QUG589814:QUG589836 REC589814:REC589836 RNY589814:RNY589836 RXU589814:RXU589836 SHQ589814:SHQ589836 SRM589814:SRM589836 TBI589814:TBI589836 TLE589814:TLE589836 TVA589814:TVA589836 UEW589814:UEW589836 UOS589814:UOS589836 UYO589814:UYO589836 VIK589814:VIK589836 VSG589814:VSG589836 WCC589814:WCC589836 WLY589814:WLY589836 WVU589814:WVU589836 M655350:M655372 JI655350:JI655372 TE655350:TE655372 ADA655350:ADA655372 AMW655350:AMW655372 AWS655350:AWS655372 BGO655350:BGO655372 BQK655350:BQK655372 CAG655350:CAG655372 CKC655350:CKC655372 CTY655350:CTY655372 DDU655350:DDU655372 DNQ655350:DNQ655372 DXM655350:DXM655372 EHI655350:EHI655372 ERE655350:ERE655372 FBA655350:FBA655372 FKW655350:FKW655372 FUS655350:FUS655372 GEO655350:GEO655372 GOK655350:GOK655372 GYG655350:GYG655372 HIC655350:HIC655372 HRY655350:HRY655372 IBU655350:IBU655372 ILQ655350:ILQ655372 IVM655350:IVM655372 JFI655350:JFI655372 JPE655350:JPE655372 JZA655350:JZA655372 KIW655350:KIW655372 KSS655350:KSS655372 LCO655350:LCO655372 LMK655350:LMK655372 LWG655350:LWG655372 MGC655350:MGC655372 MPY655350:MPY655372 MZU655350:MZU655372 NJQ655350:NJQ655372 NTM655350:NTM655372 ODI655350:ODI655372 ONE655350:ONE655372 OXA655350:OXA655372 PGW655350:PGW655372 PQS655350:PQS655372 QAO655350:QAO655372 QKK655350:QKK655372 QUG655350:QUG655372 REC655350:REC655372 RNY655350:RNY655372 RXU655350:RXU655372 SHQ655350:SHQ655372 SRM655350:SRM655372 TBI655350:TBI655372 TLE655350:TLE655372 TVA655350:TVA655372 UEW655350:UEW655372 UOS655350:UOS655372 UYO655350:UYO655372 VIK655350:VIK655372 VSG655350:VSG655372 WCC655350:WCC655372 WLY655350:WLY655372 WVU655350:WVU655372 M720886:M720908 JI720886:JI720908 TE720886:TE720908 ADA720886:ADA720908 AMW720886:AMW720908 AWS720886:AWS720908 BGO720886:BGO720908 BQK720886:BQK720908 CAG720886:CAG720908 CKC720886:CKC720908 CTY720886:CTY720908 DDU720886:DDU720908 DNQ720886:DNQ720908 DXM720886:DXM720908 EHI720886:EHI720908 ERE720886:ERE720908 FBA720886:FBA720908 FKW720886:FKW720908 FUS720886:FUS720908 GEO720886:GEO720908 GOK720886:GOK720908 GYG720886:GYG720908 HIC720886:HIC720908 HRY720886:HRY720908 IBU720886:IBU720908 ILQ720886:ILQ720908 IVM720886:IVM720908 JFI720886:JFI720908 JPE720886:JPE720908 JZA720886:JZA720908 KIW720886:KIW720908 KSS720886:KSS720908 LCO720886:LCO720908 LMK720886:LMK720908 LWG720886:LWG720908 MGC720886:MGC720908 MPY720886:MPY720908 MZU720886:MZU720908 NJQ720886:NJQ720908 NTM720886:NTM720908 ODI720886:ODI720908 ONE720886:ONE720908 OXA720886:OXA720908 PGW720886:PGW720908 PQS720886:PQS720908 QAO720886:QAO720908 QKK720886:QKK720908 QUG720886:QUG720908 REC720886:REC720908 RNY720886:RNY720908 RXU720886:RXU720908 SHQ720886:SHQ720908 SRM720886:SRM720908 TBI720886:TBI720908 TLE720886:TLE720908 TVA720886:TVA720908 UEW720886:UEW720908 UOS720886:UOS720908 UYO720886:UYO720908 VIK720886:VIK720908 VSG720886:VSG720908 WCC720886:WCC720908 WLY720886:WLY720908 WVU720886:WVU720908 M786422:M786444 JI786422:JI786444 TE786422:TE786444 ADA786422:ADA786444 AMW786422:AMW786444 AWS786422:AWS786444 BGO786422:BGO786444 BQK786422:BQK786444 CAG786422:CAG786444 CKC786422:CKC786444 CTY786422:CTY786444 DDU786422:DDU786444 DNQ786422:DNQ786444 DXM786422:DXM786444 EHI786422:EHI786444 ERE786422:ERE786444 FBA786422:FBA786444 FKW786422:FKW786444 FUS786422:FUS786444 GEO786422:GEO786444 GOK786422:GOK786444 GYG786422:GYG786444 HIC786422:HIC786444 HRY786422:HRY786444 IBU786422:IBU786444 ILQ786422:ILQ786444 IVM786422:IVM786444 JFI786422:JFI786444 JPE786422:JPE786444 JZA786422:JZA786444 KIW786422:KIW786444 KSS786422:KSS786444 LCO786422:LCO786444 LMK786422:LMK786444 LWG786422:LWG786444 MGC786422:MGC786444 MPY786422:MPY786444 MZU786422:MZU786444 NJQ786422:NJQ786444 NTM786422:NTM786444 ODI786422:ODI786444 ONE786422:ONE786444 OXA786422:OXA786444 PGW786422:PGW786444 PQS786422:PQS786444 QAO786422:QAO786444 QKK786422:QKK786444 QUG786422:QUG786444 REC786422:REC786444 RNY786422:RNY786444 RXU786422:RXU786444 SHQ786422:SHQ786444 SRM786422:SRM786444 TBI786422:TBI786444 TLE786422:TLE786444 TVA786422:TVA786444 UEW786422:UEW786444 UOS786422:UOS786444 UYO786422:UYO786444 VIK786422:VIK786444 VSG786422:VSG786444 WCC786422:WCC786444 WLY786422:WLY786444 WVU786422:WVU786444 M851958:M851980 JI851958:JI851980 TE851958:TE851980 ADA851958:ADA851980 AMW851958:AMW851980 AWS851958:AWS851980 BGO851958:BGO851980 BQK851958:BQK851980 CAG851958:CAG851980 CKC851958:CKC851980 CTY851958:CTY851980 DDU851958:DDU851980 DNQ851958:DNQ851980 DXM851958:DXM851980 EHI851958:EHI851980 ERE851958:ERE851980 FBA851958:FBA851980 FKW851958:FKW851980 FUS851958:FUS851980 GEO851958:GEO851980 GOK851958:GOK851980 GYG851958:GYG851980 HIC851958:HIC851980 HRY851958:HRY851980 IBU851958:IBU851980 ILQ851958:ILQ851980 IVM851958:IVM851980 JFI851958:JFI851980 JPE851958:JPE851980 JZA851958:JZA851980 KIW851958:KIW851980 KSS851958:KSS851980 LCO851958:LCO851980 LMK851958:LMK851980 LWG851958:LWG851980 MGC851958:MGC851980 MPY851958:MPY851980 MZU851958:MZU851980 NJQ851958:NJQ851980 NTM851958:NTM851980 ODI851958:ODI851980 ONE851958:ONE851980 OXA851958:OXA851980 PGW851958:PGW851980 PQS851958:PQS851980 QAO851958:QAO851980 QKK851958:QKK851980 QUG851958:QUG851980 REC851958:REC851980 RNY851958:RNY851980 RXU851958:RXU851980 SHQ851958:SHQ851980 SRM851958:SRM851980 TBI851958:TBI851980 TLE851958:TLE851980 TVA851958:TVA851980 UEW851958:UEW851980 UOS851958:UOS851980 UYO851958:UYO851980 VIK851958:VIK851980 VSG851958:VSG851980 WCC851958:WCC851980 WLY851958:WLY851980 WVU851958:WVU851980 M917494:M917516 JI917494:JI917516 TE917494:TE917516 ADA917494:ADA917516 AMW917494:AMW917516 AWS917494:AWS917516 BGO917494:BGO917516 BQK917494:BQK917516 CAG917494:CAG917516 CKC917494:CKC917516 CTY917494:CTY917516 DDU917494:DDU917516 DNQ917494:DNQ917516 DXM917494:DXM917516 EHI917494:EHI917516 ERE917494:ERE917516 FBA917494:FBA917516 FKW917494:FKW917516 FUS917494:FUS917516 GEO917494:GEO917516 GOK917494:GOK917516 GYG917494:GYG917516 HIC917494:HIC917516 HRY917494:HRY917516 IBU917494:IBU917516 ILQ917494:ILQ917516 IVM917494:IVM917516 JFI917494:JFI917516 JPE917494:JPE917516 JZA917494:JZA917516 KIW917494:KIW917516 KSS917494:KSS917516 LCO917494:LCO917516 LMK917494:LMK917516 LWG917494:LWG917516 MGC917494:MGC917516 MPY917494:MPY917516 MZU917494:MZU917516 NJQ917494:NJQ917516 NTM917494:NTM917516 ODI917494:ODI917516 ONE917494:ONE917516 OXA917494:OXA917516 PGW917494:PGW917516 PQS917494:PQS917516 QAO917494:QAO917516 QKK917494:QKK917516 QUG917494:QUG917516 REC917494:REC917516 RNY917494:RNY917516 RXU917494:RXU917516 SHQ917494:SHQ917516 SRM917494:SRM917516 TBI917494:TBI917516 TLE917494:TLE917516 TVA917494:TVA917516 UEW917494:UEW917516 UOS917494:UOS917516 UYO917494:UYO917516 VIK917494:VIK917516 VSG917494:VSG917516 WCC917494:WCC917516 WLY917494:WLY917516 WVU917494:WVU917516 M983030:M983052 JI983030:JI983052 TE983030:TE983052 ADA983030:ADA983052 AMW983030:AMW983052 AWS983030:AWS983052 BGO983030:BGO983052 BQK983030:BQK983052 CAG983030:CAG983052 CKC983030:CKC983052 CTY983030:CTY983052 DDU983030:DDU983052 DNQ983030:DNQ983052 DXM983030:DXM983052 EHI983030:EHI983052 ERE983030:ERE983052 FBA983030:FBA983052 FKW983030:FKW983052 FUS983030:FUS983052 GEO983030:GEO983052 GOK983030:GOK983052 GYG983030:GYG983052 HIC983030:HIC983052 HRY983030:HRY983052 IBU983030:IBU983052 ILQ983030:ILQ983052 IVM983030:IVM983052 JFI983030:JFI983052 JPE983030:JPE983052 JZA983030:JZA983052 KIW983030:KIW983052 KSS983030:KSS983052 LCO983030:LCO983052 LMK983030:LMK983052 LWG983030:LWG983052 MGC983030:MGC983052 MPY983030:MPY983052 MZU983030:MZU983052 NJQ983030:NJQ983052 NTM983030:NTM983052 ODI983030:ODI983052 ONE983030:ONE983052 OXA983030:OXA983052 PGW983030:PGW983052 PQS983030:PQS983052 QAO983030:QAO983052 QKK983030:QKK983052 QUG983030:QUG983052 REC983030:REC983052 RNY983030:RNY983052 RXU983030:RXU983052 SHQ983030:SHQ983052 SRM983030:SRM983052 TBI983030:TBI983052 TLE983030:TLE983052 TVA983030:TVA983052 UEW983030:UEW983052 UOS983030:UOS983052 UYO983030:UYO983052 VIK983030:VIK983052 VSG983030:VSG983052 WCC983030:WCC983052 WLY983030:WLY983052 F983030:I983052 F917494:I917516 F851958:I851980 F786422:I786444 F720886:I720908 F655350:I655372 F589814:I589836 F524278:I524300 F458742:I458764 F393206:I393228 F327670:I327692 F262134:I262156 F196598:I196620 F131062:I131084 F65526:I65548" xr:uid="{4570020C-069C-4226-9EE1-078DAB42C84A}">
      <formula1>0</formula1>
    </dataValidation>
    <dataValidation type="decimal" operator="greaterThanOrEqual" allowBlank="1" showInputMessage="1" showErrorMessage="1" errorTitle="Negatief bedrag" error="Gelieve een positieve waarde in te geven" sqref="C20:C43 C53:C76" xr:uid="{C71CA08F-53D2-477D-A148-606AB1840A6C}">
      <formula1>0</formula1>
    </dataValidation>
  </dataValidations>
  <pageMargins left="0.74803149606299213" right="0.74803149606299213" top="0.98425196850393704" bottom="0.98425196850393704" header="0.51181102362204722" footer="0.51181102362204722"/>
  <pageSetup paperSize="8" scale="43" fitToWidth="2"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 id="{B13F9955-C5D1-40CE-A80B-4E78DDC79F1A}">
            <xm:f>TITELBLAD!$F$16="ex-ante"</xm:f>
            <x14:dxf>
              <fill>
                <patternFill patternType="lightUp"/>
              </fill>
            </x14:dxf>
          </x14:cfRule>
          <xm:sqref>A50:E79 G50:I79</xm:sqref>
        </x14:conditionalFormatting>
        <x14:conditionalFormatting xmlns:xm="http://schemas.microsoft.com/office/excel/2006/main">
          <x14:cfRule type="expression" priority="1" id="{B6111ED7-4992-4CC1-BBAF-8BB0E111EA66}">
            <xm:f>TITELBLAD!$F$16="ex-ante"</xm:f>
            <x14:dxf>
              <fill>
                <patternFill patternType="lightUp"/>
              </fill>
            </x14:dxf>
          </x14:cfRule>
          <xm:sqref>F50:F79</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B532E-8DC4-4063-A997-64A40902B99C}">
  <dimension ref="A1:M79"/>
  <sheetViews>
    <sheetView zoomScale="80" zoomScaleNormal="80" workbookViewId="0">
      <selection activeCell="C27" sqref="C27"/>
    </sheetView>
  </sheetViews>
  <sheetFormatPr defaultColWidth="9.1796875" defaultRowHeight="12.5" x14ac:dyDescent="0.25"/>
  <cols>
    <col min="1" max="1" width="47.54296875" style="167" customWidth="1"/>
    <col min="2" max="2" width="29.54296875" style="167" customWidth="1"/>
    <col min="3" max="16" width="31" style="167" customWidth="1"/>
    <col min="17" max="17" width="8.81640625" style="167" customWidth="1"/>
    <col min="18" max="44" width="9.1796875" style="167" customWidth="1"/>
    <col min="45" max="258" width="9.1796875" style="167"/>
    <col min="259" max="259" width="47.54296875" style="167" customWidth="1"/>
    <col min="260" max="260" width="29.54296875" style="167" customWidth="1"/>
    <col min="261" max="272" width="31" style="167" customWidth="1"/>
    <col min="273" max="273" width="8.81640625" style="167" customWidth="1"/>
    <col min="274" max="514" width="9.1796875" style="167"/>
    <col min="515" max="515" width="47.54296875" style="167" customWidth="1"/>
    <col min="516" max="516" width="29.54296875" style="167" customWidth="1"/>
    <col min="517" max="528" width="31" style="167" customWidth="1"/>
    <col min="529" max="529" width="8.81640625" style="167" customWidth="1"/>
    <col min="530" max="770" width="9.1796875" style="167"/>
    <col min="771" max="771" width="47.54296875" style="167" customWidth="1"/>
    <col min="772" max="772" width="29.54296875" style="167" customWidth="1"/>
    <col min="773" max="784" width="31" style="167" customWidth="1"/>
    <col min="785" max="785" width="8.81640625" style="167" customWidth="1"/>
    <col min="786" max="1026" width="9.1796875" style="167"/>
    <col min="1027" max="1027" width="47.54296875" style="167" customWidth="1"/>
    <col min="1028" max="1028" width="29.54296875" style="167" customWidth="1"/>
    <col min="1029" max="1040" width="31" style="167" customWidth="1"/>
    <col min="1041" max="1041" width="8.81640625" style="167" customWidth="1"/>
    <col min="1042" max="1282" width="9.1796875" style="167"/>
    <col min="1283" max="1283" width="47.54296875" style="167" customWidth="1"/>
    <col min="1284" max="1284" width="29.54296875" style="167" customWidth="1"/>
    <col min="1285" max="1296" width="31" style="167" customWidth="1"/>
    <col min="1297" max="1297" width="8.81640625" style="167" customWidth="1"/>
    <col min="1298" max="1538" width="9.1796875" style="167"/>
    <col min="1539" max="1539" width="47.54296875" style="167" customWidth="1"/>
    <col min="1540" max="1540" width="29.54296875" style="167" customWidth="1"/>
    <col min="1541" max="1552" width="31" style="167" customWidth="1"/>
    <col min="1553" max="1553" width="8.81640625" style="167" customWidth="1"/>
    <col min="1554" max="1794" width="9.1796875" style="167"/>
    <col min="1795" max="1795" width="47.54296875" style="167" customWidth="1"/>
    <col min="1796" max="1796" width="29.54296875" style="167" customWidth="1"/>
    <col min="1797" max="1808" width="31" style="167" customWidth="1"/>
    <col min="1809" max="1809" width="8.81640625" style="167" customWidth="1"/>
    <col min="1810" max="2050" width="9.1796875" style="167"/>
    <col min="2051" max="2051" width="47.54296875" style="167" customWidth="1"/>
    <col min="2052" max="2052" width="29.54296875" style="167" customWidth="1"/>
    <col min="2053" max="2064" width="31" style="167" customWidth="1"/>
    <col min="2065" max="2065" width="8.81640625" style="167" customWidth="1"/>
    <col min="2066" max="2306" width="9.1796875" style="167"/>
    <col min="2307" max="2307" width="47.54296875" style="167" customWidth="1"/>
    <col min="2308" max="2308" width="29.54296875" style="167" customWidth="1"/>
    <col min="2309" max="2320" width="31" style="167" customWidth="1"/>
    <col min="2321" max="2321" width="8.81640625" style="167" customWidth="1"/>
    <col min="2322" max="2562" width="9.1796875" style="167"/>
    <col min="2563" max="2563" width="47.54296875" style="167" customWidth="1"/>
    <col min="2564" max="2564" width="29.54296875" style="167" customWidth="1"/>
    <col min="2565" max="2576" width="31" style="167" customWidth="1"/>
    <col min="2577" max="2577" width="8.81640625" style="167" customWidth="1"/>
    <col min="2578" max="2818" width="9.1796875" style="167"/>
    <col min="2819" max="2819" width="47.54296875" style="167" customWidth="1"/>
    <col min="2820" max="2820" width="29.54296875" style="167" customWidth="1"/>
    <col min="2821" max="2832" width="31" style="167" customWidth="1"/>
    <col min="2833" max="2833" width="8.81640625" style="167" customWidth="1"/>
    <col min="2834" max="3074" width="9.1796875" style="167"/>
    <col min="3075" max="3075" width="47.54296875" style="167" customWidth="1"/>
    <col min="3076" max="3076" width="29.54296875" style="167" customWidth="1"/>
    <col min="3077" max="3088" width="31" style="167" customWidth="1"/>
    <col min="3089" max="3089" width="8.81640625" style="167" customWidth="1"/>
    <col min="3090" max="3330" width="9.1796875" style="167"/>
    <col min="3331" max="3331" width="47.54296875" style="167" customWidth="1"/>
    <col min="3332" max="3332" width="29.54296875" style="167" customWidth="1"/>
    <col min="3333" max="3344" width="31" style="167" customWidth="1"/>
    <col min="3345" max="3345" width="8.81640625" style="167" customWidth="1"/>
    <col min="3346" max="3586" width="9.1796875" style="167"/>
    <col min="3587" max="3587" width="47.54296875" style="167" customWidth="1"/>
    <col min="3588" max="3588" width="29.54296875" style="167" customWidth="1"/>
    <col min="3589" max="3600" width="31" style="167" customWidth="1"/>
    <col min="3601" max="3601" width="8.81640625" style="167" customWidth="1"/>
    <col min="3602" max="3842" width="9.1796875" style="167"/>
    <col min="3843" max="3843" width="47.54296875" style="167" customWidth="1"/>
    <col min="3844" max="3844" width="29.54296875" style="167" customWidth="1"/>
    <col min="3845" max="3856" width="31" style="167" customWidth="1"/>
    <col min="3857" max="3857" width="8.81640625" style="167" customWidth="1"/>
    <col min="3858" max="4098" width="9.1796875" style="167"/>
    <col min="4099" max="4099" width="47.54296875" style="167" customWidth="1"/>
    <col min="4100" max="4100" width="29.54296875" style="167" customWidth="1"/>
    <col min="4101" max="4112" width="31" style="167" customWidth="1"/>
    <col min="4113" max="4113" width="8.81640625" style="167" customWidth="1"/>
    <col min="4114" max="4354" width="9.1796875" style="167"/>
    <col min="4355" max="4355" width="47.54296875" style="167" customWidth="1"/>
    <col min="4356" max="4356" width="29.54296875" style="167" customWidth="1"/>
    <col min="4357" max="4368" width="31" style="167" customWidth="1"/>
    <col min="4369" max="4369" width="8.81640625" style="167" customWidth="1"/>
    <col min="4370" max="4610" width="9.1796875" style="167"/>
    <col min="4611" max="4611" width="47.54296875" style="167" customWidth="1"/>
    <col min="4612" max="4612" width="29.54296875" style="167" customWidth="1"/>
    <col min="4613" max="4624" width="31" style="167" customWidth="1"/>
    <col min="4625" max="4625" width="8.81640625" style="167" customWidth="1"/>
    <col min="4626" max="4866" width="9.1796875" style="167"/>
    <col min="4867" max="4867" width="47.54296875" style="167" customWidth="1"/>
    <col min="4868" max="4868" width="29.54296875" style="167" customWidth="1"/>
    <col min="4869" max="4880" width="31" style="167" customWidth="1"/>
    <col min="4881" max="4881" width="8.81640625" style="167" customWidth="1"/>
    <col min="4882" max="5122" width="9.1796875" style="167"/>
    <col min="5123" max="5123" width="47.54296875" style="167" customWidth="1"/>
    <col min="5124" max="5124" width="29.54296875" style="167" customWidth="1"/>
    <col min="5125" max="5136" width="31" style="167" customWidth="1"/>
    <col min="5137" max="5137" width="8.81640625" style="167" customWidth="1"/>
    <col min="5138" max="5378" width="9.1796875" style="167"/>
    <col min="5379" max="5379" width="47.54296875" style="167" customWidth="1"/>
    <col min="5380" max="5380" width="29.54296875" style="167" customWidth="1"/>
    <col min="5381" max="5392" width="31" style="167" customWidth="1"/>
    <col min="5393" max="5393" width="8.81640625" style="167" customWidth="1"/>
    <col min="5394" max="5634" width="9.1796875" style="167"/>
    <col min="5635" max="5635" width="47.54296875" style="167" customWidth="1"/>
    <col min="5636" max="5636" width="29.54296875" style="167" customWidth="1"/>
    <col min="5637" max="5648" width="31" style="167" customWidth="1"/>
    <col min="5649" max="5649" width="8.81640625" style="167" customWidth="1"/>
    <col min="5650" max="5890" width="9.1796875" style="167"/>
    <col min="5891" max="5891" width="47.54296875" style="167" customWidth="1"/>
    <col min="5892" max="5892" width="29.54296875" style="167" customWidth="1"/>
    <col min="5893" max="5904" width="31" style="167" customWidth="1"/>
    <col min="5905" max="5905" width="8.81640625" style="167" customWidth="1"/>
    <col min="5906" max="6146" width="9.1796875" style="167"/>
    <col min="6147" max="6147" width="47.54296875" style="167" customWidth="1"/>
    <col min="6148" max="6148" width="29.54296875" style="167" customWidth="1"/>
    <col min="6149" max="6160" width="31" style="167" customWidth="1"/>
    <col min="6161" max="6161" width="8.81640625" style="167" customWidth="1"/>
    <col min="6162" max="6402" width="9.1796875" style="167"/>
    <col min="6403" max="6403" width="47.54296875" style="167" customWidth="1"/>
    <col min="6404" max="6404" width="29.54296875" style="167" customWidth="1"/>
    <col min="6405" max="6416" width="31" style="167" customWidth="1"/>
    <col min="6417" max="6417" width="8.81640625" style="167" customWidth="1"/>
    <col min="6418" max="6658" width="9.1796875" style="167"/>
    <col min="6659" max="6659" width="47.54296875" style="167" customWidth="1"/>
    <col min="6660" max="6660" width="29.54296875" style="167" customWidth="1"/>
    <col min="6661" max="6672" width="31" style="167" customWidth="1"/>
    <col min="6673" max="6673" width="8.81640625" style="167" customWidth="1"/>
    <col min="6674" max="6914" width="9.1796875" style="167"/>
    <col min="6915" max="6915" width="47.54296875" style="167" customWidth="1"/>
    <col min="6916" max="6916" width="29.54296875" style="167" customWidth="1"/>
    <col min="6917" max="6928" width="31" style="167" customWidth="1"/>
    <col min="6929" max="6929" width="8.81640625" style="167" customWidth="1"/>
    <col min="6930" max="7170" width="9.1796875" style="167"/>
    <col min="7171" max="7171" width="47.54296875" style="167" customWidth="1"/>
    <col min="7172" max="7172" width="29.54296875" style="167" customWidth="1"/>
    <col min="7173" max="7184" width="31" style="167" customWidth="1"/>
    <col min="7185" max="7185" width="8.81640625" style="167" customWidth="1"/>
    <col min="7186" max="7426" width="9.1796875" style="167"/>
    <col min="7427" max="7427" width="47.54296875" style="167" customWidth="1"/>
    <col min="7428" max="7428" width="29.54296875" style="167" customWidth="1"/>
    <col min="7429" max="7440" width="31" style="167" customWidth="1"/>
    <col min="7441" max="7441" width="8.81640625" style="167" customWidth="1"/>
    <col min="7442" max="7682" width="9.1796875" style="167"/>
    <col min="7683" max="7683" width="47.54296875" style="167" customWidth="1"/>
    <col min="7684" max="7684" width="29.54296875" style="167" customWidth="1"/>
    <col min="7685" max="7696" width="31" style="167" customWidth="1"/>
    <col min="7697" max="7697" width="8.81640625" style="167" customWidth="1"/>
    <col min="7698" max="7938" width="9.1796875" style="167"/>
    <col min="7939" max="7939" width="47.54296875" style="167" customWidth="1"/>
    <col min="7940" max="7940" width="29.54296875" style="167" customWidth="1"/>
    <col min="7941" max="7952" width="31" style="167" customWidth="1"/>
    <col min="7953" max="7953" width="8.81640625" style="167" customWidth="1"/>
    <col min="7954" max="8194" width="9.1796875" style="167"/>
    <col min="8195" max="8195" width="47.54296875" style="167" customWidth="1"/>
    <col min="8196" max="8196" width="29.54296875" style="167" customWidth="1"/>
    <col min="8197" max="8208" width="31" style="167" customWidth="1"/>
    <col min="8209" max="8209" width="8.81640625" style="167" customWidth="1"/>
    <col min="8210" max="8450" width="9.1796875" style="167"/>
    <col min="8451" max="8451" width="47.54296875" style="167" customWidth="1"/>
    <col min="8452" max="8452" width="29.54296875" style="167" customWidth="1"/>
    <col min="8453" max="8464" width="31" style="167" customWidth="1"/>
    <col min="8465" max="8465" width="8.81640625" style="167" customWidth="1"/>
    <col min="8466" max="8706" width="9.1796875" style="167"/>
    <col min="8707" max="8707" width="47.54296875" style="167" customWidth="1"/>
    <col min="8708" max="8708" width="29.54296875" style="167" customWidth="1"/>
    <col min="8709" max="8720" width="31" style="167" customWidth="1"/>
    <col min="8721" max="8721" width="8.81640625" style="167" customWidth="1"/>
    <col min="8722" max="8962" width="9.1796875" style="167"/>
    <col min="8963" max="8963" width="47.54296875" style="167" customWidth="1"/>
    <col min="8964" max="8964" width="29.54296875" style="167" customWidth="1"/>
    <col min="8965" max="8976" width="31" style="167" customWidth="1"/>
    <col min="8977" max="8977" width="8.81640625" style="167" customWidth="1"/>
    <col min="8978" max="9218" width="9.1796875" style="167"/>
    <col min="9219" max="9219" width="47.54296875" style="167" customWidth="1"/>
    <col min="9220" max="9220" width="29.54296875" style="167" customWidth="1"/>
    <col min="9221" max="9232" width="31" style="167" customWidth="1"/>
    <col min="9233" max="9233" width="8.81640625" style="167" customWidth="1"/>
    <col min="9234" max="9474" width="9.1796875" style="167"/>
    <col min="9475" max="9475" width="47.54296875" style="167" customWidth="1"/>
    <col min="9476" max="9476" width="29.54296875" style="167" customWidth="1"/>
    <col min="9477" max="9488" width="31" style="167" customWidth="1"/>
    <col min="9489" max="9489" width="8.81640625" style="167" customWidth="1"/>
    <col min="9490" max="9730" width="9.1796875" style="167"/>
    <col min="9731" max="9731" width="47.54296875" style="167" customWidth="1"/>
    <col min="9732" max="9732" width="29.54296875" style="167" customWidth="1"/>
    <col min="9733" max="9744" width="31" style="167" customWidth="1"/>
    <col min="9745" max="9745" width="8.81640625" style="167" customWidth="1"/>
    <col min="9746" max="9986" width="9.1796875" style="167"/>
    <col min="9987" max="9987" width="47.54296875" style="167" customWidth="1"/>
    <col min="9988" max="9988" width="29.54296875" style="167" customWidth="1"/>
    <col min="9989" max="10000" width="31" style="167" customWidth="1"/>
    <col min="10001" max="10001" width="8.81640625" style="167" customWidth="1"/>
    <col min="10002" max="10242" width="9.1796875" style="167"/>
    <col min="10243" max="10243" width="47.54296875" style="167" customWidth="1"/>
    <col min="10244" max="10244" width="29.54296875" style="167" customWidth="1"/>
    <col min="10245" max="10256" width="31" style="167" customWidth="1"/>
    <col min="10257" max="10257" width="8.81640625" style="167" customWidth="1"/>
    <col min="10258" max="10498" width="9.1796875" style="167"/>
    <col min="10499" max="10499" width="47.54296875" style="167" customWidth="1"/>
    <col min="10500" max="10500" width="29.54296875" style="167" customWidth="1"/>
    <col min="10501" max="10512" width="31" style="167" customWidth="1"/>
    <col min="10513" max="10513" width="8.81640625" style="167" customWidth="1"/>
    <col min="10514" max="10754" width="9.1796875" style="167"/>
    <col min="10755" max="10755" width="47.54296875" style="167" customWidth="1"/>
    <col min="10756" max="10756" width="29.54296875" style="167" customWidth="1"/>
    <col min="10757" max="10768" width="31" style="167" customWidth="1"/>
    <col min="10769" max="10769" width="8.81640625" style="167" customWidth="1"/>
    <col min="10770" max="11010" width="9.1796875" style="167"/>
    <col min="11011" max="11011" width="47.54296875" style="167" customWidth="1"/>
    <col min="11012" max="11012" width="29.54296875" style="167" customWidth="1"/>
    <col min="11013" max="11024" width="31" style="167" customWidth="1"/>
    <col min="11025" max="11025" width="8.81640625" style="167" customWidth="1"/>
    <col min="11026" max="11266" width="9.1796875" style="167"/>
    <col min="11267" max="11267" width="47.54296875" style="167" customWidth="1"/>
    <col min="11268" max="11268" width="29.54296875" style="167" customWidth="1"/>
    <col min="11269" max="11280" width="31" style="167" customWidth="1"/>
    <col min="11281" max="11281" width="8.81640625" style="167" customWidth="1"/>
    <col min="11282" max="11522" width="9.1796875" style="167"/>
    <col min="11523" max="11523" width="47.54296875" style="167" customWidth="1"/>
    <col min="11524" max="11524" width="29.54296875" style="167" customWidth="1"/>
    <col min="11525" max="11536" width="31" style="167" customWidth="1"/>
    <col min="11537" max="11537" width="8.81640625" style="167" customWidth="1"/>
    <col min="11538" max="11778" width="9.1796875" style="167"/>
    <col min="11779" max="11779" width="47.54296875" style="167" customWidth="1"/>
    <col min="11780" max="11780" width="29.54296875" style="167" customWidth="1"/>
    <col min="11781" max="11792" width="31" style="167" customWidth="1"/>
    <col min="11793" max="11793" width="8.81640625" style="167" customWidth="1"/>
    <col min="11794" max="12034" width="9.1796875" style="167"/>
    <col min="12035" max="12035" width="47.54296875" style="167" customWidth="1"/>
    <col min="12036" max="12036" width="29.54296875" style="167" customWidth="1"/>
    <col min="12037" max="12048" width="31" style="167" customWidth="1"/>
    <col min="12049" max="12049" width="8.81640625" style="167" customWidth="1"/>
    <col min="12050" max="12290" width="9.1796875" style="167"/>
    <col min="12291" max="12291" width="47.54296875" style="167" customWidth="1"/>
    <col min="12292" max="12292" width="29.54296875" style="167" customWidth="1"/>
    <col min="12293" max="12304" width="31" style="167" customWidth="1"/>
    <col min="12305" max="12305" width="8.81640625" style="167" customWidth="1"/>
    <col min="12306" max="12546" width="9.1796875" style="167"/>
    <col min="12547" max="12547" width="47.54296875" style="167" customWidth="1"/>
    <col min="12548" max="12548" width="29.54296875" style="167" customWidth="1"/>
    <col min="12549" max="12560" width="31" style="167" customWidth="1"/>
    <col min="12561" max="12561" width="8.81640625" style="167" customWidth="1"/>
    <col min="12562" max="12802" width="9.1796875" style="167"/>
    <col min="12803" max="12803" width="47.54296875" style="167" customWidth="1"/>
    <col min="12804" max="12804" width="29.54296875" style="167" customWidth="1"/>
    <col min="12805" max="12816" width="31" style="167" customWidth="1"/>
    <col min="12817" max="12817" width="8.81640625" style="167" customWidth="1"/>
    <col min="12818" max="13058" width="9.1796875" style="167"/>
    <col min="13059" max="13059" width="47.54296875" style="167" customWidth="1"/>
    <col min="13060" max="13060" width="29.54296875" style="167" customWidth="1"/>
    <col min="13061" max="13072" width="31" style="167" customWidth="1"/>
    <col min="13073" max="13073" width="8.81640625" style="167" customWidth="1"/>
    <col min="13074" max="13314" width="9.1796875" style="167"/>
    <col min="13315" max="13315" width="47.54296875" style="167" customWidth="1"/>
    <col min="13316" max="13316" width="29.54296875" style="167" customWidth="1"/>
    <col min="13317" max="13328" width="31" style="167" customWidth="1"/>
    <col min="13329" max="13329" width="8.81640625" style="167" customWidth="1"/>
    <col min="13330" max="13570" width="9.1796875" style="167"/>
    <col min="13571" max="13571" width="47.54296875" style="167" customWidth="1"/>
    <col min="13572" max="13572" width="29.54296875" style="167" customWidth="1"/>
    <col min="13573" max="13584" width="31" style="167" customWidth="1"/>
    <col min="13585" max="13585" width="8.81640625" style="167" customWidth="1"/>
    <col min="13586" max="13826" width="9.1796875" style="167"/>
    <col min="13827" max="13827" width="47.54296875" style="167" customWidth="1"/>
    <col min="13828" max="13828" width="29.54296875" style="167" customWidth="1"/>
    <col min="13829" max="13840" width="31" style="167" customWidth="1"/>
    <col min="13841" max="13841" width="8.81640625" style="167" customWidth="1"/>
    <col min="13842" max="14082" width="9.1796875" style="167"/>
    <col min="14083" max="14083" width="47.54296875" style="167" customWidth="1"/>
    <col min="14084" max="14084" width="29.54296875" style="167" customWidth="1"/>
    <col min="14085" max="14096" width="31" style="167" customWidth="1"/>
    <col min="14097" max="14097" width="8.81640625" style="167" customWidth="1"/>
    <col min="14098" max="14338" width="9.1796875" style="167"/>
    <col min="14339" max="14339" width="47.54296875" style="167" customWidth="1"/>
    <col min="14340" max="14340" width="29.54296875" style="167" customWidth="1"/>
    <col min="14341" max="14352" width="31" style="167" customWidth="1"/>
    <col min="14353" max="14353" width="8.81640625" style="167" customWidth="1"/>
    <col min="14354" max="14594" width="9.1796875" style="167"/>
    <col min="14595" max="14595" width="47.54296875" style="167" customWidth="1"/>
    <col min="14596" max="14596" width="29.54296875" style="167" customWidth="1"/>
    <col min="14597" max="14608" width="31" style="167" customWidth="1"/>
    <col min="14609" max="14609" width="8.81640625" style="167" customWidth="1"/>
    <col min="14610" max="14850" width="9.1796875" style="167"/>
    <col min="14851" max="14851" width="47.54296875" style="167" customWidth="1"/>
    <col min="14852" max="14852" width="29.54296875" style="167" customWidth="1"/>
    <col min="14853" max="14864" width="31" style="167" customWidth="1"/>
    <col min="14865" max="14865" width="8.81640625" style="167" customWidth="1"/>
    <col min="14866" max="15106" width="9.1796875" style="167"/>
    <col min="15107" max="15107" width="47.54296875" style="167" customWidth="1"/>
    <col min="15108" max="15108" width="29.54296875" style="167" customWidth="1"/>
    <col min="15109" max="15120" width="31" style="167" customWidth="1"/>
    <col min="15121" max="15121" width="8.81640625" style="167" customWidth="1"/>
    <col min="15122" max="15362" width="9.1796875" style="167"/>
    <col min="15363" max="15363" width="47.54296875" style="167" customWidth="1"/>
    <col min="15364" max="15364" width="29.54296875" style="167" customWidth="1"/>
    <col min="15365" max="15376" width="31" style="167" customWidth="1"/>
    <col min="15377" max="15377" width="8.81640625" style="167" customWidth="1"/>
    <col min="15378" max="15618" width="9.1796875" style="167"/>
    <col min="15619" max="15619" width="47.54296875" style="167" customWidth="1"/>
    <col min="15620" max="15620" width="29.54296875" style="167" customWidth="1"/>
    <col min="15621" max="15632" width="31" style="167" customWidth="1"/>
    <col min="15633" max="15633" width="8.81640625" style="167" customWidth="1"/>
    <col min="15634" max="15874" width="9.1796875" style="167"/>
    <col min="15875" max="15875" width="47.54296875" style="167" customWidth="1"/>
    <col min="15876" max="15876" width="29.54296875" style="167" customWidth="1"/>
    <col min="15877" max="15888" width="31" style="167" customWidth="1"/>
    <col min="15889" max="15889" width="8.81640625" style="167" customWidth="1"/>
    <col min="15890" max="16130" width="9.1796875" style="167"/>
    <col min="16131" max="16131" width="47.54296875" style="167" customWidth="1"/>
    <col min="16132" max="16132" width="29.54296875" style="167" customWidth="1"/>
    <col min="16133" max="16144" width="31" style="167" customWidth="1"/>
    <col min="16145" max="16145" width="8.81640625" style="167" customWidth="1"/>
    <col min="16146" max="16384" width="9.1796875" style="167"/>
  </cols>
  <sheetData>
    <row r="1" spans="1:13" ht="20.149999999999999" customHeight="1" thickBot="1" x14ac:dyDescent="0.3">
      <c r="A1" s="1348" t="s">
        <v>437</v>
      </c>
      <c r="B1" s="1349"/>
      <c r="C1" s="1349"/>
      <c r="D1" s="1349"/>
      <c r="E1" s="1349"/>
      <c r="F1" s="1349"/>
      <c r="G1" s="1349"/>
      <c r="H1" s="1349"/>
      <c r="I1" s="1350"/>
      <c r="J1" s="209" t="str">
        <f>+TITELBLAD!C10</f>
        <v>elektriciteit</v>
      </c>
      <c r="K1" s="296"/>
      <c r="L1" s="296"/>
      <c r="M1" s="296"/>
    </row>
    <row r="2" spans="1:13" x14ac:dyDescent="0.25">
      <c r="I2" s="296"/>
      <c r="J2" s="296"/>
      <c r="K2" s="296"/>
      <c r="L2" s="296"/>
      <c r="M2" s="296"/>
    </row>
    <row r="3" spans="1:13" ht="13" x14ac:dyDescent="0.25">
      <c r="B3" s="296"/>
      <c r="C3" s="1063" t="s">
        <v>346</v>
      </c>
      <c r="D3" s="1063" t="s">
        <v>347</v>
      </c>
      <c r="I3" s="296"/>
      <c r="J3" s="296"/>
      <c r="K3" s="296"/>
      <c r="L3" s="296"/>
      <c r="M3" s="296"/>
    </row>
    <row r="4" spans="1:13" ht="13" x14ac:dyDescent="0.25">
      <c r="A4" s="358" t="s">
        <v>440</v>
      </c>
      <c r="B4" s="1080">
        <f>+TITELBLAD!E16</f>
        <v>2021</v>
      </c>
      <c r="C4" s="1081">
        <f>-G45</f>
        <v>0</v>
      </c>
      <c r="D4" s="1081">
        <f>-G78</f>
        <v>0</v>
      </c>
      <c r="E4" s="1082"/>
      <c r="I4" s="296"/>
      <c r="J4" s="296"/>
      <c r="K4" s="296"/>
      <c r="L4" s="296"/>
      <c r="M4" s="296"/>
    </row>
    <row r="5" spans="1:13" x14ac:dyDescent="0.25">
      <c r="D5" s="1082"/>
      <c r="E5" s="1082"/>
      <c r="I5" s="296"/>
      <c r="J5" s="296"/>
      <c r="K5" s="296"/>
      <c r="L5" s="296"/>
      <c r="M5" s="296"/>
    </row>
    <row r="6" spans="1:13" x14ac:dyDescent="0.25">
      <c r="I6" s="296"/>
      <c r="J6" s="296"/>
      <c r="K6" s="296"/>
      <c r="L6" s="296"/>
      <c r="M6" s="296"/>
    </row>
    <row r="7" spans="1:13" x14ac:dyDescent="0.25">
      <c r="I7" s="296"/>
      <c r="J7" s="296"/>
      <c r="K7" s="296"/>
      <c r="L7" s="296"/>
      <c r="M7" s="296"/>
    </row>
    <row r="8" spans="1:13" ht="13" x14ac:dyDescent="0.25">
      <c r="A8" s="358" t="s">
        <v>345</v>
      </c>
      <c r="I8" s="296"/>
      <c r="J8" s="296"/>
      <c r="K8" s="296"/>
      <c r="L8" s="296"/>
      <c r="M8" s="296"/>
    </row>
    <row r="9" spans="1:13" ht="13" x14ac:dyDescent="0.25">
      <c r="A9" s="224" t="s">
        <v>309</v>
      </c>
      <c r="I9" s="296"/>
      <c r="J9" s="296"/>
      <c r="K9" s="296"/>
      <c r="L9" s="296"/>
      <c r="M9" s="296"/>
    </row>
    <row r="10" spans="1:13" ht="13" x14ac:dyDescent="0.25">
      <c r="A10" s="1083" t="s">
        <v>310</v>
      </c>
      <c r="I10" s="296"/>
      <c r="J10" s="296"/>
      <c r="K10" s="296"/>
      <c r="L10" s="296"/>
      <c r="M10" s="296"/>
    </row>
    <row r="11" spans="1:13" ht="13" x14ac:dyDescent="0.25">
      <c r="A11" s="1083" t="s">
        <v>311</v>
      </c>
      <c r="I11" s="296"/>
      <c r="J11" s="296"/>
      <c r="K11" s="296"/>
      <c r="L11" s="296"/>
      <c r="M11" s="296"/>
    </row>
    <row r="12" spans="1:13" ht="13" x14ac:dyDescent="0.25">
      <c r="A12" s="1083"/>
      <c r="I12" s="296"/>
      <c r="J12" s="296"/>
      <c r="K12" s="296"/>
      <c r="L12" s="296"/>
      <c r="M12" s="296"/>
    </row>
    <row r="13" spans="1:13" ht="13" x14ac:dyDescent="0.25">
      <c r="A13" s="1113" t="s">
        <v>427</v>
      </c>
      <c r="I13" s="296"/>
      <c r="J13" s="296"/>
      <c r="K13" s="296"/>
      <c r="L13" s="296"/>
      <c r="M13" s="296"/>
    </row>
    <row r="14" spans="1:13" ht="35.5" customHeight="1" x14ac:dyDescent="0.25">
      <c r="A14" s="1359" t="s">
        <v>428</v>
      </c>
      <c r="B14" s="1359"/>
      <c r="C14" s="1359"/>
      <c r="I14" s="296"/>
      <c r="J14" s="296"/>
      <c r="K14" s="296"/>
      <c r="L14" s="296"/>
      <c r="M14" s="296"/>
    </row>
    <row r="15" spans="1:13" ht="13" x14ac:dyDescent="0.25">
      <c r="A15" s="1083"/>
      <c r="I15" s="296"/>
      <c r="J15" s="296"/>
      <c r="K15" s="296"/>
      <c r="L15" s="296"/>
      <c r="M15" s="296"/>
    </row>
    <row r="16" spans="1:13" ht="13.5" thickBot="1" x14ac:dyDescent="0.3">
      <c r="A16" s="1083"/>
    </row>
    <row r="17" spans="1:9" ht="18" customHeight="1" thickBot="1" x14ac:dyDescent="0.3">
      <c r="A17" s="1355" t="str">
        <f>"BUDGET "&amp;B4</f>
        <v>BUDGET 2021</v>
      </c>
      <c r="B17" s="1356"/>
      <c r="C17" s="1356"/>
      <c r="D17" s="1356"/>
      <c r="E17" s="1356"/>
      <c r="F17" s="1356"/>
      <c r="G17" s="1356"/>
      <c r="H17" s="1356"/>
      <c r="I17" s="1357"/>
    </row>
    <row r="18" spans="1:9" ht="58.5" customHeight="1" x14ac:dyDescent="0.25">
      <c r="A18" s="1084" t="s">
        <v>312</v>
      </c>
      <c r="B18" s="1085" t="s">
        <v>343</v>
      </c>
      <c r="C18" s="1086" t="str">
        <f>"Oorspronkelijke meerwaarde op basis van iRAB voor activa einde boekjaar "&amp;B4-1</f>
        <v>Oorspronkelijke meerwaarde op basis van iRAB voor activa einde boekjaar 2020</v>
      </c>
      <c r="D18" s="1086" t="str">
        <f>"Gecumuleerde afschrijvingen activa einde boekjaar "&amp; B4-1</f>
        <v>Gecumuleerde afschrijvingen activa einde boekjaar 2020</v>
      </c>
      <c r="E18" s="1086" t="str">
        <f>"Nettoboekwaarde meerwaarde op basis van iRAB einde boekjaar "&amp; B4-1</f>
        <v>Nettoboekwaarde meerwaarde op basis van iRAB einde boekjaar 2020</v>
      </c>
      <c r="F18" s="1086" t="str">
        <f>"Transfers boekjaar "&amp;B4</f>
        <v>Transfers boekjaar 2021</v>
      </c>
      <c r="G18" s="1086" t="str">
        <f>"Afschrijvingen boekjaar "&amp;B4</f>
        <v>Afschrijvingen boekjaar 2021</v>
      </c>
      <c r="H18" s="1086" t="str">
        <f>"Desinvesteringen boekjaar "&amp;B4&amp;" (n.a.v. verkoop of structuurwijziging)"</f>
        <v>Desinvesteringen boekjaar 2021 (n.a.v. verkoop of structuurwijziging)</v>
      </c>
      <c r="I18" s="1086" t="str">
        <f>"Nettoboekwaarde meerwaarde op basis van iRAB einde boekjaar "&amp;B4</f>
        <v>Nettoboekwaarde meerwaarde op basis van iRAB einde boekjaar 2021</v>
      </c>
    </row>
    <row r="19" spans="1:9" ht="13.5" thickBot="1" x14ac:dyDescent="0.3">
      <c r="A19" s="1087"/>
      <c r="B19" s="1088"/>
      <c r="C19" s="1089" t="s">
        <v>4</v>
      </c>
      <c r="D19" s="1089" t="s">
        <v>8</v>
      </c>
      <c r="E19" s="1089"/>
      <c r="F19" s="1089" t="s">
        <v>4</v>
      </c>
      <c r="G19" s="1089" t="s">
        <v>8</v>
      </c>
      <c r="H19" s="1089" t="s">
        <v>8</v>
      </c>
      <c r="I19" s="1090"/>
    </row>
    <row r="20" spans="1:9" x14ac:dyDescent="0.25">
      <c r="A20" s="1091" t="s">
        <v>313</v>
      </c>
      <c r="B20" s="1352">
        <v>0.02</v>
      </c>
      <c r="C20" s="665">
        <v>0</v>
      </c>
      <c r="D20" s="665">
        <v>0</v>
      </c>
      <c r="E20" s="1092">
        <f t="shared" ref="E20:E39" si="0">+C20+D20</f>
        <v>0</v>
      </c>
      <c r="F20" s="665">
        <v>0</v>
      </c>
      <c r="G20" s="665">
        <v>0</v>
      </c>
      <c r="H20" s="665">
        <v>0</v>
      </c>
      <c r="I20" s="1093">
        <f>+SUM(E20:H20)</f>
        <v>0</v>
      </c>
    </row>
    <row r="21" spans="1:9" x14ac:dyDescent="0.25">
      <c r="A21" s="1094" t="s">
        <v>314</v>
      </c>
      <c r="B21" s="1353"/>
      <c r="C21" s="666">
        <v>0</v>
      </c>
      <c r="D21" s="666">
        <v>0</v>
      </c>
      <c r="E21" s="1095">
        <f t="shared" si="0"/>
        <v>0</v>
      </c>
      <c r="F21" s="666">
        <v>0</v>
      </c>
      <c r="G21" s="666">
        <v>0</v>
      </c>
      <c r="H21" s="666">
        <v>0</v>
      </c>
      <c r="I21" s="1096">
        <f t="shared" ref="I21:I43" si="1">+SUM(E21:H21)</f>
        <v>0</v>
      </c>
    </row>
    <row r="22" spans="1:9" x14ac:dyDescent="0.25">
      <c r="A22" s="1094" t="s">
        <v>315</v>
      </c>
      <c r="B22" s="1353"/>
      <c r="C22" s="666">
        <v>0</v>
      </c>
      <c r="D22" s="666">
        <v>0</v>
      </c>
      <c r="E22" s="1095">
        <f t="shared" si="0"/>
        <v>0</v>
      </c>
      <c r="F22" s="666">
        <v>0</v>
      </c>
      <c r="G22" s="666">
        <v>0</v>
      </c>
      <c r="H22" s="666">
        <v>0</v>
      </c>
      <c r="I22" s="1096">
        <f t="shared" si="1"/>
        <v>0</v>
      </c>
    </row>
    <row r="23" spans="1:9" x14ac:dyDescent="0.25">
      <c r="A23" s="1094" t="s">
        <v>348</v>
      </c>
      <c r="B23" s="1353"/>
      <c r="C23" s="666">
        <v>0</v>
      </c>
      <c r="D23" s="666">
        <v>0</v>
      </c>
      <c r="E23" s="1095">
        <f t="shared" si="0"/>
        <v>0</v>
      </c>
      <c r="F23" s="666">
        <v>0</v>
      </c>
      <c r="G23" s="666">
        <v>0</v>
      </c>
      <c r="H23" s="666">
        <v>0</v>
      </c>
      <c r="I23" s="1096">
        <f t="shared" si="1"/>
        <v>0</v>
      </c>
    </row>
    <row r="24" spans="1:9" x14ac:dyDescent="0.25">
      <c r="A24" s="1094" t="s">
        <v>349</v>
      </c>
      <c r="B24" s="1353"/>
      <c r="C24" s="666">
        <v>0</v>
      </c>
      <c r="D24" s="666">
        <v>0</v>
      </c>
      <c r="E24" s="1095">
        <f t="shared" si="0"/>
        <v>0</v>
      </c>
      <c r="F24" s="666">
        <v>0</v>
      </c>
      <c r="G24" s="666">
        <v>0</v>
      </c>
      <c r="H24" s="666">
        <v>0</v>
      </c>
      <c r="I24" s="1096">
        <f t="shared" si="1"/>
        <v>0</v>
      </c>
    </row>
    <row r="25" spans="1:9" x14ac:dyDescent="0.25">
      <c r="A25" s="1094" t="s">
        <v>350</v>
      </c>
      <c r="B25" s="1353"/>
      <c r="C25" s="666">
        <v>0</v>
      </c>
      <c r="D25" s="666">
        <v>0</v>
      </c>
      <c r="E25" s="1095">
        <f t="shared" si="0"/>
        <v>0</v>
      </c>
      <c r="F25" s="666">
        <v>0</v>
      </c>
      <c r="G25" s="666">
        <v>0</v>
      </c>
      <c r="H25" s="666">
        <v>0</v>
      </c>
      <c r="I25" s="1096">
        <f t="shared" si="1"/>
        <v>0</v>
      </c>
    </row>
    <row r="26" spans="1:9" x14ac:dyDescent="0.25">
      <c r="A26" s="1094" t="s">
        <v>351</v>
      </c>
      <c r="B26" s="1353"/>
      <c r="C26" s="666">
        <v>0</v>
      </c>
      <c r="D26" s="666">
        <v>0</v>
      </c>
      <c r="E26" s="1095">
        <f t="shared" si="0"/>
        <v>0</v>
      </c>
      <c r="F26" s="666">
        <v>0</v>
      </c>
      <c r="G26" s="666">
        <v>0</v>
      </c>
      <c r="H26" s="666">
        <v>0</v>
      </c>
      <c r="I26" s="1096">
        <f t="shared" si="1"/>
        <v>0</v>
      </c>
    </row>
    <row r="27" spans="1:9" x14ac:dyDescent="0.25">
      <c r="A27" s="1094" t="s">
        <v>322</v>
      </c>
      <c r="B27" s="1353"/>
      <c r="C27" s="666">
        <v>0</v>
      </c>
      <c r="D27" s="666">
        <v>0</v>
      </c>
      <c r="E27" s="1095">
        <f>+C27+D27</f>
        <v>0</v>
      </c>
      <c r="F27" s="666">
        <v>0</v>
      </c>
      <c r="G27" s="666">
        <v>0</v>
      </c>
      <c r="H27" s="666">
        <v>0</v>
      </c>
      <c r="I27" s="1096">
        <f t="shared" si="1"/>
        <v>0</v>
      </c>
    </row>
    <row r="28" spans="1:9" x14ac:dyDescent="0.25">
      <c r="A28" s="1094" t="s">
        <v>352</v>
      </c>
      <c r="B28" s="1353"/>
      <c r="C28" s="666">
        <v>0</v>
      </c>
      <c r="D28" s="666">
        <v>0</v>
      </c>
      <c r="E28" s="1095">
        <f t="shared" si="0"/>
        <v>0</v>
      </c>
      <c r="F28" s="666">
        <v>0</v>
      </c>
      <c r="G28" s="666">
        <v>0</v>
      </c>
      <c r="H28" s="666">
        <v>0</v>
      </c>
      <c r="I28" s="1096">
        <f t="shared" si="1"/>
        <v>0</v>
      </c>
    </row>
    <row r="29" spans="1:9" x14ac:dyDescent="0.25">
      <c r="A29" s="1094" t="s">
        <v>353</v>
      </c>
      <c r="B29" s="1353"/>
      <c r="C29" s="666">
        <v>0</v>
      </c>
      <c r="D29" s="666">
        <v>0</v>
      </c>
      <c r="E29" s="1095">
        <f t="shared" si="0"/>
        <v>0</v>
      </c>
      <c r="F29" s="666">
        <v>0</v>
      </c>
      <c r="G29" s="666">
        <v>0</v>
      </c>
      <c r="H29" s="666">
        <v>0</v>
      </c>
      <c r="I29" s="1096">
        <f t="shared" si="1"/>
        <v>0</v>
      </c>
    </row>
    <row r="30" spans="1:9" x14ac:dyDescent="0.25">
      <c r="A30" s="1094" t="s">
        <v>354</v>
      </c>
      <c r="B30" s="1353"/>
      <c r="C30" s="666">
        <v>0</v>
      </c>
      <c r="D30" s="666">
        <v>0</v>
      </c>
      <c r="E30" s="1095">
        <f t="shared" si="0"/>
        <v>0</v>
      </c>
      <c r="F30" s="666">
        <v>0</v>
      </c>
      <c r="G30" s="666">
        <v>0</v>
      </c>
      <c r="H30" s="666">
        <v>0</v>
      </c>
      <c r="I30" s="1096">
        <f t="shared" si="1"/>
        <v>0</v>
      </c>
    </row>
    <row r="31" spans="1:9" x14ac:dyDescent="0.25">
      <c r="A31" s="1094" t="s">
        <v>355</v>
      </c>
      <c r="B31" s="1353"/>
      <c r="C31" s="666">
        <v>0</v>
      </c>
      <c r="D31" s="666">
        <v>0</v>
      </c>
      <c r="E31" s="1095">
        <f t="shared" si="0"/>
        <v>0</v>
      </c>
      <c r="F31" s="666">
        <v>0</v>
      </c>
      <c r="G31" s="666">
        <v>0</v>
      </c>
      <c r="H31" s="666">
        <v>0</v>
      </c>
      <c r="I31" s="1096">
        <f t="shared" si="1"/>
        <v>0</v>
      </c>
    </row>
    <row r="32" spans="1:9" x14ac:dyDescent="0.25">
      <c r="A32" s="1094" t="s">
        <v>327</v>
      </c>
      <c r="B32" s="1353"/>
      <c r="C32" s="666">
        <v>0</v>
      </c>
      <c r="D32" s="666">
        <v>0</v>
      </c>
      <c r="E32" s="1095">
        <f t="shared" si="0"/>
        <v>0</v>
      </c>
      <c r="F32" s="666">
        <v>0</v>
      </c>
      <c r="G32" s="666">
        <v>0</v>
      </c>
      <c r="H32" s="666">
        <v>0</v>
      </c>
      <c r="I32" s="1096">
        <f t="shared" si="1"/>
        <v>0</v>
      </c>
    </row>
    <row r="33" spans="1:9" x14ac:dyDescent="0.25">
      <c r="A33" s="1094" t="s">
        <v>344</v>
      </c>
      <c r="B33" s="1353"/>
      <c r="C33" s="666">
        <v>0</v>
      </c>
      <c r="D33" s="666">
        <v>0</v>
      </c>
      <c r="E33" s="1095">
        <f t="shared" si="0"/>
        <v>0</v>
      </c>
      <c r="F33" s="666">
        <v>0</v>
      </c>
      <c r="G33" s="666">
        <v>0</v>
      </c>
      <c r="H33" s="666">
        <v>0</v>
      </c>
      <c r="I33" s="1096">
        <f t="shared" si="1"/>
        <v>0</v>
      </c>
    </row>
    <row r="34" spans="1:9" x14ac:dyDescent="0.25">
      <c r="A34" s="1094" t="s">
        <v>328</v>
      </c>
      <c r="B34" s="1353"/>
      <c r="C34" s="666">
        <v>0</v>
      </c>
      <c r="D34" s="666">
        <v>0</v>
      </c>
      <c r="E34" s="1095">
        <f t="shared" si="0"/>
        <v>0</v>
      </c>
      <c r="F34" s="666">
        <v>0</v>
      </c>
      <c r="G34" s="666">
        <v>0</v>
      </c>
      <c r="H34" s="666">
        <v>0</v>
      </c>
      <c r="I34" s="1096">
        <f t="shared" si="1"/>
        <v>0</v>
      </c>
    </row>
    <row r="35" spans="1:9" x14ac:dyDescent="0.25">
      <c r="A35" s="1094" t="s">
        <v>329</v>
      </c>
      <c r="B35" s="1353"/>
      <c r="C35" s="666">
        <v>0</v>
      </c>
      <c r="D35" s="666">
        <v>0</v>
      </c>
      <c r="E35" s="1095">
        <f t="shared" si="0"/>
        <v>0</v>
      </c>
      <c r="F35" s="666">
        <v>0</v>
      </c>
      <c r="G35" s="666">
        <v>0</v>
      </c>
      <c r="H35" s="666">
        <v>0</v>
      </c>
      <c r="I35" s="1096">
        <f t="shared" si="1"/>
        <v>0</v>
      </c>
    </row>
    <row r="36" spans="1:9" x14ac:dyDescent="0.25">
      <c r="A36" s="1094" t="s">
        <v>330</v>
      </c>
      <c r="B36" s="1353"/>
      <c r="C36" s="666">
        <v>0</v>
      </c>
      <c r="D36" s="666">
        <v>0</v>
      </c>
      <c r="E36" s="1095">
        <f t="shared" si="0"/>
        <v>0</v>
      </c>
      <c r="F36" s="666">
        <v>0</v>
      </c>
      <c r="G36" s="666">
        <v>0</v>
      </c>
      <c r="H36" s="666">
        <v>0</v>
      </c>
      <c r="I36" s="1096">
        <f t="shared" si="1"/>
        <v>0</v>
      </c>
    </row>
    <row r="37" spans="1:9" x14ac:dyDescent="0.25">
      <c r="A37" s="1094" t="s">
        <v>356</v>
      </c>
      <c r="B37" s="1353"/>
      <c r="C37" s="666">
        <v>0</v>
      </c>
      <c r="D37" s="666">
        <v>0</v>
      </c>
      <c r="E37" s="1095">
        <f t="shared" si="0"/>
        <v>0</v>
      </c>
      <c r="F37" s="666">
        <v>0</v>
      </c>
      <c r="G37" s="666">
        <v>0</v>
      </c>
      <c r="H37" s="666">
        <v>0</v>
      </c>
      <c r="I37" s="1096">
        <f t="shared" si="1"/>
        <v>0</v>
      </c>
    </row>
    <row r="38" spans="1:9" x14ac:dyDescent="0.25">
      <c r="A38" s="1094" t="s">
        <v>332</v>
      </c>
      <c r="B38" s="1353"/>
      <c r="C38" s="666">
        <v>0</v>
      </c>
      <c r="D38" s="666">
        <v>0</v>
      </c>
      <c r="E38" s="1095">
        <f t="shared" si="0"/>
        <v>0</v>
      </c>
      <c r="F38" s="666">
        <v>0</v>
      </c>
      <c r="G38" s="666">
        <v>0</v>
      </c>
      <c r="H38" s="666">
        <v>0</v>
      </c>
      <c r="I38" s="1096">
        <f t="shared" si="1"/>
        <v>0</v>
      </c>
    </row>
    <row r="39" spans="1:9" x14ac:dyDescent="0.25">
      <c r="A39" s="1094" t="s">
        <v>333</v>
      </c>
      <c r="B39" s="1353"/>
      <c r="C39" s="666">
        <v>0</v>
      </c>
      <c r="D39" s="666">
        <v>0</v>
      </c>
      <c r="E39" s="1095">
        <f t="shared" si="0"/>
        <v>0</v>
      </c>
      <c r="F39" s="666">
        <v>0</v>
      </c>
      <c r="G39" s="666">
        <v>0</v>
      </c>
      <c r="H39" s="666">
        <v>0</v>
      </c>
      <c r="I39" s="1096">
        <f t="shared" si="1"/>
        <v>0</v>
      </c>
    </row>
    <row r="40" spans="1:9" x14ac:dyDescent="0.25">
      <c r="A40" s="1114" t="s">
        <v>334</v>
      </c>
      <c r="B40" s="1353"/>
      <c r="C40" s="670">
        <v>0</v>
      </c>
      <c r="D40" s="670">
        <v>0</v>
      </c>
      <c r="E40" s="1115">
        <f>+C40+D40</f>
        <v>0</v>
      </c>
      <c r="F40" s="670">
        <v>0</v>
      </c>
      <c r="G40" s="670">
        <v>0</v>
      </c>
      <c r="H40" s="670">
        <v>0</v>
      </c>
      <c r="I40" s="1116">
        <f t="shared" si="1"/>
        <v>0</v>
      </c>
    </row>
    <row r="41" spans="1:9" x14ac:dyDescent="0.25">
      <c r="A41" s="1094" t="s">
        <v>336</v>
      </c>
      <c r="B41" s="1353"/>
      <c r="C41" s="670">
        <v>0</v>
      </c>
      <c r="D41" s="670">
        <v>0</v>
      </c>
      <c r="E41" s="1115">
        <f>+C41+D41</f>
        <v>0</v>
      </c>
      <c r="F41" s="670">
        <v>0</v>
      </c>
      <c r="G41" s="670">
        <v>0</v>
      </c>
      <c r="H41" s="670">
        <v>0</v>
      </c>
      <c r="I41" s="1116">
        <f t="shared" si="1"/>
        <v>0</v>
      </c>
    </row>
    <row r="42" spans="1:9" x14ac:dyDescent="0.25">
      <c r="A42" s="1114" t="s">
        <v>339</v>
      </c>
      <c r="B42" s="1353"/>
      <c r="C42" s="670">
        <v>0</v>
      </c>
      <c r="D42" s="670">
        <v>0</v>
      </c>
      <c r="E42" s="1115">
        <f>+C42+D42</f>
        <v>0</v>
      </c>
      <c r="F42" s="670">
        <v>0</v>
      </c>
      <c r="G42" s="670">
        <v>0</v>
      </c>
      <c r="H42" s="670">
        <v>0</v>
      </c>
      <c r="I42" s="1116">
        <f t="shared" si="1"/>
        <v>0</v>
      </c>
    </row>
    <row r="43" spans="1:9" ht="13" thickBot="1" x14ac:dyDescent="0.3">
      <c r="A43" s="1117" t="s">
        <v>341</v>
      </c>
      <c r="B43" s="1354"/>
      <c r="C43" s="671">
        <v>0</v>
      </c>
      <c r="D43" s="671">
        <v>0</v>
      </c>
      <c r="E43" s="1118">
        <f>+C43+D43</f>
        <v>0</v>
      </c>
      <c r="F43" s="671">
        <v>0</v>
      </c>
      <c r="G43" s="671">
        <v>0</v>
      </c>
      <c r="H43" s="671">
        <v>0</v>
      </c>
      <c r="I43" s="1119">
        <f t="shared" si="1"/>
        <v>0</v>
      </c>
    </row>
    <row r="44" spans="1:9" ht="13" x14ac:dyDescent="0.25">
      <c r="A44" s="1100"/>
      <c r="B44" s="1101"/>
      <c r="C44" s="1120"/>
      <c r="D44" s="1120"/>
      <c r="E44" s="1120"/>
      <c r="F44" s="1120"/>
      <c r="G44" s="1120"/>
      <c r="H44" s="1120"/>
      <c r="I44" s="1120"/>
    </row>
    <row r="45" spans="1:9" ht="13" x14ac:dyDescent="0.25">
      <c r="A45" s="1100" t="s">
        <v>342</v>
      </c>
      <c r="B45" s="1101"/>
      <c r="C45" s="1103">
        <f t="shared" ref="C45:I45" si="2">SUM(C20:C43)</f>
        <v>0</v>
      </c>
      <c r="D45" s="1103">
        <f t="shared" si="2"/>
        <v>0</v>
      </c>
      <c r="E45" s="1103">
        <f t="shared" si="2"/>
        <v>0</v>
      </c>
      <c r="F45" s="1103">
        <f t="shared" ref="F45" si="3">SUM(F20:F43)</f>
        <v>0</v>
      </c>
      <c r="G45" s="1103">
        <f t="shared" si="2"/>
        <v>0</v>
      </c>
      <c r="H45" s="1103">
        <f t="shared" si="2"/>
        <v>0</v>
      </c>
      <c r="I45" s="1103">
        <f t="shared" si="2"/>
        <v>0</v>
      </c>
    </row>
    <row r="46" spans="1:9" ht="13.5" thickBot="1" x14ac:dyDescent="0.3">
      <c r="A46" s="1104"/>
      <c r="B46" s="1105"/>
      <c r="C46" s="1106"/>
      <c r="D46" s="1106"/>
      <c r="E46" s="1106"/>
      <c r="F46" s="1106"/>
      <c r="G46" s="1106"/>
      <c r="H46" s="1106"/>
      <c r="I46" s="1107"/>
    </row>
    <row r="49" spans="1:9" ht="13" thickBot="1" x14ac:dyDescent="0.3"/>
    <row r="50" spans="1:9" ht="18" customHeight="1" thickBot="1" x14ac:dyDescent="0.3">
      <c r="A50" s="1355" t="str">
        <f>"REALITEIT "&amp;B4</f>
        <v>REALITEIT 2021</v>
      </c>
      <c r="B50" s="1356"/>
      <c r="C50" s="1356"/>
      <c r="D50" s="1356"/>
      <c r="E50" s="1356"/>
      <c r="F50" s="1356"/>
      <c r="G50" s="1356"/>
      <c r="H50" s="1356"/>
      <c r="I50" s="1357"/>
    </row>
    <row r="51" spans="1:9" ht="58.5" customHeight="1" x14ac:dyDescent="0.25">
      <c r="A51" s="1084" t="s">
        <v>312</v>
      </c>
      <c r="B51" s="1085" t="s">
        <v>343</v>
      </c>
      <c r="C51" s="1086" t="str">
        <f>"Oorspronkelijke meerwaarde op basis van iRAB voor activa einde boekjaar "&amp;B4-1</f>
        <v>Oorspronkelijke meerwaarde op basis van iRAB voor activa einde boekjaar 2020</v>
      </c>
      <c r="D51" s="1086" t="str">
        <f>"Gecumuleerde afschrijvingen activa einde boekjaar "&amp; B4-1</f>
        <v>Gecumuleerde afschrijvingen activa einde boekjaar 2020</v>
      </c>
      <c r="E51" s="1086" t="str">
        <f>"Nettoboekwaarde meerwaarde op basis van iRAB einde boekjaar "&amp; B4-1</f>
        <v>Nettoboekwaarde meerwaarde op basis van iRAB einde boekjaar 2020</v>
      </c>
      <c r="F51" s="1086" t="str">
        <f>"Transfers boekjaar "&amp;B4</f>
        <v>Transfers boekjaar 2021</v>
      </c>
      <c r="G51" s="1086" t="str">
        <f>"Afschrijvingen boekjaar "&amp;B4</f>
        <v>Afschrijvingen boekjaar 2021</v>
      </c>
      <c r="H51" s="1086" t="str">
        <f>"Desinvesteringen boekjaar "&amp;B4&amp;" (n.a.v. verkoop of structuurwijziging)"</f>
        <v>Desinvesteringen boekjaar 2021 (n.a.v. verkoop of structuurwijziging)</v>
      </c>
      <c r="I51" s="1086" t="str">
        <f>"Nettoboekwaarde meerwaarde op basis van iRAB einde boekjaar "&amp;B4</f>
        <v>Nettoboekwaarde meerwaarde op basis van iRAB einde boekjaar 2021</v>
      </c>
    </row>
    <row r="52" spans="1:9" ht="13.5" thickBot="1" x14ac:dyDescent="0.3">
      <c r="A52" s="1087"/>
      <c r="B52" s="1088"/>
      <c r="C52" s="1089" t="s">
        <v>4</v>
      </c>
      <c r="D52" s="1089" t="s">
        <v>8</v>
      </c>
      <c r="E52" s="1089"/>
      <c r="F52" s="1089" t="s">
        <v>4</v>
      </c>
      <c r="G52" s="1089" t="s">
        <v>8</v>
      </c>
      <c r="H52" s="1089" t="s">
        <v>8</v>
      </c>
      <c r="I52" s="1090"/>
    </row>
    <row r="53" spans="1:9" x14ac:dyDescent="0.25">
      <c r="A53" s="1091" t="s">
        <v>313</v>
      </c>
      <c r="B53" s="1352">
        <v>0.02</v>
      </c>
      <c r="C53" s="665">
        <v>0</v>
      </c>
      <c r="D53" s="665">
        <v>0</v>
      </c>
      <c r="E53" s="1092">
        <f t="shared" ref="E53:E59" si="4">+C53+D53</f>
        <v>0</v>
      </c>
      <c r="F53" s="665">
        <v>0</v>
      </c>
      <c r="G53" s="665">
        <v>0</v>
      </c>
      <c r="H53" s="665">
        <v>0</v>
      </c>
      <c r="I53" s="1093">
        <f>+SUM(E53:H53)</f>
        <v>0</v>
      </c>
    </row>
    <row r="54" spans="1:9" x14ac:dyDescent="0.25">
      <c r="A54" s="1094" t="s">
        <v>314</v>
      </c>
      <c r="B54" s="1353"/>
      <c r="C54" s="666">
        <v>0</v>
      </c>
      <c r="D54" s="666">
        <v>0</v>
      </c>
      <c r="E54" s="1095">
        <f t="shared" si="4"/>
        <v>0</v>
      </c>
      <c r="F54" s="666">
        <v>0</v>
      </c>
      <c r="G54" s="666">
        <v>0</v>
      </c>
      <c r="H54" s="666">
        <v>0</v>
      </c>
      <c r="I54" s="1096">
        <f t="shared" ref="I54:I76" si="5">+SUM(E54:H54)</f>
        <v>0</v>
      </c>
    </row>
    <row r="55" spans="1:9" x14ac:dyDescent="0.25">
      <c r="A55" s="1094" t="s">
        <v>315</v>
      </c>
      <c r="B55" s="1353"/>
      <c r="C55" s="666">
        <v>0</v>
      </c>
      <c r="D55" s="666">
        <v>0</v>
      </c>
      <c r="E55" s="1095">
        <f t="shared" si="4"/>
        <v>0</v>
      </c>
      <c r="F55" s="666">
        <v>0</v>
      </c>
      <c r="G55" s="666">
        <v>0</v>
      </c>
      <c r="H55" s="666">
        <v>0</v>
      </c>
      <c r="I55" s="1096">
        <f t="shared" si="5"/>
        <v>0</v>
      </c>
    </row>
    <row r="56" spans="1:9" x14ac:dyDescent="0.25">
      <c r="A56" s="1094" t="s">
        <v>348</v>
      </c>
      <c r="B56" s="1353"/>
      <c r="C56" s="666">
        <v>0</v>
      </c>
      <c r="D56" s="666">
        <v>0</v>
      </c>
      <c r="E56" s="1095">
        <f t="shared" si="4"/>
        <v>0</v>
      </c>
      <c r="F56" s="666">
        <v>0</v>
      </c>
      <c r="G56" s="666">
        <v>0</v>
      </c>
      <c r="H56" s="666">
        <v>0</v>
      </c>
      <c r="I56" s="1096">
        <f t="shared" si="5"/>
        <v>0</v>
      </c>
    </row>
    <row r="57" spans="1:9" x14ac:dyDescent="0.25">
      <c r="A57" s="1094" t="s">
        <v>349</v>
      </c>
      <c r="B57" s="1353"/>
      <c r="C57" s="666">
        <v>0</v>
      </c>
      <c r="D57" s="666">
        <v>0</v>
      </c>
      <c r="E57" s="1095">
        <f t="shared" si="4"/>
        <v>0</v>
      </c>
      <c r="F57" s="666">
        <v>0</v>
      </c>
      <c r="G57" s="666">
        <v>0</v>
      </c>
      <c r="H57" s="666">
        <v>0</v>
      </c>
      <c r="I57" s="1096">
        <f t="shared" si="5"/>
        <v>0</v>
      </c>
    </row>
    <row r="58" spans="1:9" x14ac:dyDescent="0.25">
      <c r="A58" s="1094" t="s">
        <v>350</v>
      </c>
      <c r="B58" s="1353"/>
      <c r="C58" s="666">
        <v>0</v>
      </c>
      <c r="D58" s="666">
        <v>0</v>
      </c>
      <c r="E58" s="1095">
        <f t="shared" si="4"/>
        <v>0</v>
      </c>
      <c r="F58" s="666">
        <v>0</v>
      </c>
      <c r="G58" s="666">
        <v>0</v>
      </c>
      <c r="H58" s="666">
        <v>0</v>
      </c>
      <c r="I58" s="1096">
        <f t="shared" si="5"/>
        <v>0</v>
      </c>
    </row>
    <row r="59" spans="1:9" x14ac:dyDescent="0.25">
      <c r="A59" s="1094" t="s">
        <v>351</v>
      </c>
      <c r="B59" s="1353"/>
      <c r="C59" s="666">
        <v>0</v>
      </c>
      <c r="D59" s="666">
        <v>0</v>
      </c>
      <c r="E59" s="1095">
        <f t="shared" si="4"/>
        <v>0</v>
      </c>
      <c r="F59" s="666">
        <v>0</v>
      </c>
      <c r="G59" s="666">
        <v>0</v>
      </c>
      <c r="H59" s="666">
        <v>0</v>
      </c>
      <c r="I59" s="1096">
        <f t="shared" si="5"/>
        <v>0</v>
      </c>
    </row>
    <row r="60" spans="1:9" x14ac:dyDescent="0.25">
      <c r="A60" s="1094" t="s">
        <v>322</v>
      </c>
      <c r="B60" s="1353"/>
      <c r="C60" s="666">
        <v>0</v>
      </c>
      <c r="D60" s="666">
        <v>0</v>
      </c>
      <c r="E60" s="1095">
        <f>+C60+D60</f>
        <v>0</v>
      </c>
      <c r="F60" s="666">
        <v>0</v>
      </c>
      <c r="G60" s="666">
        <v>0</v>
      </c>
      <c r="H60" s="666">
        <v>0</v>
      </c>
      <c r="I60" s="1096">
        <f t="shared" si="5"/>
        <v>0</v>
      </c>
    </row>
    <row r="61" spans="1:9" x14ac:dyDescent="0.25">
      <c r="A61" s="1094" t="s">
        <v>352</v>
      </c>
      <c r="B61" s="1353"/>
      <c r="C61" s="666">
        <v>0</v>
      </c>
      <c r="D61" s="666">
        <v>0</v>
      </c>
      <c r="E61" s="1095">
        <f t="shared" ref="E61:E72" si="6">+C61+D61</f>
        <v>0</v>
      </c>
      <c r="F61" s="666">
        <v>0</v>
      </c>
      <c r="G61" s="666">
        <v>0</v>
      </c>
      <c r="H61" s="666">
        <v>0</v>
      </c>
      <c r="I61" s="1096">
        <f t="shared" si="5"/>
        <v>0</v>
      </c>
    </row>
    <row r="62" spans="1:9" x14ac:dyDescent="0.25">
      <c r="A62" s="1094" t="s">
        <v>353</v>
      </c>
      <c r="B62" s="1353"/>
      <c r="C62" s="666">
        <v>0</v>
      </c>
      <c r="D62" s="666">
        <v>0</v>
      </c>
      <c r="E62" s="1095">
        <f t="shared" si="6"/>
        <v>0</v>
      </c>
      <c r="F62" s="666">
        <v>0</v>
      </c>
      <c r="G62" s="666">
        <v>0</v>
      </c>
      <c r="H62" s="666">
        <v>0</v>
      </c>
      <c r="I62" s="1096">
        <f t="shared" si="5"/>
        <v>0</v>
      </c>
    </row>
    <row r="63" spans="1:9" x14ac:dyDescent="0.25">
      <c r="A63" s="1094" t="s">
        <v>354</v>
      </c>
      <c r="B63" s="1353"/>
      <c r="C63" s="666">
        <v>0</v>
      </c>
      <c r="D63" s="666">
        <v>0</v>
      </c>
      <c r="E63" s="1095">
        <f t="shared" si="6"/>
        <v>0</v>
      </c>
      <c r="F63" s="666">
        <v>0</v>
      </c>
      <c r="G63" s="666">
        <v>0</v>
      </c>
      <c r="H63" s="666">
        <v>0</v>
      </c>
      <c r="I63" s="1096">
        <f t="shared" si="5"/>
        <v>0</v>
      </c>
    </row>
    <row r="64" spans="1:9" x14ac:dyDescent="0.25">
      <c r="A64" s="1094" t="s">
        <v>355</v>
      </c>
      <c r="B64" s="1353"/>
      <c r="C64" s="666">
        <v>0</v>
      </c>
      <c r="D64" s="666">
        <v>0</v>
      </c>
      <c r="E64" s="1095">
        <f t="shared" si="6"/>
        <v>0</v>
      </c>
      <c r="F64" s="666">
        <v>0</v>
      </c>
      <c r="G64" s="666">
        <v>0</v>
      </c>
      <c r="H64" s="666">
        <v>0</v>
      </c>
      <c r="I64" s="1096">
        <f t="shared" si="5"/>
        <v>0</v>
      </c>
    </row>
    <row r="65" spans="1:9" x14ac:dyDescent="0.25">
      <c r="A65" s="1094" t="s">
        <v>327</v>
      </c>
      <c r="B65" s="1353"/>
      <c r="C65" s="666">
        <v>0</v>
      </c>
      <c r="D65" s="666">
        <v>0</v>
      </c>
      <c r="E65" s="1095">
        <f t="shared" si="6"/>
        <v>0</v>
      </c>
      <c r="F65" s="666">
        <v>0</v>
      </c>
      <c r="G65" s="666">
        <v>0</v>
      </c>
      <c r="H65" s="666">
        <v>0</v>
      </c>
      <c r="I65" s="1096">
        <f t="shared" si="5"/>
        <v>0</v>
      </c>
    </row>
    <row r="66" spans="1:9" x14ac:dyDescent="0.25">
      <c r="A66" s="1094" t="s">
        <v>344</v>
      </c>
      <c r="B66" s="1353"/>
      <c r="C66" s="666">
        <v>0</v>
      </c>
      <c r="D66" s="666">
        <v>0</v>
      </c>
      <c r="E66" s="1095">
        <f t="shared" si="6"/>
        <v>0</v>
      </c>
      <c r="F66" s="666">
        <v>0</v>
      </c>
      <c r="G66" s="666">
        <v>0</v>
      </c>
      <c r="H66" s="666">
        <v>0</v>
      </c>
      <c r="I66" s="1096">
        <f t="shared" si="5"/>
        <v>0</v>
      </c>
    </row>
    <row r="67" spans="1:9" x14ac:dyDescent="0.25">
      <c r="A67" s="1094" t="s">
        <v>328</v>
      </c>
      <c r="B67" s="1353"/>
      <c r="C67" s="666">
        <v>0</v>
      </c>
      <c r="D67" s="666">
        <v>0</v>
      </c>
      <c r="E67" s="1095">
        <f t="shared" si="6"/>
        <v>0</v>
      </c>
      <c r="F67" s="666">
        <v>0</v>
      </c>
      <c r="G67" s="666">
        <v>0</v>
      </c>
      <c r="H67" s="666">
        <v>0</v>
      </c>
      <c r="I67" s="1096">
        <f t="shared" si="5"/>
        <v>0</v>
      </c>
    </row>
    <row r="68" spans="1:9" x14ac:dyDescent="0.25">
      <c r="A68" s="1094" t="s">
        <v>329</v>
      </c>
      <c r="B68" s="1353"/>
      <c r="C68" s="666">
        <v>0</v>
      </c>
      <c r="D68" s="666">
        <v>0</v>
      </c>
      <c r="E68" s="1095">
        <f t="shared" si="6"/>
        <v>0</v>
      </c>
      <c r="F68" s="666">
        <v>0</v>
      </c>
      <c r="G68" s="666">
        <v>0</v>
      </c>
      <c r="H68" s="666">
        <v>0</v>
      </c>
      <c r="I68" s="1096">
        <f t="shared" si="5"/>
        <v>0</v>
      </c>
    </row>
    <row r="69" spans="1:9" x14ac:dyDescent="0.25">
      <c r="A69" s="1094" t="s">
        <v>330</v>
      </c>
      <c r="B69" s="1353"/>
      <c r="C69" s="666">
        <v>0</v>
      </c>
      <c r="D69" s="666">
        <v>0</v>
      </c>
      <c r="E69" s="1095">
        <f t="shared" si="6"/>
        <v>0</v>
      </c>
      <c r="F69" s="666">
        <v>0</v>
      </c>
      <c r="G69" s="666">
        <v>0</v>
      </c>
      <c r="H69" s="666">
        <v>0</v>
      </c>
      <c r="I69" s="1096">
        <f t="shared" si="5"/>
        <v>0</v>
      </c>
    </row>
    <row r="70" spans="1:9" x14ac:dyDescent="0.25">
      <c r="A70" s="1094" t="s">
        <v>356</v>
      </c>
      <c r="B70" s="1353"/>
      <c r="C70" s="666">
        <v>0</v>
      </c>
      <c r="D70" s="666">
        <v>0</v>
      </c>
      <c r="E70" s="1095">
        <f t="shared" si="6"/>
        <v>0</v>
      </c>
      <c r="F70" s="666">
        <v>0</v>
      </c>
      <c r="G70" s="666">
        <v>0</v>
      </c>
      <c r="H70" s="666">
        <v>0</v>
      </c>
      <c r="I70" s="1096">
        <f t="shared" si="5"/>
        <v>0</v>
      </c>
    </row>
    <row r="71" spans="1:9" x14ac:dyDescent="0.25">
      <c r="A71" s="1094" t="s">
        <v>332</v>
      </c>
      <c r="B71" s="1353"/>
      <c r="C71" s="666">
        <v>0</v>
      </c>
      <c r="D71" s="666">
        <v>0</v>
      </c>
      <c r="E71" s="1095">
        <f t="shared" si="6"/>
        <v>0</v>
      </c>
      <c r="F71" s="666">
        <v>0</v>
      </c>
      <c r="G71" s="666">
        <v>0</v>
      </c>
      <c r="H71" s="666">
        <v>0</v>
      </c>
      <c r="I71" s="1096">
        <f t="shared" si="5"/>
        <v>0</v>
      </c>
    </row>
    <row r="72" spans="1:9" x14ac:dyDescent="0.25">
      <c r="A72" s="1094" t="s">
        <v>333</v>
      </c>
      <c r="B72" s="1353"/>
      <c r="C72" s="666">
        <v>0</v>
      </c>
      <c r="D72" s="666">
        <v>0</v>
      </c>
      <c r="E72" s="1095">
        <f t="shared" si="6"/>
        <v>0</v>
      </c>
      <c r="F72" s="666">
        <v>0</v>
      </c>
      <c r="G72" s="666">
        <v>0</v>
      </c>
      <c r="H72" s="666">
        <v>0</v>
      </c>
      <c r="I72" s="1096">
        <f t="shared" si="5"/>
        <v>0</v>
      </c>
    </row>
    <row r="73" spans="1:9" x14ac:dyDescent="0.25">
      <c r="A73" s="1114" t="s">
        <v>334</v>
      </c>
      <c r="B73" s="1353"/>
      <c r="C73" s="670">
        <v>0</v>
      </c>
      <c r="D73" s="670">
        <v>0</v>
      </c>
      <c r="E73" s="1115">
        <f>+C73+D73</f>
        <v>0</v>
      </c>
      <c r="F73" s="670">
        <v>0</v>
      </c>
      <c r="G73" s="670">
        <v>0</v>
      </c>
      <c r="H73" s="670">
        <v>0</v>
      </c>
      <c r="I73" s="1116">
        <f t="shared" si="5"/>
        <v>0</v>
      </c>
    </row>
    <row r="74" spans="1:9" x14ac:dyDescent="0.25">
      <c r="A74" s="1094" t="s">
        <v>336</v>
      </c>
      <c r="B74" s="1353"/>
      <c r="C74" s="670">
        <v>0</v>
      </c>
      <c r="D74" s="670">
        <v>0</v>
      </c>
      <c r="E74" s="1115">
        <f>+C74+D74</f>
        <v>0</v>
      </c>
      <c r="F74" s="670">
        <v>0</v>
      </c>
      <c r="G74" s="670">
        <v>0</v>
      </c>
      <c r="H74" s="670">
        <v>0</v>
      </c>
      <c r="I74" s="1116">
        <f t="shared" si="5"/>
        <v>0</v>
      </c>
    </row>
    <row r="75" spans="1:9" x14ac:dyDescent="0.25">
      <c r="A75" s="1114" t="s">
        <v>339</v>
      </c>
      <c r="B75" s="1353"/>
      <c r="C75" s="670">
        <v>0</v>
      </c>
      <c r="D75" s="670">
        <v>0</v>
      </c>
      <c r="E75" s="1115">
        <f>+C75+D75</f>
        <v>0</v>
      </c>
      <c r="F75" s="670">
        <v>0</v>
      </c>
      <c r="G75" s="670">
        <v>0</v>
      </c>
      <c r="H75" s="670">
        <v>0</v>
      </c>
      <c r="I75" s="1116">
        <f t="shared" si="5"/>
        <v>0</v>
      </c>
    </row>
    <row r="76" spans="1:9" ht="13" thickBot="1" x14ac:dyDescent="0.3">
      <c r="A76" s="1117" t="s">
        <v>341</v>
      </c>
      <c r="B76" s="1354"/>
      <c r="C76" s="671">
        <v>0</v>
      </c>
      <c r="D76" s="671">
        <v>0</v>
      </c>
      <c r="E76" s="1118">
        <f>+C76+D76</f>
        <v>0</v>
      </c>
      <c r="F76" s="671">
        <v>0</v>
      </c>
      <c r="G76" s="671">
        <v>0</v>
      </c>
      <c r="H76" s="671">
        <v>0</v>
      </c>
      <c r="I76" s="1119">
        <f t="shared" si="5"/>
        <v>0</v>
      </c>
    </row>
    <row r="77" spans="1:9" ht="13" x14ac:dyDescent="0.25">
      <c r="A77" s="1100"/>
      <c r="B77" s="1101"/>
      <c r="C77" s="1120"/>
      <c r="D77" s="1120"/>
      <c r="E77" s="1120"/>
      <c r="F77" s="1120"/>
      <c r="G77" s="1120"/>
      <c r="H77" s="1120"/>
      <c r="I77" s="1120"/>
    </row>
    <row r="78" spans="1:9" ht="13" x14ac:dyDescent="0.25">
      <c r="A78" s="1100" t="s">
        <v>342</v>
      </c>
      <c r="B78" s="1101"/>
      <c r="C78" s="1103">
        <f t="shared" ref="C78:I78" si="7">SUM(C53:C76)</f>
        <v>0</v>
      </c>
      <c r="D78" s="1103">
        <f t="shared" si="7"/>
        <v>0</v>
      </c>
      <c r="E78" s="1103">
        <f t="shared" si="7"/>
        <v>0</v>
      </c>
      <c r="F78" s="1103">
        <f t="shared" ref="F78" si="8">SUM(F53:F76)</f>
        <v>0</v>
      </c>
      <c r="G78" s="1103">
        <f t="shared" si="7"/>
        <v>0</v>
      </c>
      <c r="H78" s="1103">
        <f t="shared" si="7"/>
        <v>0</v>
      </c>
      <c r="I78" s="1103">
        <f t="shared" si="7"/>
        <v>0</v>
      </c>
    </row>
    <row r="79" spans="1:9" ht="13.5" thickBot="1" x14ac:dyDescent="0.3">
      <c r="A79" s="1104"/>
      <c r="B79" s="1105"/>
      <c r="C79" s="1106"/>
      <c r="D79" s="1106"/>
      <c r="E79" s="1106"/>
      <c r="F79" s="1106"/>
      <c r="G79" s="1106"/>
      <c r="H79" s="1106"/>
      <c r="I79" s="1107"/>
    </row>
  </sheetData>
  <sheetProtection algorithmName="SHA-512" hashValue="PzmZ68lbtrM9V9PQSMtZ+hwEtjJyMjpuzSPOFcFUlSvuqbnCek7ad8Zp4hLtj6xa5jCwBohkPTnjIVbG/wKzMw==" saltValue="pQzqhbSLF6oBFZ2IWEKRqQ==" spinCount="100000" sheet="1" objects="1" scenarios="1"/>
  <mergeCells count="6">
    <mergeCell ref="A17:I17"/>
    <mergeCell ref="B20:B43"/>
    <mergeCell ref="A50:I50"/>
    <mergeCell ref="B53:B76"/>
    <mergeCell ref="A1:I1"/>
    <mergeCell ref="A14:C14"/>
  </mergeCells>
  <conditionalFormatting sqref="A1:E13 A15:E1048576 A14 D14:E14 G1:XFD1048576">
    <cfRule type="expression" dxfId="13" priority="4">
      <formula>$J$1="elektriciteit"</formula>
    </cfRule>
  </conditionalFormatting>
  <conditionalFormatting sqref="F1:F1048576">
    <cfRule type="expression" dxfId="12" priority="2">
      <formula>$J$1="elektriciteit"</formula>
    </cfRule>
  </conditionalFormatting>
  <dataValidations count="3">
    <dataValidation type="decimal" operator="greaterThanOrEqual" allowBlank="1" showInputMessage="1" showErrorMessage="1" errorTitle="Negatief bedrag" error="Gelieve een positieve waarde in te geven" sqref="C20:C43 C53:C76" xr:uid="{A02E0725-4398-4B81-9F27-765B7E3D8AB3}">
      <formula1>0</formula1>
    </dataValidation>
    <dataValidation type="decimal" operator="greaterThanOrEqual" allowBlank="1" showInputMessage="1" showErrorMessage="1" errorTitle="Negatieve waarde" error="Gelieve positieve waarde in te geven" sqref="JD65526:JE65548 SZ65526:TA65548 ACV65526:ACW65548 AMR65526:AMS65548 AWN65526:AWO65548 BGJ65526:BGK65548 BQF65526:BQG65548 CAB65526:CAC65548 CJX65526:CJY65548 CTT65526:CTU65548 DDP65526:DDQ65548 DNL65526:DNM65548 DXH65526:DXI65548 EHD65526:EHE65548 EQZ65526:ERA65548 FAV65526:FAW65548 FKR65526:FKS65548 FUN65526:FUO65548 GEJ65526:GEK65548 GOF65526:GOG65548 GYB65526:GYC65548 HHX65526:HHY65548 HRT65526:HRU65548 IBP65526:IBQ65548 ILL65526:ILM65548 IVH65526:IVI65548 JFD65526:JFE65548 JOZ65526:JPA65548 JYV65526:JYW65548 KIR65526:KIS65548 KSN65526:KSO65548 LCJ65526:LCK65548 LMF65526:LMG65548 LWB65526:LWC65548 MFX65526:MFY65548 MPT65526:MPU65548 MZP65526:MZQ65548 NJL65526:NJM65548 NTH65526:NTI65548 ODD65526:ODE65548 OMZ65526:ONA65548 OWV65526:OWW65548 PGR65526:PGS65548 PQN65526:PQO65548 QAJ65526:QAK65548 QKF65526:QKG65548 QUB65526:QUC65548 RDX65526:RDY65548 RNT65526:RNU65548 RXP65526:RXQ65548 SHL65526:SHM65548 SRH65526:SRI65548 TBD65526:TBE65548 TKZ65526:TLA65548 TUV65526:TUW65548 UER65526:UES65548 UON65526:UOO65548 UYJ65526:UYK65548 VIF65526:VIG65548 VSB65526:VSC65548 WBX65526:WBY65548 WLT65526:WLU65548 WVP65526:WVQ65548 JD131062:JE131084 SZ131062:TA131084 ACV131062:ACW131084 AMR131062:AMS131084 AWN131062:AWO131084 BGJ131062:BGK131084 BQF131062:BQG131084 CAB131062:CAC131084 CJX131062:CJY131084 CTT131062:CTU131084 DDP131062:DDQ131084 DNL131062:DNM131084 DXH131062:DXI131084 EHD131062:EHE131084 EQZ131062:ERA131084 FAV131062:FAW131084 FKR131062:FKS131084 FUN131062:FUO131084 GEJ131062:GEK131084 GOF131062:GOG131084 GYB131062:GYC131084 HHX131062:HHY131084 HRT131062:HRU131084 IBP131062:IBQ131084 ILL131062:ILM131084 IVH131062:IVI131084 JFD131062:JFE131084 JOZ131062:JPA131084 JYV131062:JYW131084 KIR131062:KIS131084 KSN131062:KSO131084 LCJ131062:LCK131084 LMF131062:LMG131084 LWB131062:LWC131084 MFX131062:MFY131084 MPT131062:MPU131084 MZP131062:MZQ131084 NJL131062:NJM131084 NTH131062:NTI131084 ODD131062:ODE131084 OMZ131062:ONA131084 OWV131062:OWW131084 PGR131062:PGS131084 PQN131062:PQO131084 QAJ131062:QAK131084 QKF131062:QKG131084 QUB131062:QUC131084 RDX131062:RDY131084 RNT131062:RNU131084 RXP131062:RXQ131084 SHL131062:SHM131084 SRH131062:SRI131084 TBD131062:TBE131084 TKZ131062:TLA131084 TUV131062:TUW131084 UER131062:UES131084 UON131062:UOO131084 UYJ131062:UYK131084 VIF131062:VIG131084 VSB131062:VSC131084 WBX131062:WBY131084 WLT131062:WLU131084 WVP131062:WVQ131084 JD196598:JE196620 SZ196598:TA196620 ACV196598:ACW196620 AMR196598:AMS196620 AWN196598:AWO196620 BGJ196598:BGK196620 BQF196598:BQG196620 CAB196598:CAC196620 CJX196598:CJY196620 CTT196598:CTU196620 DDP196598:DDQ196620 DNL196598:DNM196620 DXH196598:DXI196620 EHD196598:EHE196620 EQZ196598:ERA196620 FAV196598:FAW196620 FKR196598:FKS196620 FUN196598:FUO196620 GEJ196598:GEK196620 GOF196598:GOG196620 GYB196598:GYC196620 HHX196598:HHY196620 HRT196598:HRU196620 IBP196598:IBQ196620 ILL196598:ILM196620 IVH196598:IVI196620 JFD196598:JFE196620 JOZ196598:JPA196620 JYV196598:JYW196620 KIR196598:KIS196620 KSN196598:KSO196620 LCJ196598:LCK196620 LMF196598:LMG196620 LWB196598:LWC196620 MFX196598:MFY196620 MPT196598:MPU196620 MZP196598:MZQ196620 NJL196598:NJM196620 NTH196598:NTI196620 ODD196598:ODE196620 OMZ196598:ONA196620 OWV196598:OWW196620 PGR196598:PGS196620 PQN196598:PQO196620 QAJ196598:QAK196620 QKF196598:QKG196620 QUB196598:QUC196620 RDX196598:RDY196620 RNT196598:RNU196620 RXP196598:RXQ196620 SHL196598:SHM196620 SRH196598:SRI196620 TBD196598:TBE196620 TKZ196598:TLA196620 TUV196598:TUW196620 UER196598:UES196620 UON196598:UOO196620 UYJ196598:UYK196620 VIF196598:VIG196620 VSB196598:VSC196620 WBX196598:WBY196620 WLT196598:WLU196620 WVP196598:WVQ196620 JD262134:JE262156 SZ262134:TA262156 ACV262134:ACW262156 AMR262134:AMS262156 AWN262134:AWO262156 BGJ262134:BGK262156 BQF262134:BQG262156 CAB262134:CAC262156 CJX262134:CJY262156 CTT262134:CTU262156 DDP262134:DDQ262156 DNL262134:DNM262156 DXH262134:DXI262156 EHD262134:EHE262156 EQZ262134:ERA262156 FAV262134:FAW262156 FKR262134:FKS262156 FUN262134:FUO262156 GEJ262134:GEK262156 GOF262134:GOG262156 GYB262134:GYC262156 HHX262134:HHY262156 HRT262134:HRU262156 IBP262134:IBQ262156 ILL262134:ILM262156 IVH262134:IVI262156 JFD262134:JFE262156 JOZ262134:JPA262156 JYV262134:JYW262156 KIR262134:KIS262156 KSN262134:KSO262156 LCJ262134:LCK262156 LMF262134:LMG262156 LWB262134:LWC262156 MFX262134:MFY262156 MPT262134:MPU262156 MZP262134:MZQ262156 NJL262134:NJM262156 NTH262134:NTI262156 ODD262134:ODE262156 OMZ262134:ONA262156 OWV262134:OWW262156 PGR262134:PGS262156 PQN262134:PQO262156 QAJ262134:QAK262156 QKF262134:QKG262156 QUB262134:QUC262156 RDX262134:RDY262156 RNT262134:RNU262156 RXP262134:RXQ262156 SHL262134:SHM262156 SRH262134:SRI262156 TBD262134:TBE262156 TKZ262134:TLA262156 TUV262134:TUW262156 UER262134:UES262156 UON262134:UOO262156 UYJ262134:UYK262156 VIF262134:VIG262156 VSB262134:VSC262156 WBX262134:WBY262156 WLT262134:WLU262156 WVP262134:WVQ262156 JD327670:JE327692 SZ327670:TA327692 ACV327670:ACW327692 AMR327670:AMS327692 AWN327670:AWO327692 BGJ327670:BGK327692 BQF327670:BQG327692 CAB327670:CAC327692 CJX327670:CJY327692 CTT327670:CTU327692 DDP327670:DDQ327692 DNL327670:DNM327692 DXH327670:DXI327692 EHD327670:EHE327692 EQZ327670:ERA327692 FAV327670:FAW327692 FKR327670:FKS327692 FUN327670:FUO327692 GEJ327670:GEK327692 GOF327670:GOG327692 GYB327670:GYC327692 HHX327670:HHY327692 HRT327670:HRU327692 IBP327670:IBQ327692 ILL327670:ILM327692 IVH327670:IVI327692 JFD327670:JFE327692 JOZ327670:JPA327692 JYV327670:JYW327692 KIR327670:KIS327692 KSN327670:KSO327692 LCJ327670:LCK327692 LMF327670:LMG327692 LWB327670:LWC327692 MFX327670:MFY327692 MPT327670:MPU327692 MZP327670:MZQ327692 NJL327670:NJM327692 NTH327670:NTI327692 ODD327670:ODE327692 OMZ327670:ONA327692 OWV327670:OWW327692 PGR327670:PGS327692 PQN327670:PQO327692 QAJ327670:QAK327692 QKF327670:QKG327692 QUB327670:QUC327692 RDX327670:RDY327692 RNT327670:RNU327692 RXP327670:RXQ327692 SHL327670:SHM327692 SRH327670:SRI327692 TBD327670:TBE327692 TKZ327670:TLA327692 TUV327670:TUW327692 UER327670:UES327692 UON327670:UOO327692 UYJ327670:UYK327692 VIF327670:VIG327692 VSB327670:VSC327692 WBX327670:WBY327692 WLT327670:WLU327692 WVP327670:WVQ327692 JD393206:JE393228 SZ393206:TA393228 ACV393206:ACW393228 AMR393206:AMS393228 AWN393206:AWO393228 BGJ393206:BGK393228 BQF393206:BQG393228 CAB393206:CAC393228 CJX393206:CJY393228 CTT393206:CTU393228 DDP393206:DDQ393228 DNL393206:DNM393228 DXH393206:DXI393228 EHD393206:EHE393228 EQZ393206:ERA393228 FAV393206:FAW393228 FKR393206:FKS393228 FUN393206:FUO393228 GEJ393206:GEK393228 GOF393206:GOG393228 GYB393206:GYC393228 HHX393206:HHY393228 HRT393206:HRU393228 IBP393206:IBQ393228 ILL393206:ILM393228 IVH393206:IVI393228 JFD393206:JFE393228 JOZ393206:JPA393228 JYV393206:JYW393228 KIR393206:KIS393228 KSN393206:KSO393228 LCJ393206:LCK393228 LMF393206:LMG393228 LWB393206:LWC393228 MFX393206:MFY393228 MPT393206:MPU393228 MZP393206:MZQ393228 NJL393206:NJM393228 NTH393206:NTI393228 ODD393206:ODE393228 OMZ393206:ONA393228 OWV393206:OWW393228 PGR393206:PGS393228 PQN393206:PQO393228 QAJ393206:QAK393228 QKF393206:QKG393228 QUB393206:QUC393228 RDX393206:RDY393228 RNT393206:RNU393228 RXP393206:RXQ393228 SHL393206:SHM393228 SRH393206:SRI393228 TBD393206:TBE393228 TKZ393206:TLA393228 TUV393206:TUW393228 UER393206:UES393228 UON393206:UOO393228 UYJ393206:UYK393228 VIF393206:VIG393228 VSB393206:VSC393228 WBX393206:WBY393228 WLT393206:WLU393228 WVP393206:WVQ393228 JD458742:JE458764 SZ458742:TA458764 ACV458742:ACW458764 AMR458742:AMS458764 AWN458742:AWO458764 BGJ458742:BGK458764 BQF458742:BQG458764 CAB458742:CAC458764 CJX458742:CJY458764 CTT458742:CTU458764 DDP458742:DDQ458764 DNL458742:DNM458764 DXH458742:DXI458764 EHD458742:EHE458764 EQZ458742:ERA458764 FAV458742:FAW458764 FKR458742:FKS458764 FUN458742:FUO458764 GEJ458742:GEK458764 GOF458742:GOG458764 GYB458742:GYC458764 HHX458742:HHY458764 HRT458742:HRU458764 IBP458742:IBQ458764 ILL458742:ILM458764 IVH458742:IVI458764 JFD458742:JFE458764 JOZ458742:JPA458764 JYV458742:JYW458764 KIR458742:KIS458764 KSN458742:KSO458764 LCJ458742:LCK458764 LMF458742:LMG458764 LWB458742:LWC458764 MFX458742:MFY458764 MPT458742:MPU458764 MZP458742:MZQ458764 NJL458742:NJM458764 NTH458742:NTI458764 ODD458742:ODE458764 OMZ458742:ONA458764 OWV458742:OWW458764 PGR458742:PGS458764 PQN458742:PQO458764 QAJ458742:QAK458764 QKF458742:QKG458764 QUB458742:QUC458764 RDX458742:RDY458764 RNT458742:RNU458764 RXP458742:RXQ458764 SHL458742:SHM458764 SRH458742:SRI458764 TBD458742:TBE458764 TKZ458742:TLA458764 TUV458742:TUW458764 UER458742:UES458764 UON458742:UOO458764 UYJ458742:UYK458764 VIF458742:VIG458764 VSB458742:VSC458764 WBX458742:WBY458764 WLT458742:WLU458764 WVP458742:WVQ458764 JD524278:JE524300 SZ524278:TA524300 ACV524278:ACW524300 AMR524278:AMS524300 AWN524278:AWO524300 BGJ524278:BGK524300 BQF524278:BQG524300 CAB524278:CAC524300 CJX524278:CJY524300 CTT524278:CTU524300 DDP524278:DDQ524300 DNL524278:DNM524300 DXH524278:DXI524300 EHD524278:EHE524300 EQZ524278:ERA524300 FAV524278:FAW524300 FKR524278:FKS524300 FUN524278:FUO524300 GEJ524278:GEK524300 GOF524278:GOG524300 GYB524278:GYC524300 HHX524278:HHY524300 HRT524278:HRU524300 IBP524278:IBQ524300 ILL524278:ILM524300 IVH524278:IVI524300 JFD524278:JFE524300 JOZ524278:JPA524300 JYV524278:JYW524300 KIR524278:KIS524300 KSN524278:KSO524300 LCJ524278:LCK524300 LMF524278:LMG524300 LWB524278:LWC524300 MFX524278:MFY524300 MPT524278:MPU524300 MZP524278:MZQ524300 NJL524278:NJM524300 NTH524278:NTI524300 ODD524278:ODE524300 OMZ524278:ONA524300 OWV524278:OWW524300 PGR524278:PGS524300 PQN524278:PQO524300 QAJ524278:QAK524300 QKF524278:QKG524300 QUB524278:QUC524300 RDX524278:RDY524300 RNT524278:RNU524300 RXP524278:RXQ524300 SHL524278:SHM524300 SRH524278:SRI524300 TBD524278:TBE524300 TKZ524278:TLA524300 TUV524278:TUW524300 UER524278:UES524300 UON524278:UOO524300 UYJ524278:UYK524300 VIF524278:VIG524300 VSB524278:VSC524300 WBX524278:WBY524300 WLT524278:WLU524300 WVP524278:WVQ524300 JD589814:JE589836 SZ589814:TA589836 ACV589814:ACW589836 AMR589814:AMS589836 AWN589814:AWO589836 BGJ589814:BGK589836 BQF589814:BQG589836 CAB589814:CAC589836 CJX589814:CJY589836 CTT589814:CTU589836 DDP589814:DDQ589836 DNL589814:DNM589836 DXH589814:DXI589836 EHD589814:EHE589836 EQZ589814:ERA589836 FAV589814:FAW589836 FKR589814:FKS589836 FUN589814:FUO589836 GEJ589814:GEK589836 GOF589814:GOG589836 GYB589814:GYC589836 HHX589814:HHY589836 HRT589814:HRU589836 IBP589814:IBQ589836 ILL589814:ILM589836 IVH589814:IVI589836 JFD589814:JFE589836 JOZ589814:JPA589836 JYV589814:JYW589836 KIR589814:KIS589836 KSN589814:KSO589836 LCJ589814:LCK589836 LMF589814:LMG589836 LWB589814:LWC589836 MFX589814:MFY589836 MPT589814:MPU589836 MZP589814:MZQ589836 NJL589814:NJM589836 NTH589814:NTI589836 ODD589814:ODE589836 OMZ589814:ONA589836 OWV589814:OWW589836 PGR589814:PGS589836 PQN589814:PQO589836 QAJ589814:QAK589836 QKF589814:QKG589836 QUB589814:QUC589836 RDX589814:RDY589836 RNT589814:RNU589836 RXP589814:RXQ589836 SHL589814:SHM589836 SRH589814:SRI589836 TBD589814:TBE589836 TKZ589814:TLA589836 TUV589814:TUW589836 UER589814:UES589836 UON589814:UOO589836 UYJ589814:UYK589836 VIF589814:VIG589836 VSB589814:VSC589836 WBX589814:WBY589836 WLT589814:WLU589836 WVP589814:WVQ589836 JD655350:JE655372 SZ655350:TA655372 ACV655350:ACW655372 AMR655350:AMS655372 AWN655350:AWO655372 BGJ655350:BGK655372 BQF655350:BQG655372 CAB655350:CAC655372 CJX655350:CJY655372 CTT655350:CTU655372 DDP655350:DDQ655372 DNL655350:DNM655372 DXH655350:DXI655372 EHD655350:EHE655372 EQZ655350:ERA655372 FAV655350:FAW655372 FKR655350:FKS655372 FUN655350:FUO655372 GEJ655350:GEK655372 GOF655350:GOG655372 GYB655350:GYC655372 HHX655350:HHY655372 HRT655350:HRU655372 IBP655350:IBQ655372 ILL655350:ILM655372 IVH655350:IVI655372 JFD655350:JFE655372 JOZ655350:JPA655372 JYV655350:JYW655372 KIR655350:KIS655372 KSN655350:KSO655372 LCJ655350:LCK655372 LMF655350:LMG655372 LWB655350:LWC655372 MFX655350:MFY655372 MPT655350:MPU655372 MZP655350:MZQ655372 NJL655350:NJM655372 NTH655350:NTI655372 ODD655350:ODE655372 OMZ655350:ONA655372 OWV655350:OWW655372 PGR655350:PGS655372 PQN655350:PQO655372 QAJ655350:QAK655372 QKF655350:QKG655372 QUB655350:QUC655372 RDX655350:RDY655372 RNT655350:RNU655372 RXP655350:RXQ655372 SHL655350:SHM655372 SRH655350:SRI655372 TBD655350:TBE655372 TKZ655350:TLA655372 TUV655350:TUW655372 UER655350:UES655372 UON655350:UOO655372 UYJ655350:UYK655372 VIF655350:VIG655372 VSB655350:VSC655372 WBX655350:WBY655372 WLT655350:WLU655372 WVP655350:WVQ655372 JD720886:JE720908 SZ720886:TA720908 ACV720886:ACW720908 AMR720886:AMS720908 AWN720886:AWO720908 BGJ720886:BGK720908 BQF720886:BQG720908 CAB720886:CAC720908 CJX720886:CJY720908 CTT720886:CTU720908 DDP720886:DDQ720908 DNL720886:DNM720908 DXH720886:DXI720908 EHD720886:EHE720908 EQZ720886:ERA720908 FAV720886:FAW720908 FKR720886:FKS720908 FUN720886:FUO720908 GEJ720886:GEK720908 GOF720886:GOG720908 GYB720886:GYC720908 HHX720886:HHY720908 HRT720886:HRU720908 IBP720886:IBQ720908 ILL720886:ILM720908 IVH720886:IVI720908 JFD720886:JFE720908 JOZ720886:JPA720908 JYV720886:JYW720908 KIR720886:KIS720908 KSN720886:KSO720908 LCJ720886:LCK720908 LMF720886:LMG720908 LWB720886:LWC720908 MFX720886:MFY720908 MPT720886:MPU720908 MZP720886:MZQ720908 NJL720886:NJM720908 NTH720886:NTI720908 ODD720886:ODE720908 OMZ720886:ONA720908 OWV720886:OWW720908 PGR720886:PGS720908 PQN720886:PQO720908 QAJ720886:QAK720908 QKF720886:QKG720908 QUB720886:QUC720908 RDX720886:RDY720908 RNT720886:RNU720908 RXP720886:RXQ720908 SHL720886:SHM720908 SRH720886:SRI720908 TBD720886:TBE720908 TKZ720886:TLA720908 TUV720886:TUW720908 UER720886:UES720908 UON720886:UOO720908 UYJ720886:UYK720908 VIF720886:VIG720908 VSB720886:VSC720908 WBX720886:WBY720908 WLT720886:WLU720908 WVP720886:WVQ720908 JD786422:JE786444 SZ786422:TA786444 ACV786422:ACW786444 AMR786422:AMS786444 AWN786422:AWO786444 BGJ786422:BGK786444 BQF786422:BQG786444 CAB786422:CAC786444 CJX786422:CJY786444 CTT786422:CTU786444 DDP786422:DDQ786444 DNL786422:DNM786444 DXH786422:DXI786444 EHD786422:EHE786444 EQZ786422:ERA786444 FAV786422:FAW786444 FKR786422:FKS786444 FUN786422:FUO786444 GEJ786422:GEK786444 GOF786422:GOG786444 GYB786422:GYC786444 HHX786422:HHY786444 HRT786422:HRU786444 IBP786422:IBQ786444 ILL786422:ILM786444 IVH786422:IVI786444 JFD786422:JFE786444 JOZ786422:JPA786444 JYV786422:JYW786444 KIR786422:KIS786444 KSN786422:KSO786444 LCJ786422:LCK786444 LMF786422:LMG786444 LWB786422:LWC786444 MFX786422:MFY786444 MPT786422:MPU786444 MZP786422:MZQ786444 NJL786422:NJM786444 NTH786422:NTI786444 ODD786422:ODE786444 OMZ786422:ONA786444 OWV786422:OWW786444 PGR786422:PGS786444 PQN786422:PQO786444 QAJ786422:QAK786444 QKF786422:QKG786444 QUB786422:QUC786444 RDX786422:RDY786444 RNT786422:RNU786444 RXP786422:RXQ786444 SHL786422:SHM786444 SRH786422:SRI786444 TBD786422:TBE786444 TKZ786422:TLA786444 TUV786422:TUW786444 UER786422:UES786444 UON786422:UOO786444 UYJ786422:UYK786444 VIF786422:VIG786444 VSB786422:VSC786444 WBX786422:WBY786444 WLT786422:WLU786444 WVP786422:WVQ786444 JD851958:JE851980 SZ851958:TA851980 ACV851958:ACW851980 AMR851958:AMS851980 AWN851958:AWO851980 BGJ851958:BGK851980 BQF851958:BQG851980 CAB851958:CAC851980 CJX851958:CJY851980 CTT851958:CTU851980 DDP851958:DDQ851980 DNL851958:DNM851980 DXH851958:DXI851980 EHD851958:EHE851980 EQZ851958:ERA851980 FAV851958:FAW851980 FKR851958:FKS851980 FUN851958:FUO851980 GEJ851958:GEK851980 GOF851958:GOG851980 GYB851958:GYC851980 HHX851958:HHY851980 HRT851958:HRU851980 IBP851958:IBQ851980 ILL851958:ILM851980 IVH851958:IVI851980 JFD851958:JFE851980 JOZ851958:JPA851980 JYV851958:JYW851980 KIR851958:KIS851980 KSN851958:KSO851980 LCJ851958:LCK851980 LMF851958:LMG851980 LWB851958:LWC851980 MFX851958:MFY851980 MPT851958:MPU851980 MZP851958:MZQ851980 NJL851958:NJM851980 NTH851958:NTI851980 ODD851958:ODE851980 OMZ851958:ONA851980 OWV851958:OWW851980 PGR851958:PGS851980 PQN851958:PQO851980 QAJ851958:QAK851980 QKF851958:QKG851980 QUB851958:QUC851980 RDX851958:RDY851980 RNT851958:RNU851980 RXP851958:RXQ851980 SHL851958:SHM851980 SRH851958:SRI851980 TBD851958:TBE851980 TKZ851958:TLA851980 TUV851958:TUW851980 UER851958:UES851980 UON851958:UOO851980 UYJ851958:UYK851980 VIF851958:VIG851980 VSB851958:VSC851980 WBX851958:WBY851980 WLT851958:WLU851980 WVP851958:WVQ851980 JD917494:JE917516 SZ917494:TA917516 ACV917494:ACW917516 AMR917494:AMS917516 AWN917494:AWO917516 BGJ917494:BGK917516 BQF917494:BQG917516 CAB917494:CAC917516 CJX917494:CJY917516 CTT917494:CTU917516 DDP917494:DDQ917516 DNL917494:DNM917516 DXH917494:DXI917516 EHD917494:EHE917516 EQZ917494:ERA917516 FAV917494:FAW917516 FKR917494:FKS917516 FUN917494:FUO917516 GEJ917494:GEK917516 GOF917494:GOG917516 GYB917494:GYC917516 HHX917494:HHY917516 HRT917494:HRU917516 IBP917494:IBQ917516 ILL917494:ILM917516 IVH917494:IVI917516 JFD917494:JFE917516 JOZ917494:JPA917516 JYV917494:JYW917516 KIR917494:KIS917516 KSN917494:KSO917516 LCJ917494:LCK917516 LMF917494:LMG917516 LWB917494:LWC917516 MFX917494:MFY917516 MPT917494:MPU917516 MZP917494:MZQ917516 NJL917494:NJM917516 NTH917494:NTI917516 ODD917494:ODE917516 OMZ917494:ONA917516 OWV917494:OWW917516 PGR917494:PGS917516 PQN917494:PQO917516 QAJ917494:QAK917516 QKF917494:QKG917516 QUB917494:QUC917516 RDX917494:RDY917516 RNT917494:RNU917516 RXP917494:RXQ917516 SHL917494:SHM917516 SRH917494:SRI917516 TBD917494:TBE917516 TKZ917494:TLA917516 TUV917494:TUW917516 UER917494:UES917516 UON917494:UOO917516 UYJ917494:UYK917516 VIF917494:VIG917516 VSB917494:VSC917516 WBX917494:WBY917516 WLT917494:WLU917516 WVP917494:WVQ917516 WVU983030:WVU983052 JD983030:JE983052 SZ983030:TA983052 ACV983030:ACW983052 AMR983030:AMS983052 AWN983030:AWO983052 BGJ983030:BGK983052 BQF983030:BQG983052 CAB983030:CAC983052 CJX983030:CJY983052 CTT983030:CTU983052 DDP983030:DDQ983052 DNL983030:DNM983052 DXH983030:DXI983052 EHD983030:EHE983052 EQZ983030:ERA983052 FAV983030:FAW983052 FKR983030:FKS983052 FUN983030:FUO983052 GEJ983030:GEK983052 GOF983030:GOG983052 GYB983030:GYC983052 HHX983030:HHY983052 HRT983030:HRU983052 IBP983030:IBQ983052 ILL983030:ILM983052 IVH983030:IVI983052 JFD983030:JFE983052 JOZ983030:JPA983052 JYV983030:JYW983052 KIR983030:KIS983052 KSN983030:KSO983052 LCJ983030:LCK983052 LMF983030:LMG983052 LWB983030:LWC983052 MFX983030:MFY983052 MPT983030:MPU983052 MZP983030:MZQ983052 NJL983030:NJM983052 NTH983030:NTI983052 ODD983030:ODE983052 OMZ983030:ONA983052 OWV983030:OWW983052 PGR983030:PGS983052 PQN983030:PQO983052 QAJ983030:QAK983052 QKF983030:QKG983052 QUB983030:QUC983052 RDX983030:RDY983052 RNT983030:RNU983052 RXP983030:RXQ983052 SHL983030:SHM983052 SRH983030:SRI983052 TBD983030:TBE983052 TKZ983030:TLA983052 TUV983030:TUW983052 UER983030:UES983052 UON983030:UOO983052 UYJ983030:UYK983052 VIF983030:VIG983052 VSB983030:VSC983052 WBX983030:WBY983052 WLT983030:WLU983052 WVP983030:WVQ983052 C65526:C65548 JA65526:JA65548 SW65526:SW65548 ACS65526:ACS65548 AMO65526:AMO65548 AWK65526:AWK65548 BGG65526:BGG65548 BQC65526:BQC65548 BZY65526:BZY65548 CJU65526:CJU65548 CTQ65526:CTQ65548 DDM65526:DDM65548 DNI65526:DNI65548 DXE65526:DXE65548 EHA65526:EHA65548 EQW65526:EQW65548 FAS65526:FAS65548 FKO65526:FKO65548 FUK65526:FUK65548 GEG65526:GEG65548 GOC65526:GOC65548 GXY65526:GXY65548 HHU65526:HHU65548 HRQ65526:HRQ65548 IBM65526:IBM65548 ILI65526:ILI65548 IVE65526:IVE65548 JFA65526:JFA65548 JOW65526:JOW65548 JYS65526:JYS65548 KIO65526:KIO65548 KSK65526:KSK65548 LCG65526:LCG65548 LMC65526:LMC65548 LVY65526:LVY65548 MFU65526:MFU65548 MPQ65526:MPQ65548 MZM65526:MZM65548 NJI65526:NJI65548 NTE65526:NTE65548 ODA65526:ODA65548 OMW65526:OMW65548 OWS65526:OWS65548 PGO65526:PGO65548 PQK65526:PQK65548 QAG65526:QAG65548 QKC65526:QKC65548 QTY65526:QTY65548 RDU65526:RDU65548 RNQ65526:RNQ65548 RXM65526:RXM65548 SHI65526:SHI65548 SRE65526:SRE65548 TBA65526:TBA65548 TKW65526:TKW65548 TUS65526:TUS65548 UEO65526:UEO65548 UOK65526:UOK65548 UYG65526:UYG65548 VIC65526:VIC65548 VRY65526:VRY65548 WBU65526:WBU65548 WLQ65526:WLQ65548 WVM65526:WVM65548 C131062:C131084 JA131062:JA131084 SW131062:SW131084 ACS131062:ACS131084 AMO131062:AMO131084 AWK131062:AWK131084 BGG131062:BGG131084 BQC131062:BQC131084 BZY131062:BZY131084 CJU131062:CJU131084 CTQ131062:CTQ131084 DDM131062:DDM131084 DNI131062:DNI131084 DXE131062:DXE131084 EHA131062:EHA131084 EQW131062:EQW131084 FAS131062:FAS131084 FKO131062:FKO131084 FUK131062:FUK131084 GEG131062:GEG131084 GOC131062:GOC131084 GXY131062:GXY131084 HHU131062:HHU131084 HRQ131062:HRQ131084 IBM131062:IBM131084 ILI131062:ILI131084 IVE131062:IVE131084 JFA131062:JFA131084 JOW131062:JOW131084 JYS131062:JYS131084 KIO131062:KIO131084 KSK131062:KSK131084 LCG131062:LCG131084 LMC131062:LMC131084 LVY131062:LVY131084 MFU131062:MFU131084 MPQ131062:MPQ131084 MZM131062:MZM131084 NJI131062:NJI131084 NTE131062:NTE131084 ODA131062:ODA131084 OMW131062:OMW131084 OWS131062:OWS131084 PGO131062:PGO131084 PQK131062:PQK131084 QAG131062:QAG131084 QKC131062:QKC131084 QTY131062:QTY131084 RDU131062:RDU131084 RNQ131062:RNQ131084 RXM131062:RXM131084 SHI131062:SHI131084 SRE131062:SRE131084 TBA131062:TBA131084 TKW131062:TKW131084 TUS131062:TUS131084 UEO131062:UEO131084 UOK131062:UOK131084 UYG131062:UYG131084 VIC131062:VIC131084 VRY131062:VRY131084 WBU131062:WBU131084 WLQ131062:WLQ131084 WVM131062:WVM131084 C196598:C196620 JA196598:JA196620 SW196598:SW196620 ACS196598:ACS196620 AMO196598:AMO196620 AWK196598:AWK196620 BGG196598:BGG196620 BQC196598:BQC196620 BZY196598:BZY196620 CJU196598:CJU196620 CTQ196598:CTQ196620 DDM196598:DDM196620 DNI196598:DNI196620 DXE196598:DXE196620 EHA196598:EHA196620 EQW196598:EQW196620 FAS196598:FAS196620 FKO196598:FKO196620 FUK196598:FUK196620 GEG196598:GEG196620 GOC196598:GOC196620 GXY196598:GXY196620 HHU196598:HHU196620 HRQ196598:HRQ196620 IBM196598:IBM196620 ILI196598:ILI196620 IVE196598:IVE196620 JFA196598:JFA196620 JOW196598:JOW196620 JYS196598:JYS196620 KIO196598:KIO196620 KSK196598:KSK196620 LCG196598:LCG196620 LMC196598:LMC196620 LVY196598:LVY196620 MFU196598:MFU196620 MPQ196598:MPQ196620 MZM196598:MZM196620 NJI196598:NJI196620 NTE196598:NTE196620 ODA196598:ODA196620 OMW196598:OMW196620 OWS196598:OWS196620 PGO196598:PGO196620 PQK196598:PQK196620 QAG196598:QAG196620 QKC196598:QKC196620 QTY196598:QTY196620 RDU196598:RDU196620 RNQ196598:RNQ196620 RXM196598:RXM196620 SHI196598:SHI196620 SRE196598:SRE196620 TBA196598:TBA196620 TKW196598:TKW196620 TUS196598:TUS196620 UEO196598:UEO196620 UOK196598:UOK196620 UYG196598:UYG196620 VIC196598:VIC196620 VRY196598:VRY196620 WBU196598:WBU196620 WLQ196598:WLQ196620 WVM196598:WVM196620 C262134:C262156 JA262134:JA262156 SW262134:SW262156 ACS262134:ACS262156 AMO262134:AMO262156 AWK262134:AWK262156 BGG262134:BGG262156 BQC262134:BQC262156 BZY262134:BZY262156 CJU262134:CJU262156 CTQ262134:CTQ262156 DDM262134:DDM262156 DNI262134:DNI262156 DXE262134:DXE262156 EHA262134:EHA262156 EQW262134:EQW262156 FAS262134:FAS262156 FKO262134:FKO262156 FUK262134:FUK262156 GEG262134:GEG262156 GOC262134:GOC262156 GXY262134:GXY262156 HHU262134:HHU262156 HRQ262134:HRQ262156 IBM262134:IBM262156 ILI262134:ILI262156 IVE262134:IVE262156 JFA262134:JFA262156 JOW262134:JOW262156 JYS262134:JYS262156 KIO262134:KIO262156 KSK262134:KSK262156 LCG262134:LCG262156 LMC262134:LMC262156 LVY262134:LVY262156 MFU262134:MFU262156 MPQ262134:MPQ262156 MZM262134:MZM262156 NJI262134:NJI262156 NTE262134:NTE262156 ODA262134:ODA262156 OMW262134:OMW262156 OWS262134:OWS262156 PGO262134:PGO262156 PQK262134:PQK262156 QAG262134:QAG262156 QKC262134:QKC262156 QTY262134:QTY262156 RDU262134:RDU262156 RNQ262134:RNQ262156 RXM262134:RXM262156 SHI262134:SHI262156 SRE262134:SRE262156 TBA262134:TBA262156 TKW262134:TKW262156 TUS262134:TUS262156 UEO262134:UEO262156 UOK262134:UOK262156 UYG262134:UYG262156 VIC262134:VIC262156 VRY262134:VRY262156 WBU262134:WBU262156 WLQ262134:WLQ262156 WVM262134:WVM262156 C327670:C327692 JA327670:JA327692 SW327670:SW327692 ACS327670:ACS327692 AMO327670:AMO327692 AWK327670:AWK327692 BGG327670:BGG327692 BQC327670:BQC327692 BZY327670:BZY327692 CJU327670:CJU327692 CTQ327670:CTQ327692 DDM327670:DDM327692 DNI327670:DNI327692 DXE327670:DXE327692 EHA327670:EHA327692 EQW327670:EQW327692 FAS327670:FAS327692 FKO327670:FKO327692 FUK327670:FUK327692 GEG327670:GEG327692 GOC327670:GOC327692 GXY327670:GXY327692 HHU327670:HHU327692 HRQ327670:HRQ327692 IBM327670:IBM327692 ILI327670:ILI327692 IVE327670:IVE327692 JFA327670:JFA327692 JOW327670:JOW327692 JYS327670:JYS327692 KIO327670:KIO327692 KSK327670:KSK327692 LCG327670:LCG327692 LMC327670:LMC327692 LVY327670:LVY327692 MFU327670:MFU327692 MPQ327670:MPQ327692 MZM327670:MZM327692 NJI327670:NJI327692 NTE327670:NTE327692 ODA327670:ODA327692 OMW327670:OMW327692 OWS327670:OWS327692 PGO327670:PGO327692 PQK327670:PQK327692 QAG327670:QAG327692 QKC327670:QKC327692 QTY327670:QTY327692 RDU327670:RDU327692 RNQ327670:RNQ327692 RXM327670:RXM327692 SHI327670:SHI327692 SRE327670:SRE327692 TBA327670:TBA327692 TKW327670:TKW327692 TUS327670:TUS327692 UEO327670:UEO327692 UOK327670:UOK327692 UYG327670:UYG327692 VIC327670:VIC327692 VRY327670:VRY327692 WBU327670:WBU327692 WLQ327670:WLQ327692 WVM327670:WVM327692 C393206:C393228 JA393206:JA393228 SW393206:SW393228 ACS393206:ACS393228 AMO393206:AMO393228 AWK393206:AWK393228 BGG393206:BGG393228 BQC393206:BQC393228 BZY393206:BZY393228 CJU393206:CJU393228 CTQ393206:CTQ393228 DDM393206:DDM393228 DNI393206:DNI393228 DXE393206:DXE393228 EHA393206:EHA393228 EQW393206:EQW393228 FAS393206:FAS393228 FKO393206:FKO393228 FUK393206:FUK393228 GEG393206:GEG393228 GOC393206:GOC393228 GXY393206:GXY393228 HHU393206:HHU393228 HRQ393206:HRQ393228 IBM393206:IBM393228 ILI393206:ILI393228 IVE393206:IVE393228 JFA393206:JFA393228 JOW393206:JOW393228 JYS393206:JYS393228 KIO393206:KIO393228 KSK393206:KSK393228 LCG393206:LCG393228 LMC393206:LMC393228 LVY393206:LVY393228 MFU393206:MFU393228 MPQ393206:MPQ393228 MZM393206:MZM393228 NJI393206:NJI393228 NTE393206:NTE393228 ODA393206:ODA393228 OMW393206:OMW393228 OWS393206:OWS393228 PGO393206:PGO393228 PQK393206:PQK393228 QAG393206:QAG393228 QKC393206:QKC393228 QTY393206:QTY393228 RDU393206:RDU393228 RNQ393206:RNQ393228 RXM393206:RXM393228 SHI393206:SHI393228 SRE393206:SRE393228 TBA393206:TBA393228 TKW393206:TKW393228 TUS393206:TUS393228 UEO393206:UEO393228 UOK393206:UOK393228 UYG393206:UYG393228 VIC393206:VIC393228 VRY393206:VRY393228 WBU393206:WBU393228 WLQ393206:WLQ393228 WVM393206:WVM393228 C458742:C458764 JA458742:JA458764 SW458742:SW458764 ACS458742:ACS458764 AMO458742:AMO458764 AWK458742:AWK458764 BGG458742:BGG458764 BQC458742:BQC458764 BZY458742:BZY458764 CJU458742:CJU458764 CTQ458742:CTQ458764 DDM458742:DDM458764 DNI458742:DNI458764 DXE458742:DXE458764 EHA458742:EHA458764 EQW458742:EQW458764 FAS458742:FAS458764 FKO458742:FKO458764 FUK458742:FUK458764 GEG458742:GEG458764 GOC458742:GOC458764 GXY458742:GXY458764 HHU458742:HHU458764 HRQ458742:HRQ458764 IBM458742:IBM458764 ILI458742:ILI458764 IVE458742:IVE458764 JFA458742:JFA458764 JOW458742:JOW458764 JYS458742:JYS458764 KIO458742:KIO458764 KSK458742:KSK458764 LCG458742:LCG458764 LMC458742:LMC458764 LVY458742:LVY458764 MFU458742:MFU458764 MPQ458742:MPQ458764 MZM458742:MZM458764 NJI458742:NJI458764 NTE458742:NTE458764 ODA458742:ODA458764 OMW458742:OMW458764 OWS458742:OWS458764 PGO458742:PGO458764 PQK458742:PQK458764 QAG458742:QAG458764 QKC458742:QKC458764 QTY458742:QTY458764 RDU458742:RDU458764 RNQ458742:RNQ458764 RXM458742:RXM458764 SHI458742:SHI458764 SRE458742:SRE458764 TBA458742:TBA458764 TKW458742:TKW458764 TUS458742:TUS458764 UEO458742:UEO458764 UOK458742:UOK458764 UYG458742:UYG458764 VIC458742:VIC458764 VRY458742:VRY458764 WBU458742:WBU458764 WLQ458742:WLQ458764 WVM458742:WVM458764 C524278:C524300 JA524278:JA524300 SW524278:SW524300 ACS524278:ACS524300 AMO524278:AMO524300 AWK524278:AWK524300 BGG524278:BGG524300 BQC524278:BQC524300 BZY524278:BZY524300 CJU524278:CJU524300 CTQ524278:CTQ524300 DDM524278:DDM524300 DNI524278:DNI524300 DXE524278:DXE524300 EHA524278:EHA524300 EQW524278:EQW524300 FAS524278:FAS524300 FKO524278:FKO524300 FUK524278:FUK524300 GEG524278:GEG524300 GOC524278:GOC524300 GXY524278:GXY524300 HHU524278:HHU524300 HRQ524278:HRQ524300 IBM524278:IBM524300 ILI524278:ILI524300 IVE524278:IVE524300 JFA524278:JFA524300 JOW524278:JOW524300 JYS524278:JYS524300 KIO524278:KIO524300 KSK524278:KSK524300 LCG524278:LCG524300 LMC524278:LMC524300 LVY524278:LVY524300 MFU524278:MFU524300 MPQ524278:MPQ524300 MZM524278:MZM524300 NJI524278:NJI524300 NTE524278:NTE524300 ODA524278:ODA524300 OMW524278:OMW524300 OWS524278:OWS524300 PGO524278:PGO524300 PQK524278:PQK524300 QAG524278:QAG524300 QKC524278:QKC524300 QTY524278:QTY524300 RDU524278:RDU524300 RNQ524278:RNQ524300 RXM524278:RXM524300 SHI524278:SHI524300 SRE524278:SRE524300 TBA524278:TBA524300 TKW524278:TKW524300 TUS524278:TUS524300 UEO524278:UEO524300 UOK524278:UOK524300 UYG524278:UYG524300 VIC524278:VIC524300 VRY524278:VRY524300 WBU524278:WBU524300 WLQ524278:WLQ524300 WVM524278:WVM524300 C589814:C589836 JA589814:JA589836 SW589814:SW589836 ACS589814:ACS589836 AMO589814:AMO589836 AWK589814:AWK589836 BGG589814:BGG589836 BQC589814:BQC589836 BZY589814:BZY589836 CJU589814:CJU589836 CTQ589814:CTQ589836 DDM589814:DDM589836 DNI589814:DNI589836 DXE589814:DXE589836 EHA589814:EHA589836 EQW589814:EQW589836 FAS589814:FAS589836 FKO589814:FKO589836 FUK589814:FUK589836 GEG589814:GEG589836 GOC589814:GOC589836 GXY589814:GXY589836 HHU589814:HHU589836 HRQ589814:HRQ589836 IBM589814:IBM589836 ILI589814:ILI589836 IVE589814:IVE589836 JFA589814:JFA589836 JOW589814:JOW589836 JYS589814:JYS589836 KIO589814:KIO589836 KSK589814:KSK589836 LCG589814:LCG589836 LMC589814:LMC589836 LVY589814:LVY589836 MFU589814:MFU589836 MPQ589814:MPQ589836 MZM589814:MZM589836 NJI589814:NJI589836 NTE589814:NTE589836 ODA589814:ODA589836 OMW589814:OMW589836 OWS589814:OWS589836 PGO589814:PGO589836 PQK589814:PQK589836 QAG589814:QAG589836 QKC589814:QKC589836 QTY589814:QTY589836 RDU589814:RDU589836 RNQ589814:RNQ589836 RXM589814:RXM589836 SHI589814:SHI589836 SRE589814:SRE589836 TBA589814:TBA589836 TKW589814:TKW589836 TUS589814:TUS589836 UEO589814:UEO589836 UOK589814:UOK589836 UYG589814:UYG589836 VIC589814:VIC589836 VRY589814:VRY589836 WBU589814:WBU589836 WLQ589814:WLQ589836 WVM589814:WVM589836 C655350:C655372 JA655350:JA655372 SW655350:SW655372 ACS655350:ACS655372 AMO655350:AMO655372 AWK655350:AWK655372 BGG655350:BGG655372 BQC655350:BQC655372 BZY655350:BZY655372 CJU655350:CJU655372 CTQ655350:CTQ655372 DDM655350:DDM655372 DNI655350:DNI655372 DXE655350:DXE655372 EHA655350:EHA655372 EQW655350:EQW655372 FAS655350:FAS655372 FKO655350:FKO655372 FUK655350:FUK655372 GEG655350:GEG655372 GOC655350:GOC655372 GXY655350:GXY655372 HHU655350:HHU655372 HRQ655350:HRQ655372 IBM655350:IBM655372 ILI655350:ILI655372 IVE655350:IVE655372 JFA655350:JFA655372 JOW655350:JOW655372 JYS655350:JYS655372 KIO655350:KIO655372 KSK655350:KSK655372 LCG655350:LCG655372 LMC655350:LMC655372 LVY655350:LVY655372 MFU655350:MFU655372 MPQ655350:MPQ655372 MZM655350:MZM655372 NJI655350:NJI655372 NTE655350:NTE655372 ODA655350:ODA655372 OMW655350:OMW655372 OWS655350:OWS655372 PGO655350:PGO655372 PQK655350:PQK655372 QAG655350:QAG655372 QKC655350:QKC655372 QTY655350:QTY655372 RDU655350:RDU655372 RNQ655350:RNQ655372 RXM655350:RXM655372 SHI655350:SHI655372 SRE655350:SRE655372 TBA655350:TBA655372 TKW655350:TKW655372 TUS655350:TUS655372 UEO655350:UEO655372 UOK655350:UOK655372 UYG655350:UYG655372 VIC655350:VIC655372 VRY655350:VRY655372 WBU655350:WBU655372 WLQ655350:WLQ655372 WVM655350:WVM655372 C720886:C720908 JA720886:JA720908 SW720886:SW720908 ACS720886:ACS720908 AMO720886:AMO720908 AWK720886:AWK720908 BGG720886:BGG720908 BQC720886:BQC720908 BZY720886:BZY720908 CJU720886:CJU720908 CTQ720886:CTQ720908 DDM720886:DDM720908 DNI720886:DNI720908 DXE720886:DXE720908 EHA720886:EHA720908 EQW720886:EQW720908 FAS720886:FAS720908 FKO720886:FKO720908 FUK720886:FUK720908 GEG720886:GEG720908 GOC720886:GOC720908 GXY720886:GXY720908 HHU720886:HHU720908 HRQ720886:HRQ720908 IBM720886:IBM720908 ILI720886:ILI720908 IVE720886:IVE720908 JFA720886:JFA720908 JOW720886:JOW720908 JYS720886:JYS720908 KIO720886:KIO720908 KSK720886:KSK720908 LCG720886:LCG720908 LMC720886:LMC720908 LVY720886:LVY720908 MFU720886:MFU720908 MPQ720886:MPQ720908 MZM720886:MZM720908 NJI720886:NJI720908 NTE720886:NTE720908 ODA720886:ODA720908 OMW720886:OMW720908 OWS720886:OWS720908 PGO720886:PGO720908 PQK720886:PQK720908 QAG720886:QAG720908 QKC720886:QKC720908 QTY720886:QTY720908 RDU720886:RDU720908 RNQ720886:RNQ720908 RXM720886:RXM720908 SHI720886:SHI720908 SRE720886:SRE720908 TBA720886:TBA720908 TKW720886:TKW720908 TUS720886:TUS720908 UEO720886:UEO720908 UOK720886:UOK720908 UYG720886:UYG720908 VIC720886:VIC720908 VRY720886:VRY720908 WBU720886:WBU720908 WLQ720886:WLQ720908 WVM720886:WVM720908 C786422:C786444 JA786422:JA786444 SW786422:SW786444 ACS786422:ACS786444 AMO786422:AMO786444 AWK786422:AWK786444 BGG786422:BGG786444 BQC786422:BQC786444 BZY786422:BZY786444 CJU786422:CJU786444 CTQ786422:CTQ786444 DDM786422:DDM786444 DNI786422:DNI786444 DXE786422:DXE786444 EHA786422:EHA786444 EQW786422:EQW786444 FAS786422:FAS786444 FKO786422:FKO786444 FUK786422:FUK786444 GEG786422:GEG786444 GOC786422:GOC786444 GXY786422:GXY786444 HHU786422:HHU786444 HRQ786422:HRQ786444 IBM786422:IBM786444 ILI786422:ILI786444 IVE786422:IVE786444 JFA786422:JFA786444 JOW786422:JOW786444 JYS786422:JYS786444 KIO786422:KIO786444 KSK786422:KSK786444 LCG786422:LCG786444 LMC786422:LMC786444 LVY786422:LVY786444 MFU786422:MFU786444 MPQ786422:MPQ786444 MZM786422:MZM786444 NJI786422:NJI786444 NTE786422:NTE786444 ODA786422:ODA786444 OMW786422:OMW786444 OWS786422:OWS786444 PGO786422:PGO786444 PQK786422:PQK786444 QAG786422:QAG786444 QKC786422:QKC786444 QTY786422:QTY786444 RDU786422:RDU786444 RNQ786422:RNQ786444 RXM786422:RXM786444 SHI786422:SHI786444 SRE786422:SRE786444 TBA786422:TBA786444 TKW786422:TKW786444 TUS786422:TUS786444 UEO786422:UEO786444 UOK786422:UOK786444 UYG786422:UYG786444 VIC786422:VIC786444 VRY786422:VRY786444 WBU786422:WBU786444 WLQ786422:WLQ786444 WVM786422:WVM786444 C851958:C851980 JA851958:JA851980 SW851958:SW851980 ACS851958:ACS851980 AMO851958:AMO851980 AWK851958:AWK851980 BGG851958:BGG851980 BQC851958:BQC851980 BZY851958:BZY851980 CJU851958:CJU851980 CTQ851958:CTQ851980 DDM851958:DDM851980 DNI851958:DNI851980 DXE851958:DXE851980 EHA851958:EHA851980 EQW851958:EQW851980 FAS851958:FAS851980 FKO851958:FKO851980 FUK851958:FUK851980 GEG851958:GEG851980 GOC851958:GOC851980 GXY851958:GXY851980 HHU851958:HHU851980 HRQ851958:HRQ851980 IBM851958:IBM851980 ILI851958:ILI851980 IVE851958:IVE851980 JFA851958:JFA851980 JOW851958:JOW851980 JYS851958:JYS851980 KIO851958:KIO851980 KSK851958:KSK851980 LCG851958:LCG851980 LMC851958:LMC851980 LVY851958:LVY851980 MFU851958:MFU851980 MPQ851958:MPQ851980 MZM851958:MZM851980 NJI851958:NJI851980 NTE851958:NTE851980 ODA851958:ODA851980 OMW851958:OMW851980 OWS851958:OWS851980 PGO851958:PGO851980 PQK851958:PQK851980 QAG851958:QAG851980 QKC851958:QKC851980 QTY851958:QTY851980 RDU851958:RDU851980 RNQ851958:RNQ851980 RXM851958:RXM851980 SHI851958:SHI851980 SRE851958:SRE851980 TBA851958:TBA851980 TKW851958:TKW851980 TUS851958:TUS851980 UEO851958:UEO851980 UOK851958:UOK851980 UYG851958:UYG851980 VIC851958:VIC851980 VRY851958:VRY851980 WBU851958:WBU851980 WLQ851958:WLQ851980 WVM851958:WVM851980 C917494:C917516 JA917494:JA917516 SW917494:SW917516 ACS917494:ACS917516 AMO917494:AMO917516 AWK917494:AWK917516 BGG917494:BGG917516 BQC917494:BQC917516 BZY917494:BZY917516 CJU917494:CJU917516 CTQ917494:CTQ917516 DDM917494:DDM917516 DNI917494:DNI917516 DXE917494:DXE917516 EHA917494:EHA917516 EQW917494:EQW917516 FAS917494:FAS917516 FKO917494:FKO917516 FUK917494:FUK917516 GEG917494:GEG917516 GOC917494:GOC917516 GXY917494:GXY917516 HHU917494:HHU917516 HRQ917494:HRQ917516 IBM917494:IBM917516 ILI917494:ILI917516 IVE917494:IVE917516 JFA917494:JFA917516 JOW917494:JOW917516 JYS917494:JYS917516 KIO917494:KIO917516 KSK917494:KSK917516 LCG917494:LCG917516 LMC917494:LMC917516 LVY917494:LVY917516 MFU917494:MFU917516 MPQ917494:MPQ917516 MZM917494:MZM917516 NJI917494:NJI917516 NTE917494:NTE917516 ODA917494:ODA917516 OMW917494:OMW917516 OWS917494:OWS917516 PGO917494:PGO917516 PQK917494:PQK917516 QAG917494:QAG917516 QKC917494:QKC917516 QTY917494:QTY917516 RDU917494:RDU917516 RNQ917494:RNQ917516 RXM917494:RXM917516 SHI917494:SHI917516 SRE917494:SRE917516 TBA917494:TBA917516 TKW917494:TKW917516 TUS917494:TUS917516 UEO917494:UEO917516 UOK917494:UOK917516 UYG917494:UYG917516 VIC917494:VIC917516 VRY917494:VRY917516 WBU917494:WBU917516 WLQ917494:WLQ917516 WVM917494:WVM917516 C983030:C983052 JA983030:JA983052 SW983030:SW983052 ACS983030:ACS983052 AMO983030:AMO983052 AWK983030:AWK983052 BGG983030:BGG983052 BQC983030:BQC983052 BZY983030:BZY983052 CJU983030:CJU983052 CTQ983030:CTQ983052 DDM983030:DDM983052 DNI983030:DNI983052 DXE983030:DXE983052 EHA983030:EHA983052 EQW983030:EQW983052 FAS983030:FAS983052 FKO983030:FKO983052 FUK983030:FUK983052 GEG983030:GEG983052 GOC983030:GOC983052 GXY983030:GXY983052 HHU983030:HHU983052 HRQ983030:HRQ983052 IBM983030:IBM983052 ILI983030:ILI983052 IVE983030:IVE983052 JFA983030:JFA983052 JOW983030:JOW983052 JYS983030:JYS983052 KIO983030:KIO983052 KSK983030:KSK983052 LCG983030:LCG983052 LMC983030:LMC983052 LVY983030:LVY983052 MFU983030:MFU983052 MPQ983030:MPQ983052 MZM983030:MZM983052 NJI983030:NJI983052 NTE983030:NTE983052 ODA983030:ODA983052 OMW983030:OMW983052 OWS983030:OWS983052 PGO983030:PGO983052 PQK983030:PQK983052 QAG983030:QAG983052 QKC983030:QKC983052 QTY983030:QTY983052 RDU983030:RDU983052 RNQ983030:RNQ983052 RXM983030:RXM983052 SHI983030:SHI983052 SRE983030:SRE983052 TBA983030:TBA983052 TKW983030:TKW983052 TUS983030:TUS983052 UEO983030:UEO983052 UOK983030:UOK983052 UYG983030:UYG983052 VIC983030:VIC983052 VRY983030:VRY983052 WBU983030:WBU983052 WLQ983030:WLQ983052 WVM983030:WVM983052 M65526:M65548 JI65526:JI65548 TE65526:TE65548 ADA65526:ADA65548 AMW65526:AMW65548 AWS65526:AWS65548 BGO65526:BGO65548 BQK65526:BQK65548 CAG65526:CAG65548 CKC65526:CKC65548 CTY65526:CTY65548 DDU65526:DDU65548 DNQ65526:DNQ65548 DXM65526:DXM65548 EHI65526:EHI65548 ERE65526:ERE65548 FBA65526:FBA65548 FKW65526:FKW65548 FUS65526:FUS65548 GEO65526:GEO65548 GOK65526:GOK65548 GYG65526:GYG65548 HIC65526:HIC65548 HRY65526:HRY65548 IBU65526:IBU65548 ILQ65526:ILQ65548 IVM65526:IVM65548 JFI65526:JFI65548 JPE65526:JPE65548 JZA65526:JZA65548 KIW65526:KIW65548 KSS65526:KSS65548 LCO65526:LCO65548 LMK65526:LMK65548 LWG65526:LWG65548 MGC65526:MGC65548 MPY65526:MPY65548 MZU65526:MZU65548 NJQ65526:NJQ65548 NTM65526:NTM65548 ODI65526:ODI65548 ONE65526:ONE65548 OXA65526:OXA65548 PGW65526:PGW65548 PQS65526:PQS65548 QAO65526:QAO65548 QKK65526:QKK65548 QUG65526:QUG65548 REC65526:REC65548 RNY65526:RNY65548 RXU65526:RXU65548 SHQ65526:SHQ65548 SRM65526:SRM65548 TBI65526:TBI65548 TLE65526:TLE65548 TVA65526:TVA65548 UEW65526:UEW65548 UOS65526:UOS65548 UYO65526:UYO65548 VIK65526:VIK65548 VSG65526:VSG65548 WCC65526:WCC65548 WLY65526:WLY65548 WVU65526:WVU65548 M131062:M131084 JI131062:JI131084 TE131062:TE131084 ADA131062:ADA131084 AMW131062:AMW131084 AWS131062:AWS131084 BGO131062:BGO131084 BQK131062:BQK131084 CAG131062:CAG131084 CKC131062:CKC131084 CTY131062:CTY131084 DDU131062:DDU131084 DNQ131062:DNQ131084 DXM131062:DXM131084 EHI131062:EHI131084 ERE131062:ERE131084 FBA131062:FBA131084 FKW131062:FKW131084 FUS131062:FUS131084 GEO131062:GEO131084 GOK131062:GOK131084 GYG131062:GYG131084 HIC131062:HIC131084 HRY131062:HRY131084 IBU131062:IBU131084 ILQ131062:ILQ131084 IVM131062:IVM131084 JFI131062:JFI131084 JPE131062:JPE131084 JZA131062:JZA131084 KIW131062:KIW131084 KSS131062:KSS131084 LCO131062:LCO131084 LMK131062:LMK131084 LWG131062:LWG131084 MGC131062:MGC131084 MPY131062:MPY131084 MZU131062:MZU131084 NJQ131062:NJQ131084 NTM131062:NTM131084 ODI131062:ODI131084 ONE131062:ONE131084 OXA131062:OXA131084 PGW131062:PGW131084 PQS131062:PQS131084 QAO131062:QAO131084 QKK131062:QKK131084 QUG131062:QUG131084 REC131062:REC131084 RNY131062:RNY131084 RXU131062:RXU131084 SHQ131062:SHQ131084 SRM131062:SRM131084 TBI131062:TBI131084 TLE131062:TLE131084 TVA131062:TVA131084 UEW131062:UEW131084 UOS131062:UOS131084 UYO131062:UYO131084 VIK131062:VIK131084 VSG131062:VSG131084 WCC131062:WCC131084 WLY131062:WLY131084 WVU131062:WVU131084 M196598:M196620 JI196598:JI196620 TE196598:TE196620 ADA196598:ADA196620 AMW196598:AMW196620 AWS196598:AWS196620 BGO196598:BGO196620 BQK196598:BQK196620 CAG196598:CAG196620 CKC196598:CKC196620 CTY196598:CTY196620 DDU196598:DDU196620 DNQ196598:DNQ196620 DXM196598:DXM196620 EHI196598:EHI196620 ERE196598:ERE196620 FBA196598:FBA196620 FKW196598:FKW196620 FUS196598:FUS196620 GEO196598:GEO196620 GOK196598:GOK196620 GYG196598:GYG196620 HIC196598:HIC196620 HRY196598:HRY196620 IBU196598:IBU196620 ILQ196598:ILQ196620 IVM196598:IVM196620 JFI196598:JFI196620 JPE196598:JPE196620 JZA196598:JZA196620 KIW196598:KIW196620 KSS196598:KSS196620 LCO196598:LCO196620 LMK196598:LMK196620 LWG196598:LWG196620 MGC196598:MGC196620 MPY196598:MPY196620 MZU196598:MZU196620 NJQ196598:NJQ196620 NTM196598:NTM196620 ODI196598:ODI196620 ONE196598:ONE196620 OXA196598:OXA196620 PGW196598:PGW196620 PQS196598:PQS196620 QAO196598:QAO196620 QKK196598:QKK196620 QUG196598:QUG196620 REC196598:REC196620 RNY196598:RNY196620 RXU196598:RXU196620 SHQ196598:SHQ196620 SRM196598:SRM196620 TBI196598:TBI196620 TLE196598:TLE196620 TVA196598:TVA196620 UEW196598:UEW196620 UOS196598:UOS196620 UYO196598:UYO196620 VIK196598:VIK196620 VSG196598:VSG196620 WCC196598:WCC196620 WLY196598:WLY196620 WVU196598:WVU196620 M262134:M262156 JI262134:JI262156 TE262134:TE262156 ADA262134:ADA262156 AMW262134:AMW262156 AWS262134:AWS262156 BGO262134:BGO262156 BQK262134:BQK262156 CAG262134:CAG262156 CKC262134:CKC262156 CTY262134:CTY262156 DDU262134:DDU262156 DNQ262134:DNQ262156 DXM262134:DXM262156 EHI262134:EHI262156 ERE262134:ERE262156 FBA262134:FBA262156 FKW262134:FKW262156 FUS262134:FUS262156 GEO262134:GEO262156 GOK262134:GOK262156 GYG262134:GYG262156 HIC262134:HIC262156 HRY262134:HRY262156 IBU262134:IBU262156 ILQ262134:ILQ262156 IVM262134:IVM262156 JFI262134:JFI262156 JPE262134:JPE262156 JZA262134:JZA262156 KIW262134:KIW262156 KSS262134:KSS262156 LCO262134:LCO262156 LMK262134:LMK262156 LWG262134:LWG262156 MGC262134:MGC262156 MPY262134:MPY262156 MZU262134:MZU262156 NJQ262134:NJQ262156 NTM262134:NTM262156 ODI262134:ODI262156 ONE262134:ONE262156 OXA262134:OXA262156 PGW262134:PGW262156 PQS262134:PQS262156 QAO262134:QAO262156 QKK262134:QKK262156 QUG262134:QUG262156 REC262134:REC262156 RNY262134:RNY262156 RXU262134:RXU262156 SHQ262134:SHQ262156 SRM262134:SRM262156 TBI262134:TBI262156 TLE262134:TLE262156 TVA262134:TVA262156 UEW262134:UEW262156 UOS262134:UOS262156 UYO262134:UYO262156 VIK262134:VIK262156 VSG262134:VSG262156 WCC262134:WCC262156 WLY262134:WLY262156 WVU262134:WVU262156 M327670:M327692 JI327670:JI327692 TE327670:TE327692 ADA327670:ADA327692 AMW327670:AMW327692 AWS327670:AWS327692 BGO327670:BGO327692 BQK327670:BQK327692 CAG327670:CAG327692 CKC327670:CKC327692 CTY327670:CTY327692 DDU327670:DDU327692 DNQ327670:DNQ327692 DXM327670:DXM327692 EHI327670:EHI327692 ERE327670:ERE327692 FBA327670:FBA327692 FKW327670:FKW327692 FUS327670:FUS327692 GEO327670:GEO327692 GOK327670:GOK327692 GYG327670:GYG327692 HIC327670:HIC327692 HRY327670:HRY327692 IBU327670:IBU327692 ILQ327670:ILQ327692 IVM327670:IVM327692 JFI327670:JFI327692 JPE327670:JPE327692 JZA327670:JZA327692 KIW327670:KIW327692 KSS327670:KSS327692 LCO327670:LCO327692 LMK327670:LMK327692 LWG327670:LWG327692 MGC327670:MGC327692 MPY327670:MPY327692 MZU327670:MZU327692 NJQ327670:NJQ327692 NTM327670:NTM327692 ODI327670:ODI327692 ONE327670:ONE327692 OXA327670:OXA327692 PGW327670:PGW327692 PQS327670:PQS327692 QAO327670:QAO327692 QKK327670:QKK327692 QUG327670:QUG327692 REC327670:REC327692 RNY327670:RNY327692 RXU327670:RXU327692 SHQ327670:SHQ327692 SRM327670:SRM327692 TBI327670:TBI327692 TLE327670:TLE327692 TVA327670:TVA327692 UEW327670:UEW327692 UOS327670:UOS327692 UYO327670:UYO327692 VIK327670:VIK327692 VSG327670:VSG327692 WCC327670:WCC327692 WLY327670:WLY327692 WVU327670:WVU327692 M393206:M393228 JI393206:JI393228 TE393206:TE393228 ADA393206:ADA393228 AMW393206:AMW393228 AWS393206:AWS393228 BGO393206:BGO393228 BQK393206:BQK393228 CAG393206:CAG393228 CKC393206:CKC393228 CTY393206:CTY393228 DDU393206:DDU393228 DNQ393206:DNQ393228 DXM393206:DXM393228 EHI393206:EHI393228 ERE393206:ERE393228 FBA393206:FBA393228 FKW393206:FKW393228 FUS393206:FUS393228 GEO393206:GEO393228 GOK393206:GOK393228 GYG393206:GYG393228 HIC393206:HIC393228 HRY393206:HRY393228 IBU393206:IBU393228 ILQ393206:ILQ393228 IVM393206:IVM393228 JFI393206:JFI393228 JPE393206:JPE393228 JZA393206:JZA393228 KIW393206:KIW393228 KSS393206:KSS393228 LCO393206:LCO393228 LMK393206:LMK393228 LWG393206:LWG393228 MGC393206:MGC393228 MPY393206:MPY393228 MZU393206:MZU393228 NJQ393206:NJQ393228 NTM393206:NTM393228 ODI393206:ODI393228 ONE393206:ONE393228 OXA393206:OXA393228 PGW393206:PGW393228 PQS393206:PQS393228 QAO393206:QAO393228 QKK393206:QKK393228 QUG393206:QUG393228 REC393206:REC393228 RNY393206:RNY393228 RXU393206:RXU393228 SHQ393206:SHQ393228 SRM393206:SRM393228 TBI393206:TBI393228 TLE393206:TLE393228 TVA393206:TVA393228 UEW393206:UEW393228 UOS393206:UOS393228 UYO393206:UYO393228 VIK393206:VIK393228 VSG393206:VSG393228 WCC393206:WCC393228 WLY393206:WLY393228 WVU393206:WVU393228 M458742:M458764 JI458742:JI458764 TE458742:TE458764 ADA458742:ADA458764 AMW458742:AMW458764 AWS458742:AWS458764 BGO458742:BGO458764 BQK458742:BQK458764 CAG458742:CAG458764 CKC458742:CKC458764 CTY458742:CTY458764 DDU458742:DDU458764 DNQ458742:DNQ458764 DXM458742:DXM458764 EHI458742:EHI458764 ERE458742:ERE458764 FBA458742:FBA458764 FKW458742:FKW458764 FUS458742:FUS458764 GEO458742:GEO458764 GOK458742:GOK458764 GYG458742:GYG458764 HIC458742:HIC458764 HRY458742:HRY458764 IBU458742:IBU458764 ILQ458742:ILQ458764 IVM458742:IVM458764 JFI458742:JFI458764 JPE458742:JPE458764 JZA458742:JZA458764 KIW458742:KIW458764 KSS458742:KSS458764 LCO458742:LCO458764 LMK458742:LMK458764 LWG458742:LWG458764 MGC458742:MGC458764 MPY458742:MPY458764 MZU458742:MZU458764 NJQ458742:NJQ458764 NTM458742:NTM458764 ODI458742:ODI458764 ONE458742:ONE458764 OXA458742:OXA458764 PGW458742:PGW458764 PQS458742:PQS458764 QAO458742:QAO458764 QKK458742:QKK458764 QUG458742:QUG458764 REC458742:REC458764 RNY458742:RNY458764 RXU458742:RXU458764 SHQ458742:SHQ458764 SRM458742:SRM458764 TBI458742:TBI458764 TLE458742:TLE458764 TVA458742:TVA458764 UEW458742:UEW458764 UOS458742:UOS458764 UYO458742:UYO458764 VIK458742:VIK458764 VSG458742:VSG458764 WCC458742:WCC458764 WLY458742:WLY458764 WVU458742:WVU458764 M524278:M524300 JI524278:JI524300 TE524278:TE524300 ADA524278:ADA524300 AMW524278:AMW524300 AWS524278:AWS524300 BGO524278:BGO524300 BQK524278:BQK524300 CAG524278:CAG524300 CKC524278:CKC524300 CTY524278:CTY524300 DDU524278:DDU524300 DNQ524278:DNQ524300 DXM524278:DXM524300 EHI524278:EHI524300 ERE524278:ERE524300 FBA524278:FBA524300 FKW524278:FKW524300 FUS524278:FUS524300 GEO524278:GEO524300 GOK524278:GOK524300 GYG524278:GYG524300 HIC524278:HIC524300 HRY524278:HRY524300 IBU524278:IBU524300 ILQ524278:ILQ524300 IVM524278:IVM524300 JFI524278:JFI524300 JPE524278:JPE524300 JZA524278:JZA524300 KIW524278:KIW524300 KSS524278:KSS524300 LCO524278:LCO524300 LMK524278:LMK524300 LWG524278:LWG524300 MGC524278:MGC524300 MPY524278:MPY524300 MZU524278:MZU524300 NJQ524278:NJQ524300 NTM524278:NTM524300 ODI524278:ODI524300 ONE524278:ONE524300 OXA524278:OXA524300 PGW524278:PGW524300 PQS524278:PQS524300 QAO524278:QAO524300 QKK524278:QKK524300 QUG524278:QUG524300 REC524278:REC524300 RNY524278:RNY524300 RXU524278:RXU524300 SHQ524278:SHQ524300 SRM524278:SRM524300 TBI524278:TBI524300 TLE524278:TLE524300 TVA524278:TVA524300 UEW524278:UEW524300 UOS524278:UOS524300 UYO524278:UYO524300 VIK524278:VIK524300 VSG524278:VSG524300 WCC524278:WCC524300 WLY524278:WLY524300 WVU524278:WVU524300 M589814:M589836 JI589814:JI589836 TE589814:TE589836 ADA589814:ADA589836 AMW589814:AMW589836 AWS589814:AWS589836 BGO589814:BGO589836 BQK589814:BQK589836 CAG589814:CAG589836 CKC589814:CKC589836 CTY589814:CTY589836 DDU589814:DDU589836 DNQ589814:DNQ589836 DXM589814:DXM589836 EHI589814:EHI589836 ERE589814:ERE589836 FBA589814:FBA589836 FKW589814:FKW589836 FUS589814:FUS589836 GEO589814:GEO589836 GOK589814:GOK589836 GYG589814:GYG589836 HIC589814:HIC589836 HRY589814:HRY589836 IBU589814:IBU589836 ILQ589814:ILQ589836 IVM589814:IVM589836 JFI589814:JFI589836 JPE589814:JPE589836 JZA589814:JZA589836 KIW589814:KIW589836 KSS589814:KSS589836 LCO589814:LCO589836 LMK589814:LMK589836 LWG589814:LWG589836 MGC589814:MGC589836 MPY589814:MPY589836 MZU589814:MZU589836 NJQ589814:NJQ589836 NTM589814:NTM589836 ODI589814:ODI589836 ONE589814:ONE589836 OXA589814:OXA589836 PGW589814:PGW589836 PQS589814:PQS589836 QAO589814:QAO589836 QKK589814:QKK589836 QUG589814:QUG589836 REC589814:REC589836 RNY589814:RNY589836 RXU589814:RXU589836 SHQ589814:SHQ589836 SRM589814:SRM589836 TBI589814:TBI589836 TLE589814:TLE589836 TVA589814:TVA589836 UEW589814:UEW589836 UOS589814:UOS589836 UYO589814:UYO589836 VIK589814:VIK589836 VSG589814:VSG589836 WCC589814:WCC589836 WLY589814:WLY589836 WVU589814:WVU589836 M655350:M655372 JI655350:JI655372 TE655350:TE655372 ADA655350:ADA655372 AMW655350:AMW655372 AWS655350:AWS655372 BGO655350:BGO655372 BQK655350:BQK655372 CAG655350:CAG655372 CKC655350:CKC655372 CTY655350:CTY655372 DDU655350:DDU655372 DNQ655350:DNQ655372 DXM655350:DXM655372 EHI655350:EHI655372 ERE655350:ERE655372 FBA655350:FBA655372 FKW655350:FKW655372 FUS655350:FUS655372 GEO655350:GEO655372 GOK655350:GOK655372 GYG655350:GYG655372 HIC655350:HIC655372 HRY655350:HRY655372 IBU655350:IBU655372 ILQ655350:ILQ655372 IVM655350:IVM655372 JFI655350:JFI655372 JPE655350:JPE655372 JZA655350:JZA655372 KIW655350:KIW655372 KSS655350:KSS655372 LCO655350:LCO655372 LMK655350:LMK655372 LWG655350:LWG655372 MGC655350:MGC655372 MPY655350:MPY655372 MZU655350:MZU655372 NJQ655350:NJQ655372 NTM655350:NTM655372 ODI655350:ODI655372 ONE655350:ONE655372 OXA655350:OXA655372 PGW655350:PGW655372 PQS655350:PQS655372 QAO655350:QAO655372 QKK655350:QKK655372 QUG655350:QUG655372 REC655350:REC655372 RNY655350:RNY655372 RXU655350:RXU655372 SHQ655350:SHQ655372 SRM655350:SRM655372 TBI655350:TBI655372 TLE655350:TLE655372 TVA655350:TVA655372 UEW655350:UEW655372 UOS655350:UOS655372 UYO655350:UYO655372 VIK655350:VIK655372 VSG655350:VSG655372 WCC655350:WCC655372 WLY655350:WLY655372 WVU655350:WVU655372 M720886:M720908 JI720886:JI720908 TE720886:TE720908 ADA720886:ADA720908 AMW720886:AMW720908 AWS720886:AWS720908 BGO720886:BGO720908 BQK720886:BQK720908 CAG720886:CAG720908 CKC720886:CKC720908 CTY720886:CTY720908 DDU720886:DDU720908 DNQ720886:DNQ720908 DXM720886:DXM720908 EHI720886:EHI720908 ERE720886:ERE720908 FBA720886:FBA720908 FKW720886:FKW720908 FUS720886:FUS720908 GEO720886:GEO720908 GOK720886:GOK720908 GYG720886:GYG720908 HIC720886:HIC720908 HRY720886:HRY720908 IBU720886:IBU720908 ILQ720886:ILQ720908 IVM720886:IVM720908 JFI720886:JFI720908 JPE720886:JPE720908 JZA720886:JZA720908 KIW720886:KIW720908 KSS720886:KSS720908 LCO720886:LCO720908 LMK720886:LMK720908 LWG720886:LWG720908 MGC720886:MGC720908 MPY720886:MPY720908 MZU720886:MZU720908 NJQ720886:NJQ720908 NTM720886:NTM720908 ODI720886:ODI720908 ONE720886:ONE720908 OXA720886:OXA720908 PGW720886:PGW720908 PQS720886:PQS720908 QAO720886:QAO720908 QKK720886:QKK720908 QUG720886:QUG720908 REC720886:REC720908 RNY720886:RNY720908 RXU720886:RXU720908 SHQ720886:SHQ720908 SRM720886:SRM720908 TBI720886:TBI720908 TLE720886:TLE720908 TVA720886:TVA720908 UEW720886:UEW720908 UOS720886:UOS720908 UYO720886:UYO720908 VIK720886:VIK720908 VSG720886:VSG720908 WCC720886:WCC720908 WLY720886:WLY720908 WVU720886:WVU720908 M786422:M786444 JI786422:JI786444 TE786422:TE786444 ADA786422:ADA786444 AMW786422:AMW786444 AWS786422:AWS786444 BGO786422:BGO786444 BQK786422:BQK786444 CAG786422:CAG786444 CKC786422:CKC786444 CTY786422:CTY786444 DDU786422:DDU786444 DNQ786422:DNQ786444 DXM786422:DXM786444 EHI786422:EHI786444 ERE786422:ERE786444 FBA786422:FBA786444 FKW786422:FKW786444 FUS786422:FUS786444 GEO786422:GEO786444 GOK786422:GOK786444 GYG786422:GYG786444 HIC786422:HIC786444 HRY786422:HRY786444 IBU786422:IBU786444 ILQ786422:ILQ786444 IVM786422:IVM786444 JFI786422:JFI786444 JPE786422:JPE786444 JZA786422:JZA786444 KIW786422:KIW786444 KSS786422:KSS786444 LCO786422:LCO786444 LMK786422:LMK786444 LWG786422:LWG786444 MGC786422:MGC786444 MPY786422:MPY786444 MZU786422:MZU786444 NJQ786422:NJQ786444 NTM786422:NTM786444 ODI786422:ODI786444 ONE786422:ONE786444 OXA786422:OXA786444 PGW786422:PGW786444 PQS786422:PQS786444 QAO786422:QAO786444 QKK786422:QKK786444 QUG786422:QUG786444 REC786422:REC786444 RNY786422:RNY786444 RXU786422:RXU786444 SHQ786422:SHQ786444 SRM786422:SRM786444 TBI786422:TBI786444 TLE786422:TLE786444 TVA786422:TVA786444 UEW786422:UEW786444 UOS786422:UOS786444 UYO786422:UYO786444 VIK786422:VIK786444 VSG786422:VSG786444 WCC786422:WCC786444 WLY786422:WLY786444 WVU786422:WVU786444 M851958:M851980 JI851958:JI851980 TE851958:TE851980 ADA851958:ADA851980 AMW851958:AMW851980 AWS851958:AWS851980 BGO851958:BGO851980 BQK851958:BQK851980 CAG851958:CAG851980 CKC851958:CKC851980 CTY851958:CTY851980 DDU851958:DDU851980 DNQ851958:DNQ851980 DXM851958:DXM851980 EHI851958:EHI851980 ERE851958:ERE851980 FBA851958:FBA851980 FKW851958:FKW851980 FUS851958:FUS851980 GEO851958:GEO851980 GOK851958:GOK851980 GYG851958:GYG851980 HIC851958:HIC851980 HRY851958:HRY851980 IBU851958:IBU851980 ILQ851958:ILQ851980 IVM851958:IVM851980 JFI851958:JFI851980 JPE851958:JPE851980 JZA851958:JZA851980 KIW851958:KIW851980 KSS851958:KSS851980 LCO851958:LCO851980 LMK851958:LMK851980 LWG851958:LWG851980 MGC851958:MGC851980 MPY851958:MPY851980 MZU851958:MZU851980 NJQ851958:NJQ851980 NTM851958:NTM851980 ODI851958:ODI851980 ONE851958:ONE851980 OXA851958:OXA851980 PGW851958:PGW851980 PQS851958:PQS851980 QAO851958:QAO851980 QKK851958:QKK851980 QUG851958:QUG851980 REC851958:REC851980 RNY851958:RNY851980 RXU851958:RXU851980 SHQ851958:SHQ851980 SRM851958:SRM851980 TBI851958:TBI851980 TLE851958:TLE851980 TVA851958:TVA851980 UEW851958:UEW851980 UOS851958:UOS851980 UYO851958:UYO851980 VIK851958:VIK851980 VSG851958:VSG851980 WCC851958:WCC851980 WLY851958:WLY851980 WVU851958:WVU851980 M917494:M917516 JI917494:JI917516 TE917494:TE917516 ADA917494:ADA917516 AMW917494:AMW917516 AWS917494:AWS917516 BGO917494:BGO917516 BQK917494:BQK917516 CAG917494:CAG917516 CKC917494:CKC917516 CTY917494:CTY917516 DDU917494:DDU917516 DNQ917494:DNQ917516 DXM917494:DXM917516 EHI917494:EHI917516 ERE917494:ERE917516 FBA917494:FBA917516 FKW917494:FKW917516 FUS917494:FUS917516 GEO917494:GEO917516 GOK917494:GOK917516 GYG917494:GYG917516 HIC917494:HIC917516 HRY917494:HRY917516 IBU917494:IBU917516 ILQ917494:ILQ917516 IVM917494:IVM917516 JFI917494:JFI917516 JPE917494:JPE917516 JZA917494:JZA917516 KIW917494:KIW917516 KSS917494:KSS917516 LCO917494:LCO917516 LMK917494:LMK917516 LWG917494:LWG917516 MGC917494:MGC917516 MPY917494:MPY917516 MZU917494:MZU917516 NJQ917494:NJQ917516 NTM917494:NTM917516 ODI917494:ODI917516 ONE917494:ONE917516 OXA917494:OXA917516 PGW917494:PGW917516 PQS917494:PQS917516 QAO917494:QAO917516 QKK917494:QKK917516 QUG917494:QUG917516 REC917494:REC917516 RNY917494:RNY917516 RXU917494:RXU917516 SHQ917494:SHQ917516 SRM917494:SRM917516 TBI917494:TBI917516 TLE917494:TLE917516 TVA917494:TVA917516 UEW917494:UEW917516 UOS917494:UOS917516 UYO917494:UYO917516 VIK917494:VIK917516 VSG917494:VSG917516 WCC917494:WCC917516 WLY917494:WLY917516 WVU917494:WVU917516 M983030:M983052 JI983030:JI983052 TE983030:TE983052 ADA983030:ADA983052 AMW983030:AMW983052 AWS983030:AWS983052 BGO983030:BGO983052 BQK983030:BQK983052 CAG983030:CAG983052 CKC983030:CKC983052 CTY983030:CTY983052 DDU983030:DDU983052 DNQ983030:DNQ983052 DXM983030:DXM983052 EHI983030:EHI983052 ERE983030:ERE983052 FBA983030:FBA983052 FKW983030:FKW983052 FUS983030:FUS983052 GEO983030:GEO983052 GOK983030:GOK983052 GYG983030:GYG983052 HIC983030:HIC983052 HRY983030:HRY983052 IBU983030:IBU983052 ILQ983030:ILQ983052 IVM983030:IVM983052 JFI983030:JFI983052 JPE983030:JPE983052 JZA983030:JZA983052 KIW983030:KIW983052 KSS983030:KSS983052 LCO983030:LCO983052 LMK983030:LMK983052 LWG983030:LWG983052 MGC983030:MGC983052 MPY983030:MPY983052 MZU983030:MZU983052 NJQ983030:NJQ983052 NTM983030:NTM983052 ODI983030:ODI983052 ONE983030:ONE983052 OXA983030:OXA983052 PGW983030:PGW983052 PQS983030:PQS983052 QAO983030:QAO983052 QKK983030:QKK983052 QUG983030:QUG983052 REC983030:REC983052 RNY983030:RNY983052 RXU983030:RXU983052 SHQ983030:SHQ983052 SRM983030:SRM983052 TBI983030:TBI983052 TLE983030:TLE983052 TVA983030:TVA983052 UEW983030:UEW983052 UOS983030:UOS983052 UYO983030:UYO983052 VIK983030:VIK983052 VSG983030:VSG983052 WCC983030:WCC983052 WLY983030:WLY983052 F983030:I983052 F917494:I917516 F851958:I851980 F786422:I786444 F720886:I720908 F655350:I655372 F589814:I589836 F524278:I524300 F458742:I458764 F393206:I393228 F327670:I327692 F262134:I262156 F196598:I196620 F131062:I131084 F65526:I65548" xr:uid="{2804758D-B9CD-4DC0-A409-B28BD152974C}">
      <formula1>0</formula1>
    </dataValidation>
    <dataValidation type="decimal" operator="lessThanOrEqual" allowBlank="1" showInputMessage="1" showErrorMessage="1" errorTitle="Positief bedrag" error="Gelieve een negatief bedrag in te geven" sqref="D65526:D65548 JB65526:JB65548 SX65526:SX65548 ACT65526:ACT65548 AMP65526:AMP65548 AWL65526:AWL65548 BGH65526:BGH65548 BQD65526:BQD65548 BZZ65526:BZZ65548 CJV65526:CJV65548 CTR65526:CTR65548 DDN65526:DDN65548 DNJ65526:DNJ65548 DXF65526:DXF65548 EHB65526:EHB65548 EQX65526:EQX65548 FAT65526:FAT65548 FKP65526:FKP65548 FUL65526:FUL65548 GEH65526:GEH65548 GOD65526:GOD65548 GXZ65526:GXZ65548 HHV65526:HHV65548 HRR65526:HRR65548 IBN65526:IBN65548 ILJ65526:ILJ65548 IVF65526:IVF65548 JFB65526:JFB65548 JOX65526:JOX65548 JYT65526:JYT65548 KIP65526:KIP65548 KSL65526:KSL65548 LCH65526:LCH65548 LMD65526:LMD65548 LVZ65526:LVZ65548 MFV65526:MFV65548 MPR65526:MPR65548 MZN65526:MZN65548 NJJ65526:NJJ65548 NTF65526:NTF65548 ODB65526:ODB65548 OMX65526:OMX65548 OWT65526:OWT65548 PGP65526:PGP65548 PQL65526:PQL65548 QAH65526:QAH65548 QKD65526:QKD65548 QTZ65526:QTZ65548 RDV65526:RDV65548 RNR65526:RNR65548 RXN65526:RXN65548 SHJ65526:SHJ65548 SRF65526:SRF65548 TBB65526:TBB65548 TKX65526:TKX65548 TUT65526:TUT65548 UEP65526:UEP65548 UOL65526:UOL65548 UYH65526:UYH65548 VID65526:VID65548 VRZ65526:VRZ65548 WBV65526:WBV65548 WLR65526:WLR65548 WVN65526:WVN65548 D131062:D131084 JB131062:JB131084 SX131062:SX131084 ACT131062:ACT131084 AMP131062:AMP131084 AWL131062:AWL131084 BGH131062:BGH131084 BQD131062:BQD131084 BZZ131062:BZZ131084 CJV131062:CJV131084 CTR131062:CTR131084 DDN131062:DDN131084 DNJ131062:DNJ131084 DXF131062:DXF131084 EHB131062:EHB131084 EQX131062:EQX131084 FAT131062:FAT131084 FKP131062:FKP131084 FUL131062:FUL131084 GEH131062:GEH131084 GOD131062:GOD131084 GXZ131062:GXZ131084 HHV131062:HHV131084 HRR131062:HRR131084 IBN131062:IBN131084 ILJ131062:ILJ131084 IVF131062:IVF131084 JFB131062:JFB131084 JOX131062:JOX131084 JYT131062:JYT131084 KIP131062:KIP131084 KSL131062:KSL131084 LCH131062:LCH131084 LMD131062:LMD131084 LVZ131062:LVZ131084 MFV131062:MFV131084 MPR131062:MPR131084 MZN131062:MZN131084 NJJ131062:NJJ131084 NTF131062:NTF131084 ODB131062:ODB131084 OMX131062:OMX131084 OWT131062:OWT131084 PGP131062:PGP131084 PQL131062:PQL131084 QAH131062:QAH131084 QKD131062:QKD131084 QTZ131062:QTZ131084 RDV131062:RDV131084 RNR131062:RNR131084 RXN131062:RXN131084 SHJ131062:SHJ131084 SRF131062:SRF131084 TBB131062:TBB131084 TKX131062:TKX131084 TUT131062:TUT131084 UEP131062:UEP131084 UOL131062:UOL131084 UYH131062:UYH131084 VID131062:VID131084 VRZ131062:VRZ131084 WBV131062:WBV131084 WLR131062:WLR131084 WVN131062:WVN131084 D196598:D196620 JB196598:JB196620 SX196598:SX196620 ACT196598:ACT196620 AMP196598:AMP196620 AWL196598:AWL196620 BGH196598:BGH196620 BQD196598:BQD196620 BZZ196598:BZZ196620 CJV196598:CJV196620 CTR196598:CTR196620 DDN196598:DDN196620 DNJ196598:DNJ196620 DXF196598:DXF196620 EHB196598:EHB196620 EQX196598:EQX196620 FAT196598:FAT196620 FKP196598:FKP196620 FUL196598:FUL196620 GEH196598:GEH196620 GOD196598:GOD196620 GXZ196598:GXZ196620 HHV196598:HHV196620 HRR196598:HRR196620 IBN196598:IBN196620 ILJ196598:ILJ196620 IVF196598:IVF196620 JFB196598:JFB196620 JOX196598:JOX196620 JYT196598:JYT196620 KIP196598:KIP196620 KSL196598:KSL196620 LCH196598:LCH196620 LMD196598:LMD196620 LVZ196598:LVZ196620 MFV196598:MFV196620 MPR196598:MPR196620 MZN196598:MZN196620 NJJ196598:NJJ196620 NTF196598:NTF196620 ODB196598:ODB196620 OMX196598:OMX196620 OWT196598:OWT196620 PGP196598:PGP196620 PQL196598:PQL196620 QAH196598:QAH196620 QKD196598:QKD196620 QTZ196598:QTZ196620 RDV196598:RDV196620 RNR196598:RNR196620 RXN196598:RXN196620 SHJ196598:SHJ196620 SRF196598:SRF196620 TBB196598:TBB196620 TKX196598:TKX196620 TUT196598:TUT196620 UEP196598:UEP196620 UOL196598:UOL196620 UYH196598:UYH196620 VID196598:VID196620 VRZ196598:VRZ196620 WBV196598:WBV196620 WLR196598:WLR196620 WVN196598:WVN196620 D262134:D262156 JB262134:JB262156 SX262134:SX262156 ACT262134:ACT262156 AMP262134:AMP262156 AWL262134:AWL262156 BGH262134:BGH262156 BQD262134:BQD262156 BZZ262134:BZZ262156 CJV262134:CJV262156 CTR262134:CTR262156 DDN262134:DDN262156 DNJ262134:DNJ262156 DXF262134:DXF262156 EHB262134:EHB262156 EQX262134:EQX262156 FAT262134:FAT262156 FKP262134:FKP262156 FUL262134:FUL262156 GEH262134:GEH262156 GOD262134:GOD262156 GXZ262134:GXZ262156 HHV262134:HHV262156 HRR262134:HRR262156 IBN262134:IBN262156 ILJ262134:ILJ262156 IVF262134:IVF262156 JFB262134:JFB262156 JOX262134:JOX262156 JYT262134:JYT262156 KIP262134:KIP262156 KSL262134:KSL262156 LCH262134:LCH262156 LMD262134:LMD262156 LVZ262134:LVZ262156 MFV262134:MFV262156 MPR262134:MPR262156 MZN262134:MZN262156 NJJ262134:NJJ262156 NTF262134:NTF262156 ODB262134:ODB262156 OMX262134:OMX262156 OWT262134:OWT262156 PGP262134:PGP262156 PQL262134:PQL262156 QAH262134:QAH262156 QKD262134:QKD262156 QTZ262134:QTZ262156 RDV262134:RDV262156 RNR262134:RNR262156 RXN262134:RXN262156 SHJ262134:SHJ262156 SRF262134:SRF262156 TBB262134:TBB262156 TKX262134:TKX262156 TUT262134:TUT262156 UEP262134:UEP262156 UOL262134:UOL262156 UYH262134:UYH262156 VID262134:VID262156 VRZ262134:VRZ262156 WBV262134:WBV262156 WLR262134:WLR262156 WVN262134:WVN262156 D327670:D327692 JB327670:JB327692 SX327670:SX327692 ACT327670:ACT327692 AMP327670:AMP327692 AWL327670:AWL327692 BGH327670:BGH327692 BQD327670:BQD327692 BZZ327670:BZZ327692 CJV327670:CJV327692 CTR327670:CTR327692 DDN327670:DDN327692 DNJ327670:DNJ327692 DXF327670:DXF327692 EHB327670:EHB327692 EQX327670:EQX327692 FAT327670:FAT327692 FKP327670:FKP327692 FUL327670:FUL327692 GEH327670:GEH327692 GOD327670:GOD327692 GXZ327670:GXZ327692 HHV327670:HHV327692 HRR327670:HRR327692 IBN327670:IBN327692 ILJ327670:ILJ327692 IVF327670:IVF327692 JFB327670:JFB327692 JOX327670:JOX327692 JYT327670:JYT327692 KIP327670:KIP327692 KSL327670:KSL327692 LCH327670:LCH327692 LMD327670:LMD327692 LVZ327670:LVZ327692 MFV327670:MFV327692 MPR327670:MPR327692 MZN327670:MZN327692 NJJ327670:NJJ327692 NTF327670:NTF327692 ODB327670:ODB327692 OMX327670:OMX327692 OWT327670:OWT327692 PGP327670:PGP327692 PQL327670:PQL327692 QAH327670:QAH327692 QKD327670:QKD327692 QTZ327670:QTZ327692 RDV327670:RDV327692 RNR327670:RNR327692 RXN327670:RXN327692 SHJ327670:SHJ327692 SRF327670:SRF327692 TBB327670:TBB327692 TKX327670:TKX327692 TUT327670:TUT327692 UEP327670:UEP327692 UOL327670:UOL327692 UYH327670:UYH327692 VID327670:VID327692 VRZ327670:VRZ327692 WBV327670:WBV327692 WLR327670:WLR327692 WVN327670:WVN327692 D393206:D393228 JB393206:JB393228 SX393206:SX393228 ACT393206:ACT393228 AMP393206:AMP393228 AWL393206:AWL393228 BGH393206:BGH393228 BQD393206:BQD393228 BZZ393206:BZZ393228 CJV393206:CJV393228 CTR393206:CTR393228 DDN393206:DDN393228 DNJ393206:DNJ393228 DXF393206:DXF393228 EHB393206:EHB393228 EQX393206:EQX393228 FAT393206:FAT393228 FKP393206:FKP393228 FUL393206:FUL393228 GEH393206:GEH393228 GOD393206:GOD393228 GXZ393206:GXZ393228 HHV393206:HHV393228 HRR393206:HRR393228 IBN393206:IBN393228 ILJ393206:ILJ393228 IVF393206:IVF393228 JFB393206:JFB393228 JOX393206:JOX393228 JYT393206:JYT393228 KIP393206:KIP393228 KSL393206:KSL393228 LCH393206:LCH393228 LMD393206:LMD393228 LVZ393206:LVZ393228 MFV393206:MFV393228 MPR393206:MPR393228 MZN393206:MZN393228 NJJ393206:NJJ393228 NTF393206:NTF393228 ODB393206:ODB393228 OMX393206:OMX393228 OWT393206:OWT393228 PGP393206:PGP393228 PQL393206:PQL393228 QAH393206:QAH393228 QKD393206:QKD393228 QTZ393206:QTZ393228 RDV393206:RDV393228 RNR393206:RNR393228 RXN393206:RXN393228 SHJ393206:SHJ393228 SRF393206:SRF393228 TBB393206:TBB393228 TKX393206:TKX393228 TUT393206:TUT393228 UEP393206:UEP393228 UOL393206:UOL393228 UYH393206:UYH393228 VID393206:VID393228 VRZ393206:VRZ393228 WBV393206:WBV393228 WLR393206:WLR393228 WVN393206:WVN393228 D458742:D458764 JB458742:JB458764 SX458742:SX458764 ACT458742:ACT458764 AMP458742:AMP458764 AWL458742:AWL458764 BGH458742:BGH458764 BQD458742:BQD458764 BZZ458742:BZZ458764 CJV458742:CJV458764 CTR458742:CTR458764 DDN458742:DDN458764 DNJ458742:DNJ458764 DXF458742:DXF458764 EHB458742:EHB458764 EQX458742:EQX458764 FAT458742:FAT458764 FKP458742:FKP458764 FUL458742:FUL458764 GEH458742:GEH458764 GOD458742:GOD458764 GXZ458742:GXZ458764 HHV458742:HHV458764 HRR458742:HRR458764 IBN458742:IBN458764 ILJ458742:ILJ458764 IVF458742:IVF458764 JFB458742:JFB458764 JOX458742:JOX458764 JYT458742:JYT458764 KIP458742:KIP458764 KSL458742:KSL458764 LCH458742:LCH458764 LMD458742:LMD458764 LVZ458742:LVZ458764 MFV458742:MFV458764 MPR458742:MPR458764 MZN458742:MZN458764 NJJ458742:NJJ458764 NTF458742:NTF458764 ODB458742:ODB458764 OMX458742:OMX458764 OWT458742:OWT458764 PGP458742:PGP458764 PQL458742:PQL458764 QAH458742:QAH458764 QKD458742:QKD458764 QTZ458742:QTZ458764 RDV458742:RDV458764 RNR458742:RNR458764 RXN458742:RXN458764 SHJ458742:SHJ458764 SRF458742:SRF458764 TBB458742:TBB458764 TKX458742:TKX458764 TUT458742:TUT458764 UEP458742:UEP458764 UOL458742:UOL458764 UYH458742:UYH458764 VID458742:VID458764 VRZ458742:VRZ458764 WBV458742:WBV458764 WLR458742:WLR458764 WVN458742:WVN458764 D524278:D524300 JB524278:JB524300 SX524278:SX524300 ACT524278:ACT524300 AMP524278:AMP524300 AWL524278:AWL524300 BGH524278:BGH524300 BQD524278:BQD524300 BZZ524278:BZZ524300 CJV524278:CJV524300 CTR524278:CTR524300 DDN524278:DDN524300 DNJ524278:DNJ524300 DXF524278:DXF524300 EHB524278:EHB524300 EQX524278:EQX524300 FAT524278:FAT524300 FKP524278:FKP524300 FUL524278:FUL524300 GEH524278:GEH524300 GOD524278:GOD524300 GXZ524278:GXZ524300 HHV524278:HHV524300 HRR524278:HRR524300 IBN524278:IBN524300 ILJ524278:ILJ524300 IVF524278:IVF524300 JFB524278:JFB524300 JOX524278:JOX524300 JYT524278:JYT524300 KIP524278:KIP524300 KSL524278:KSL524300 LCH524278:LCH524300 LMD524278:LMD524300 LVZ524278:LVZ524300 MFV524278:MFV524300 MPR524278:MPR524300 MZN524278:MZN524300 NJJ524278:NJJ524300 NTF524278:NTF524300 ODB524278:ODB524300 OMX524278:OMX524300 OWT524278:OWT524300 PGP524278:PGP524300 PQL524278:PQL524300 QAH524278:QAH524300 QKD524278:QKD524300 QTZ524278:QTZ524300 RDV524278:RDV524300 RNR524278:RNR524300 RXN524278:RXN524300 SHJ524278:SHJ524300 SRF524278:SRF524300 TBB524278:TBB524300 TKX524278:TKX524300 TUT524278:TUT524300 UEP524278:UEP524300 UOL524278:UOL524300 UYH524278:UYH524300 VID524278:VID524300 VRZ524278:VRZ524300 WBV524278:WBV524300 WLR524278:WLR524300 WVN524278:WVN524300 D589814:D589836 JB589814:JB589836 SX589814:SX589836 ACT589814:ACT589836 AMP589814:AMP589836 AWL589814:AWL589836 BGH589814:BGH589836 BQD589814:BQD589836 BZZ589814:BZZ589836 CJV589814:CJV589836 CTR589814:CTR589836 DDN589814:DDN589836 DNJ589814:DNJ589836 DXF589814:DXF589836 EHB589814:EHB589836 EQX589814:EQX589836 FAT589814:FAT589836 FKP589814:FKP589836 FUL589814:FUL589836 GEH589814:GEH589836 GOD589814:GOD589836 GXZ589814:GXZ589836 HHV589814:HHV589836 HRR589814:HRR589836 IBN589814:IBN589836 ILJ589814:ILJ589836 IVF589814:IVF589836 JFB589814:JFB589836 JOX589814:JOX589836 JYT589814:JYT589836 KIP589814:KIP589836 KSL589814:KSL589836 LCH589814:LCH589836 LMD589814:LMD589836 LVZ589814:LVZ589836 MFV589814:MFV589836 MPR589814:MPR589836 MZN589814:MZN589836 NJJ589814:NJJ589836 NTF589814:NTF589836 ODB589814:ODB589836 OMX589814:OMX589836 OWT589814:OWT589836 PGP589814:PGP589836 PQL589814:PQL589836 QAH589814:QAH589836 QKD589814:QKD589836 QTZ589814:QTZ589836 RDV589814:RDV589836 RNR589814:RNR589836 RXN589814:RXN589836 SHJ589814:SHJ589836 SRF589814:SRF589836 TBB589814:TBB589836 TKX589814:TKX589836 TUT589814:TUT589836 UEP589814:UEP589836 UOL589814:UOL589836 UYH589814:UYH589836 VID589814:VID589836 VRZ589814:VRZ589836 WBV589814:WBV589836 WLR589814:WLR589836 WVN589814:WVN589836 D655350:D655372 JB655350:JB655372 SX655350:SX655372 ACT655350:ACT655372 AMP655350:AMP655372 AWL655350:AWL655372 BGH655350:BGH655372 BQD655350:BQD655372 BZZ655350:BZZ655372 CJV655350:CJV655372 CTR655350:CTR655372 DDN655350:DDN655372 DNJ655350:DNJ655372 DXF655350:DXF655372 EHB655350:EHB655372 EQX655350:EQX655372 FAT655350:FAT655372 FKP655350:FKP655372 FUL655350:FUL655372 GEH655350:GEH655372 GOD655350:GOD655372 GXZ655350:GXZ655372 HHV655350:HHV655372 HRR655350:HRR655372 IBN655350:IBN655372 ILJ655350:ILJ655372 IVF655350:IVF655372 JFB655350:JFB655372 JOX655350:JOX655372 JYT655350:JYT655372 KIP655350:KIP655372 KSL655350:KSL655372 LCH655350:LCH655372 LMD655350:LMD655372 LVZ655350:LVZ655372 MFV655350:MFV655372 MPR655350:MPR655372 MZN655350:MZN655372 NJJ655350:NJJ655372 NTF655350:NTF655372 ODB655350:ODB655372 OMX655350:OMX655372 OWT655350:OWT655372 PGP655350:PGP655372 PQL655350:PQL655372 QAH655350:QAH655372 QKD655350:QKD655372 QTZ655350:QTZ655372 RDV655350:RDV655372 RNR655350:RNR655372 RXN655350:RXN655372 SHJ655350:SHJ655372 SRF655350:SRF655372 TBB655350:TBB655372 TKX655350:TKX655372 TUT655350:TUT655372 UEP655350:UEP655372 UOL655350:UOL655372 UYH655350:UYH655372 VID655350:VID655372 VRZ655350:VRZ655372 WBV655350:WBV655372 WLR655350:WLR655372 WVN655350:WVN655372 D720886:D720908 JB720886:JB720908 SX720886:SX720908 ACT720886:ACT720908 AMP720886:AMP720908 AWL720886:AWL720908 BGH720886:BGH720908 BQD720886:BQD720908 BZZ720886:BZZ720908 CJV720886:CJV720908 CTR720886:CTR720908 DDN720886:DDN720908 DNJ720886:DNJ720908 DXF720886:DXF720908 EHB720886:EHB720908 EQX720886:EQX720908 FAT720886:FAT720908 FKP720886:FKP720908 FUL720886:FUL720908 GEH720886:GEH720908 GOD720886:GOD720908 GXZ720886:GXZ720908 HHV720886:HHV720908 HRR720886:HRR720908 IBN720886:IBN720908 ILJ720886:ILJ720908 IVF720886:IVF720908 JFB720886:JFB720908 JOX720886:JOX720908 JYT720886:JYT720908 KIP720886:KIP720908 KSL720886:KSL720908 LCH720886:LCH720908 LMD720886:LMD720908 LVZ720886:LVZ720908 MFV720886:MFV720908 MPR720886:MPR720908 MZN720886:MZN720908 NJJ720886:NJJ720908 NTF720886:NTF720908 ODB720886:ODB720908 OMX720886:OMX720908 OWT720886:OWT720908 PGP720886:PGP720908 PQL720886:PQL720908 QAH720886:QAH720908 QKD720886:QKD720908 QTZ720886:QTZ720908 RDV720886:RDV720908 RNR720886:RNR720908 RXN720886:RXN720908 SHJ720886:SHJ720908 SRF720886:SRF720908 TBB720886:TBB720908 TKX720886:TKX720908 TUT720886:TUT720908 UEP720886:UEP720908 UOL720886:UOL720908 UYH720886:UYH720908 VID720886:VID720908 VRZ720886:VRZ720908 WBV720886:WBV720908 WLR720886:WLR720908 WVN720886:WVN720908 D786422:D786444 JB786422:JB786444 SX786422:SX786444 ACT786422:ACT786444 AMP786422:AMP786444 AWL786422:AWL786444 BGH786422:BGH786444 BQD786422:BQD786444 BZZ786422:BZZ786444 CJV786422:CJV786444 CTR786422:CTR786444 DDN786422:DDN786444 DNJ786422:DNJ786444 DXF786422:DXF786444 EHB786422:EHB786444 EQX786422:EQX786444 FAT786422:FAT786444 FKP786422:FKP786444 FUL786422:FUL786444 GEH786422:GEH786444 GOD786422:GOD786444 GXZ786422:GXZ786444 HHV786422:HHV786444 HRR786422:HRR786444 IBN786422:IBN786444 ILJ786422:ILJ786444 IVF786422:IVF786444 JFB786422:JFB786444 JOX786422:JOX786444 JYT786422:JYT786444 KIP786422:KIP786444 KSL786422:KSL786444 LCH786422:LCH786444 LMD786422:LMD786444 LVZ786422:LVZ786444 MFV786422:MFV786444 MPR786422:MPR786444 MZN786422:MZN786444 NJJ786422:NJJ786444 NTF786422:NTF786444 ODB786422:ODB786444 OMX786422:OMX786444 OWT786422:OWT786444 PGP786422:PGP786444 PQL786422:PQL786444 QAH786422:QAH786444 QKD786422:QKD786444 QTZ786422:QTZ786444 RDV786422:RDV786444 RNR786422:RNR786444 RXN786422:RXN786444 SHJ786422:SHJ786444 SRF786422:SRF786444 TBB786422:TBB786444 TKX786422:TKX786444 TUT786422:TUT786444 UEP786422:UEP786444 UOL786422:UOL786444 UYH786422:UYH786444 VID786422:VID786444 VRZ786422:VRZ786444 WBV786422:WBV786444 WLR786422:WLR786444 WVN786422:WVN786444 D851958:D851980 JB851958:JB851980 SX851958:SX851980 ACT851958:ACT851980 AMP851958:AMP851980 AWL851958:AWL851980 BGH851958:BGH851980 BQD851958:BQD851980 BZZ851958:BZZ851980 CJV851958:CJV851980 CTR851958:CTR851980 DDN851958:DDN851980 DNJ851958:DNJ851980 DXF851958:DXF851980 EHB851958:EHB851980 EQX851958:EQX851980 FAT851958:FAT851980 FKP851958:FKP851980 FUL851958:FUL851980 GEH851958:GEH851980 GOD851958:GOD851980 GXZ851958:GXZ851980 HHV851958:HHV851980 HRR851958:HRR851980 IBN851958:IBN851980 ILJ851958:ILJ851980 IVF851958:IVF851980 JFB851958:JFB851980 JOX851958:JOX851980 JYT851958:JYT851980 KIP851958:KIP851980 KSL851958:KSL851980 LCH851958:LCH851980 LMD851958:LMD851980 LVZ851958:LVZ851980 MFV851958:MFV851980 MPR851958:MPR851980 MZN851958:MZN851980 NJJ851958:NJJ851980 NTF851958:NTF851980 ODB851958:ODB851980 OMX851958:OMX851980 OWT851958:OWT851980 PGP851958:PGP851980 PQL851958:PQL851980 QAH851958:QAH851980 QKD851958:QKD851980 QTZ851958:QTZ851980 RDV851958:RDV851980 RNR851958:RNR851980 RXN851958:RXN851980 SHJ851958:SHJ851980 SRF851958:SRF851980 TBB851958:TBB851980 TKX851958:TKX851980 TUT851958:TUT851980 UEP851958:UEP851980 UOL851958:UOL851980 UYH851958:UYH851980 VID851958:VID851980 VRZ851958:VRZ851980 WBV851958:WBV851980 WLR851958:WLR851980 WVN851958:WVN851980 D917494:D917516 JB917494:JB917516 SX917494:SX917516 ACT917494:ACT917516 AMP917494:AMP917516 AWL917494:AWL917516 BGH917494:BGH917516 BQD917494:BQD917516 BZZ917494:BZZ917516 CJV917494:CJV917516 CTR917494:CTR917516 DDN917494:DDN917516 DNJ917494:DNJ917516 DXF917494:DXF917516 EHB917494:EHB917516 EQX917494:EQX917516 FAT917494:FAT917516 FKP917494:FKP917516 FUL917494:FUL917516 GEH917494:GEH917516 GOD917494:GOD917516 GXZ917494:GXZ917516 HHV917494:HHV917516 HRR917494:HRR917516 IBN917494:IBN917516 ILJ917494:ILJ917516 IVF917494:IVF917516 JFB917494:JFB917516 JOX917494:JOX917516 JYT917494:JYT917516 KIP917494:KIP917516 KSL917494:KSL917516 LCH917494:LCH917516 LMD917494:LMD917516 LVZ917494:LVZ917516 MFV917494:MFV917516 MPR917494:MPR917516 MZN917494:MZN917516 NJJ917494:NJJ917516 NTF917494:NTF917516 ODB917494:ODB917516 OMX917494:OMX917516 OWT917494:OWT917516 PGP917494:PGP917516 PQL917494:PQL917516 QAH917494:QAH917516 QKD917494:QKD917516 QTZ917494:QTZ917516 RDV917494:RDV917516 RNR917494:RNR917516 RXN917494:RXN917516 SHJ917494:SHJ917516 SRF917494:SRF917516 TBB917494:TBB917516 TKX917494:TKX917516 TUT917494:TUT917516 UEP917494:UEP917516 UOL917494:UOL917516 UYH917494:UYH917516 VID917494:VID917516 VRZ917494:VRZ917516 WBV917494:WBV917516 WLR917494:WLR917516 WVN917494:WVN917516 D983030:D983052 JB983030:JB983052 SX983030:SX983052 ACT983030:ACT983052 AMP983030:AMP983052 AWL983030:AWL983052 BGH983030:BGH983052 BQD983030:BQD983052 BZZ983030:BZZ983052 CJV983030:CJV983052 CTR983030:CTR983052 DDN983030:DDN983052 DNJ983030:DNJ983052 DXF983030:DXF983052 EHB983030:EHB983052 EQX983030:EQX983052 FAT983030:FAT983052 FKP983030:FKP983052 FUL983030:FUL983052 GEH983030:GEH983052 GOD983030:GOD983052 GXZ983030:GXZ983052 HHV983030:HHV983052 HRR983030:HRR983052 IBN983030:IBN983052 ILJ983030:ILJ983052 IVF983030:IVF983052 JFB983030:JFB983052 JOX983030:JOX983052 JYT983030:JYT983052 KIP983030:KIP983052 KSL983030:KSL983052 LCH983030:LCH983052 LMD983030:LMD983052 LVZ983030:LVZ983052 MFV983030:MFV983052 MPR983030:MPR983052 MZN983030:MZN983052 NJJ983030:NJJ983052 NTF983030:NTF983052 ODB983030:ODB983052 OMX983030:OMX983052 OWT983030:OWT983052 PGP983030:PGP983052 PQL983030:PQL983052 QAH983030:QAH983052 QKD983030:QKD983052 QTZ983030:QTZ983052 RDV983030:RDV983052 RNR983030:RNR983052 RXN983030:RXN983052 SHJ983030:SHJ983052 SRF983030:SRF983052 TBB983030:TBB983052 TKX983030:TKX983052 TUT983030:TUT983052 UEP983030:UEP983052 UOL983030:UOL983052 UYH983030:UYH983052 VID983030:VID983052 VRZ983030:VRZ983052 WBV983030:WBV983052 WLR983030:WLR983052 WVN983030:WVN983052 O65526:O65548 JK65526:JK65548 TG65526:TG65548 ADC65526:ADC65548 AMY65526:AMY65548 AWU65526:AWU65548 BGQ65526:BGQ65548 BQM65526:BQM65548 CAI65526:CAI65548 CKE65526:CKE65548 CUA65526:CUA65548 DDW65526:DDW65548 DNS65526:DNS65548 DXO65526:DXO65548 EHK65526:EHK65548 ERG65526:ERG65548 FBC65526:FBC65548 FKY65526:FKY65548 FUU65526:FUU65548 GEQ65526:GEQ65548 GOM65526:GOM65548 GYI65526:GYI65548 HIE65526:HIE65548 HSA65526:HSA65548 IBW65526:IBW65548 ILS65526:ILS65548 IVO65526:IVO65548 JFK65526:JFK65548 JPG65526:JPG65548 JZC65526:JZC65548 KIY65526:KIY65548 KSU65526:KSU65548 LCQ65526:LCQ65548 LMM65526:LMM65548 LWI65526:LWI65548 MGE65526:MGE65548 MQA65526:MQA65548 MZW65526:MZW65548 NJS65526:NJS65548 NTO65526:NTO65548 ODK65526:ODK65548 ONG65526:ONG65548 OXC65526:OXC65548 PGY65526:PGY65548 PQU65526:PQU65548 QAQ65526:QAQ65548 QKM65526:QKM65548 QUI65526:QUI65548 REE65526:REE65548 ROA65526:ROA65548 RXW65526:RXW65548 SHS65526:SHS65548 SRO65526:SRO65548 TBK65526:TBK65548 TLG65526:TLG65548 TVC65526:TVC65548 UEY65526:UEY65548 UOU65526:UOU65548 UYQ65526:UYQ65548 VIM65526:VIM65548 VSI65526:VSI65548 WCE65526:WCE65548 WMA65526:WMA65548 WVW65526:WVW65548 O131062:O131084 JK131062:JK131084 TG131062:TG131084 ADC131062:ADC131084 AMY131062:AMY131084 AWU131062:AWU131084 BGQ131062:BGQ131084 BQM131062:BQM131084 CAI131062:CAI131084 CKE131062:CKE131084 CUA131062:CUA131084 DDW131062:DDW131084 DNS131062:DNS131084 DXO131062:DXO131084 EHK131062:EHK131084 ERG131062:ERG131084 FBC131062:FBC131084 FKY131062:FKY131084 FUU131062:FUU131084 GEQ131062:GEQ131084 GOM131062:GOM131084 GYI131062:GYI131084 HIE131062:HIE131084 HSA131062:HSA131084 IBW131062:IBW131084 ILS131062:ILS131084 IVO131062:IVO131084 JFK131062:JFK131084 JPG131062:JPG131084 JZC131062:JZC131084 KIY131062:KIY131084 KSU131062:KSU131084 LCQ131062:LCQ131084 LMM131062:LMM131084 LWI131062:LWI131084 MGE131062:MGE131084 MQA131062:MQA131084 MZW131062:MZW131084 NJS131062:NJS131084 NTO131062:NTO131084 ODK131062:ODK131084 ONG131062:ONG131084 OXC131062:OXC131084 PGY131062:PGY131084 PQU131062:PQU131084 QAQ131062:QAQ131084 QKM131062:QKM131084 QUI131062:QUI131084 REE131062:REE131084 ROA131062:ROA131084 RXW131062:RXW131084 SHS131062:SHS131084 SRO131062:SRO131084 TBK131062:TBK131084 TLG131062:TLG131084 TVC131062:TVC131084 UEY131062:UEY131084 UOU131062:UOU131084 UYQ131062:UYQ131084 VIM131062:VIM131084 VSI131062:VSI131084 WCE131062:WCE131084 WMA131062:WMA131084 WVW131062:WVW131084 O196598:O196620 JK196598:JK196620 TG196598:TG196620 ADC196598:ADC196620 AMY196598:AMY196620 AWU196598:AWU196620 BGQ196598:BGQ196620 BQM196598:BQM196620 CAI196598:CAI196620 CKE196598:CKE196620 CUA196598:CUA196620 DDW196598:DDW196620 DNS196598:DNS196620 DXO196598:DXO196620 EHK196598:EHK196620 ERG196598:ERG196620 FBC196598:FBC196620 FKY196598:FKY196620 FUU196598:FUU196620 GEQ196598:GEQ196620 GOM196598:GOM196620 GYI196598:GYI196620 HIE196598:HIE196620 HSA196598:HSA196620 IBW196598:IBW196620 ILS196598:ILS196620 IVO196598:IVO196620 JFK196598:JFK196620 JPG196598:JPG196620 JZC196598:JZC196620 KIY196598:KIY196620 KSU196598:KSU196620 LCQ196598:LCQ196620 LMM196598:LMM196620 LWI196598:LWI196620 MGE196598:MGE196620 MQA196598:MQA196620 MZW196598:MZW196620 NJS196598:NJS196620 NTO196598:NTO196620 ODK196598:ODK196620 ONG196598:ONG196620 OXC196598:OXC196620 PGY196598:PGY196620 PQU196598:PQU196620 QAQ196598:QAQ196620 QKM196598:QKM196620 QUI196598:QUI196620 REE196598:REE196620 ROA196598:ROA196620 RXW196598:RXW196620 SHS196598:SHS196620 SRO196598:SRO196620 TBK196598:TBK196620 TLG196598:TLG196620 TVC196598:TVC196620 UEY196598:UEY196620 UOU196598:UOU196620 UYQ196598:UYQ196620 VIM196598:VIM196620 VSI196598:VSI196620 WCE196598:WCE196620 WMA196598:WMA196620 WVW196598:WVW196620 O262134:O262156 JK262134:JK262156 TG262134:TG262156 ADC262134:ADC262156 AMY262134:AMY262156 AWU262134:AWU262156 BGQ262134:BGQ262156 BQM262134:BQM262156 CAI262134:CAI262156 CKE262134:CKE262156 CUA262134:CUA262156 DDW262134:DDW262156 DNS262134:DNS262156 DXO262134:DXO262156 EHK262134:EHK262156 ERG262134:ERG262156 FBC262134:FBC262156 FKY262134:FKY262156 FUU262134:FUU262156 GEQ262134:GEQ262156 GOM262134:GOM262156 GYI262134:GYI262156 HIE262134:HIE262156 HSA262134:HSA262156 IBW262134:IBW262156 ILS262134:ILS262156 IVO262134:IVO262156 JFK262134:JFK262156 JPG262134:JPG262156 JZC262134:JZC262156 KIY262134:KIY262156 KSU262134:KSU262156 LCQ262134:LCQ262156 LMM262134:LMM262156 LWI262134:LWI262156 MGE262134:MGE262156 MQA262134:MQA262156 MZW262134:MZW262156 NJS262134:NJS262156 NTO262134:NTO262156 ODK262134:ODK262156 ONG262134:ONG262156 OXC262134:OXC262156 PGY262134:PGY262156 PQU262134:PQU262156 QAQ262134:QAQ262156 QKM262134:QKM262156 QUI262134:QUI262156 REE262134:REE262156 ROA262134:ROA262156 RXW262134:RXW262156 SHS262134:SHS262156 SRO262134:SRO262156 TBK262134:TBK262156 TLG262134:TLG262156 TVC262134:TVC262156 UEY262134:UEY262156 UOU262134:UOU262156 UYQ262134:UYQ262156 VIM262134:VIM262156 VSI262134:VSI262156 WCE262134:WCE262156 WMA262134:WMA262156 WVW262134:WVW262156 O327670:O327692 JK327670:JK327692 TG327670:TG327692 ADC327670:ADC327692 AMY327670:AMY327692 AWU327670:AWU327692 BGQ327670:BGQ327692 BQM327670:BQM327692 CAI327670:CAI327692 CKE327670:CKE327692 CUA327670:CUA327692 DDW327670:DDW327692 DNS327670:DNS327692 DXO327670:DXO327692 EHK327670:EHK327692 ERG327670:ERG327692 FBC327670:FBC327692 FKY327670:FKY327692 FUU327670:FUU327692 GEQ327670:GEQ327692 GOM327670:GOM327692 GYI327670:GYI327692 HIE327670:HIE327692 HSA327670:HSA327692 IBW327670:IBW327692 ILS327670:ILS327692 IVO327670:IVO327692 JFK327670:JFK327692 JPG327670:JPG327692 JZC327670:JZC327692 KIY327670:KIY327692 KSU327670:KSU327692 LCQ327670:LCQ327692 LMM327670:LMM327692 LWI327670:LWI327692 MGE327670:MGE327692 MQA327670:MQA327692 MZW327670:MZW327692 NJS327670:NJS327692 NTO327670:NTO327692 ODK327670:ODK327692 ONG327670:ONG327692 OXC327670:OXC327692 PGY327670:PGY327692 PQU327670:PQU327692 QAQ327670:QAQ327692 QKM327670:QKM327692 QUI327670:QUI327692 REE327670:REE327692 ROA327670:ROA327692 RXW327670:RXW327692 SHS327670:SHS327692 SRO327670:SRO327692 TBK327670:TBK327692 TLG327670:TLG327692 TVC327670:TVC327692 UEY327670:UEY327692 UOU327670:UOU327692 UYQ327670:UYQ327692 VIM327670:VIM327692 VSI327670:VSI327692 WCE327670:WCE327692 WMA327670:WMA327692 WVW327670:WVW327692 O393206:O393228 JK393206:JK393228 TG393206:TG393228 ADC393206:ADC393228 AMY393206:AMY393228 AWU393206:AWU393228 BGQ393206:BGQ393228 BQM393206:BQM393228 CAI393206:CAI393228 CKE393206:CKE393228 CUA393206:CUA393228 DDW393206:DDW393228 DNS393206:DNS393228 DXO393206:DXO393228 EHK393206:EHK393228 ERG393206:ERG393228 FBC393206:FBC393228 FKY393206:FKY393228 FUU393206:FUU393228 GEQ393206:GEQ393228 GOM393206:GOM393228 GYI393206:GYI393228 HIE393206:HIE393228 HSA393206:HSA393228 IBW393206:IBW393228 ILS393206:ILS393228 IVO393206:IVO393228 JFK393206:JFK393228 JPG393206:JPG393228 JZC393206:JZC393228 KIY393206:KIY393228 KSU393206:KSU393228 LCQ393206:LCQ393228 LMM393206:LMM393228 LWI393206:LWI393228 MGE393206:MGE393228 MQA393206:MQA393228 MZW393206:MZW393228 NJS393206:NJS393228 NTO393206:NTO393228 ODK393206:ODK393228 ONG393206:ONG393228 OXC393206:OXC393228 PGY393206:PGY393228 PQU393206:PQU393228 QAQ393206:QAQ393228 QKM393206:QKM393228 QUI393206:QUI393228 REE393206:REE393228 ROA393206:ROA393228 RXW393206:RXW393228 SHS393206:SHS393228 SRO393206:SRO393228 TBK393206:TBK393228 TLG393206:TLG393228 TVC393206:TVC393228 UEY393206:UEY393228 UOU393206:UOU393228 UYQ393206:UYQ393228 VIM393206:VIM393228 VSI393206:VSI393228 WCE393206:WCE393228 WMA393206:WMA393228 WVW393206:WVW393228 O458742:O458764 JK458742:JK458764 TG458742:TG458764 ADC458742:ADC458764 AMY458742:AMY458764 AWU458742:AWU458764 BGQ458742:BGQ458764 BQM458742:BQM458764 CAI458742:CAI458764 CKE458742:CKE458764 CUA458742:CUA458764 DDW458742:DDW458764 DNS458742:DNS458764 DXO458742:DXO458764 EHK458742:EHK458764 ERG458742:ERG458764 FBC458742:FBC458764 FKY458742:FKY458764 FUU458742:FUU458764 GEQ458742:GEQ458764 GOM458742:GOM458764 GYI458742:GYI458764 HIE458742:HIE458764 HSA458742:HSA458764 IBW458742:IBW458764 ILS458742:ILS458764 IVO458742:IVO458764 JFK458742:JFK458764 JPG458742:JPG458764 JZC458742:JZC458764 KIY458742:KIY458764 KSU458742:KSU458764 LCQ458742:LCQ458764 LMM458742:LMM458764 LWI458742:LWI458764 MGE458742:MGE458764 MQA458742:MQA458764 MZW458742:MZW458764 NJS458742:NJS458764 NTO458742:NTO458764 ODK458742:ODK458764 ONG458742:ONG458764 OXC458742:OXC458764 PGY458742:PGY458764 PQU458742:PQU458764 QAQ458742:QAQ458764 QKM458742:QKM458764 QUI458742:QUI458764 REE458742:REE458764 ROA458742:ROA458764 RXW458742:RXW458764 SHS458742:SHS458764 SRO458742:SRO458764 TBK458742:TBK458764 TLG458742:TLG458764 TVC458742:TVC458764 UEY458742:UEY458764 UOU458742:UOU458764 UYQ458742:UYQ458764 VIM458742:VIM458764 VSI458742:VSI458764 WCE458742:WCE458764 WMA458742:WMA458764 WVW458742:WVW458764 O524278:O524300 JK524278:JK524300 TG524278:TG524300 ADC524278:ADC524300 AMY524278:AMY524300 AWU524278:AWU524300 BGQ524278:BGQ524300 BQM524278:BQM524300 CAI524278:CAI524300 CKE524278:CKE524300 CUA524278:CUA524300 DDW524278:DDW524300 DNS524278:DNS524300 DXO524278:DXO524300 EHK524278:EHK524300 ERG524278:ERG524300 FBC524278:FBC524300 FKY524278:FKY524300 FUU524278:FUU524300 GEQ524278:GEQ524300 GOM524278:GOM524300 GYI524278:GYI524300 HIE524278:HIE524300 HSA524278:HSA524300 IBW524278:IBW524300 ILS524278:ILS524300 IVO524278:IVO524300 JFK524278:JFK524300 JPG524278:JPG524300 JZC524278:JZC524300 KIY524278:KIY524300 KSU524278:KSU524300 LCQ524278:LCQ524300 LMM524278:LMM524300 LWI524278:LWI524300 MGE524278:MGE524300 MQA524278:MQA524300 MZW524278:MZW524300 NJS524278:NJS524300 NTO524278:NTO524300 ODK524278:ODK524300 ONG524278:ONG524300 OXC524278:OXC524300 PGY524278:PGY524300 PQU524278:PQU524300 QAQ524278:QAQ524300 QKM524278:QKM524300 QUI524278:QUI524300 REE524278:REE524300 ROA524278:ROA524300 RXW524278:RXW524300 SHS524278:SHS524300 SRO524278:SRO524300 TBK524278:TBK524300 TLG524278:TLG524300 TVC524278:TVC524300 UEY524278:UEY524300 UOU524278:UOU524300 UYQ524278:UYQ524300 VIM524278:VIM524300 VSI524278:VSI524300 WCE524278:WCE524300 WMA524278:WMA524300 WVW524278:WVW524300 O589814:O589836 JK589814:JK589836 TG589814:TG589836 ADC589814:ADC589836 AMY589814:AMY589836 AWU589814:AWU589836 BGQ589814:BGQ589836 BQM589814:BQM589836 CAI589814:CAI589836 CKE589814:CKE589836 CUA589814:CUA589836 DDW589814:DDW589836 DNS589814:DNS589836 DXO589814:DXO589836 EHK589814:EHK589836 ERG589814:ERG589836 FBC589814:FBC589836 FKY589814:FKY589836 FUU589814:FUU589836 GEQ589814:GEQ589836 GOM589814:GOM589836 GYI589814:GYI589836 HIE589814:HIE589836 HSA589814:HSA589836 IBW589814:IBW589836 ILS589814:ILS589836 IVO589814:IVO589836 JFK589814:JFK589836 JPG589814:JPG589836 JZC589814:JZC589836 KIY589814:KIY589836 KSU589814:KSU589836 LCQ589814:LCQ589836 LMM589814:LMM589836 LWI589814:LWI589836 MGE589814:MGE589836 MQA589814:MQA589836 MZW589814:MZW589836 NJS589814:NJS589836 NTO589814:NTO589836 ODK589814:ODK589836 ONG589814:ONG589836 OXC589814:OXC589836 PGY589814:PGY589836 PQU589814:PQU589836 QAQ589814:QAQ589836 QKM589814:QKM589836 QUI589814:QUI589836 REE589814:REE589836 ROA589814:ROA589836 RXW589814:RXW589836 SHS589814:SHS589836 SRO589814:SRO589836 TBK589814:TBK589836 TLG589814:TLG589836 TVC589814:TVC589836 UEY589814:UEY589836 UOU589814:UOU589836 UYQ589814:UYQ589836 VIM589814:VIM589836 VSI589814:VSI589836 WCE589814:WCE589836 WMA589814:WMA589836 WVW589814:WVW589836 O655350:O655372 JK655350:JK655372 TG655350:TG655372 ADC655350:ADC655372 AMY655350:AMY655372 AWU655350:AWU655372 BGQ655350:BGQ655372 BQM655350:BQM655372 CAI655350:CAI655372 CKE655350:CKE655372 CUA655350:CUA655372 DDW655350:DDW655372 DNS655350:DNS655372 DXO655350:DXO655372 EHK655350:EHK655372 ERG655350:ERG655372 FBC655350:FBC655372 FKY655350:FKY655372 FUU655350:FUU655372 GEQ655350:GEQ655372 GOM655350:GOM655372 GYI655350:GYI655372 HIE655350:HIE655372 HSA655350:HSA655372 IBW655350:IBW655372 ILS655350:ILS655372 IVO655350:IVO655372 JFK655350:JFK655372 JPG655350:JPG655372 JZC655350:JZC655372 KIY655350:KIY655372 KSU655350:KSU655372 LCQ655350:LCQ655372 LMM655350:LMM655372 LWI655350:LWI655372 MGE655350:MGE655372 MQA655350:MQA655372 MZW655350:MZW655372 NJS655350:NJS655372 NTO655350:NTO655372 ODK655350:ODK655372 ONG655350:ONG655372 OXC655350:OXC655372 PGY655350:PGY655372 PQU655350:PQU655372 QAQ655350:QAQ655372 QKM655350:QKM655372 QUI655350:QUI655372 REE655350:REE655372 ROA655350:ROA655372 RXW655350:RXW655372 SHS655350:SHS655372 SRO655350:SRO655372 TBK655350:TBK655372 TLG655350:TLG655372 TVC655350:TVC655372 UEY655350:UEY655372 UOU655350:UOU655372 UYQ655350:UYQ655372 VIM655350:VIM655372 VSI655350:VSI655372 WCE655350:WCE655372 WMA655350:WMA655372 WVW655350:WVW655372 O720886:O720908 JK720886:JK720908 TG720886:TG720908 ADC720886:ADC720908 AMY720886:AMY720908 AWU720886:AWU720908 BGQ720886:BGQ720908 BQM720886:BQM720908 CAI720886:CAI720908 CKE720886:CKE720908 CUA720886:CUA720908 DDW720886:DDW720908 DNS720886:DNS720908 DXO720886:DXO720908 EHK720886:EHK720908 ERG720886:ERG720908 FBC720886:FBC720908 FKY720886:FKY720908 FUU720886:FUU720908 GEQ720886:GEQ720908 GOM720886:GOM720908 GYI720886:GYI720908 HIE720886:HIE720908 HSA720886:HSA720908 IBW720886:IBW720908 ILS720886:ILS720908 IVO720886:IVO720908 JFK720886:JFK720908 JPG720886:JPG720908 JZC720886:JZC720908 KIY720886:KIY720908 KSU720886:KSU720908 LCQ720886:LCQ720908 LMM720886:LMM720908 LWI720886:LWI720908 MGE720886:MGE720908 MQA720886:MQA720908 MZW720886:MZW720908 NJS720886:NJS720908 NTO720886:NTO720908 ODK720886:ODK720908 ONG720886:ONG720908 OXC720886:OXC720908 PGY720886:PGY720908 PQU720886:PQU720908 QAQ720886:QAQ720908 QKM720886:QKM720908 QUI720886:QUI720908 REE720886:REE720908 ROA720886:ROA720908 RXW720886:RXW720908 SHS720886:SHS720908 SRO720886:SRO720908 TBK720886:TBK720908 TLG720886:TLG720908 TVC720886:TVC720908 UEY720886:UEY720908 UOU720886:UOU720908 UYQ720886:UYQ720908 VIM720886:VIM720908 VSI720886:VSI720908 WCE720886:WCE720908 WMA720886:WMA720908 WVW720886:WVW720908 O786422:O786444 JK786422:JK786444 TG786422:TG786444 ADC786422:ADC786444 AMY786422:AMY786444 AWU786422:AWU786444 BGQ786422:BGQ786444 BQM786422:BQM786444 CAI786422:CAI786444 CKE786422:CKE786444 CUA786422:CUA786444 DDW786422:DDW786444 DNS786422:DNS786444 DXO786422:DXO786444 EHK786422:EHK786444 ERG786422:ERG786444 FBC786422:FBC786444 FKY786422:FKY786444 FUU786422:FUU786444 GEQ786422:GEQ786444 GOM786422:GOM786444 GYI786422:GYI786444 HIE786422:HIE786444 HSA786422:HSA786444 IBW786422:IBW786444 ILS786422:ILS786444 IVO786422:IVO786444 JFK786422:JFK786444 JPG786422:JPG786444 JZC786422:JZC786444 KIY786422:KIY786444 KSU786422:KSU786444 LCQ786422:LCQ786444 LMM786422:LMM786444 LWI786422:LWI786444 MGE786422:MGE786444 MQA786422:MQA786444 MZW786422:MZW786444 NJS786422:NJS786444 NTO786422:NTO786444 ODK786422:ODK786444 ONG786422:ONG786444 OXC786422:OXC786444 PGY786422:PGY786444 PQU786422:PQU786444 QAQ786422:QAQ786444 QKM786422:QKM786444 QUI786422:QUI786444 REE786422:REE786444 ROA786422:ROA786444 RXW786422:RXW786444 SHS786422:SHS786444 SRO786422:SRO786444 TBK786422:TBK786444 TLG786422:TLG786444 TVC786422:TVC786444 UEY786422:UEY786444 UOU786422:UOU786444 UYQ786422:UYQ786444 VIM786422:VIM786444 VSI786422:VSI786444 WCE786422:WCE786444 WMA786422:WMA786444 WVW786422:WVW786444 O851958:O851980 JK851958:JK851980 TG851958:TG851980 ADC851958:ADC851980 AMY851958:AMY851980 AWU851958:AWU851980 BGQ851958:BGQ851980 BQM851958:BQM851980 CAI851958:CAI851980 CKE851958:CKE851980 CUA851958:CUA851980 DDW851958:DDW851980 DNS851958:DNS851980 DXO851958:DXO851980 EHK851958:EHK851980 ERG851958:ERG851980 FBC851958:FBC851980 FKY851958:FKY851980 FUU851958:FUU851980 GEQ851958:GEQ851980 GOM851958:GOM851980 GYI851958:GYI851980 HIE851958:HIE851980 HSA851958:HSA851980 IBW851958:IBW851980 ILS851958:ILS851980 IVO851958:IVO851980 JFK851958:JFK851980 JPG851958:JPG851980 JZC851958:JZC851980 KIY851958:KIY851980 KSU851958:KSU851980 LCQ851958:LCQ851980 LMM851958:LMM851980 LWI851958:LWI851980 MGE851958:MGE851980 MQA851958:MQA851980 MZW851958:MZW851980 NJS851958:NJS851980 NTO851958:NTO851980 ODK851958:ODK851980 ONG851958:ONG851980 OXC851958:OXC851980 PGY851958:PGY851980 PQU851958:PQU851980 QAQ851958:QAQ851980 QKM851958:QKM851980 QUI851958:QUI851980 REE851958:REE851980 ROA851958:ROA851980 RXW851958:RXW851980 SHS851958:SHS851980 SRO851958:SRO851980 TBK851958:TBK851980 TLG851958:TLG851980 TVC851958:TVC851980 UEY851958:UEY851980 UOU851958:UOU851980 UYQ851958:UYQ851980 VIM851958:VIM851980 VSI851958:VSI851980 WCE851958:WCE851980 WMA851958:WMA851980 WVW851958:WVW851980 O917494:O917516 JK917494:JK917516 TG917494:TG917516 ADC917494:ADC917516 AMY917494:AMY917516 AWU917494:AWU917516 BGQ917494:BGQ917516 BQM917494:BQM917516 CAI917494:CAI917516 CKE917494:CKE917516 CUA917494:CUA917516 DDW917494:DDW917516 DNS917494:DNS917516 DXO917494:DXO917516 EHK917494:EHK917516 ERG917494:ERG917516 FBC917494:FBC917516 FKY917494:FKY917516 FUU917494:FUU917516 GEQ917494:GEQ917516 GOM917494:GOM917516 GYI917494:GYI917516 HIE917494:HIE917516 HSA917494:HSA917516 IBW917494:IBW917516 ILS917494:ILS917516 IVO917494:IVO917516 JFK917494:JFK917516 JPG917494:JPG917516 JZC917494:JZC917516 KIY917494:KIY917516 KSU917494:KSU917516 LCQ917494:LCQ917516 LMM917494:LMM917516 LWI917494:LWI917516 MGE917494:MGE917516 MQA917494:MQA917516 MZW917494:MZW917516 NJS917494:NJS917516 NTO917494:NTO917516 ODK917494:ODK917516 ONG917494:ONG917516 OXC917494:OXC917516 PGY917494:PGY917516 PQU917494:PQU917516 QAQ917494:QAQ917516 QKM917494:QKM917516 QUI917494:QUI917516 REE917494:REE917516 ROA917494:ROA917516 RXW917494:RXW917516 SHS917494:SHS917516 SRO917494:SRO917516 TBK917494:TBK917516 TLG917494:TLG917516 TVC917494:TVC917516 UEY917494:UEY917516 UOU917494:UOU917516 UYQ917494:UYQ917516 VIM917494:VIM917516 VSI917494:VSI917516 WCE917494:WCE917516 WMA917494:WMA917516 WVW917494:WVW917516 O983030:O983052 JK983030:JK983052 TG983030:TG983052 ADC983030:ADC983052 AMY983030:AMY983052 AWU983030:AWU983052 BGQ983030:BGQ983052 BQM983030:BQM983052 CAI983030:CAI983052 CKE983030:CKE983052 CUA983030:CUA983052 DDW983030:DDW983052 DNS983030:DNS983052 DXO983030:DXO983052 EHK983030:EHK983052 ERG983030:ERG983052 FBC983030:FBC983052 FKY983030:FKY983052 FUU983030:FUU983052 GEQ983030:GEQ983052 GOM983030:GOM983052 GYI983030:GYI983052 HIE983030:HIE983052 HSA983030:HSA983052 IBW983030:IBW983052 ILS983030:ILS983052 IVO983030:IVO983052 JFK983030:JFK983052 JPG983030:JPG983052 JZC983030:JZC983052 KIY983030:KIY983052 KSU983030:KSU983052 LCQ983030:LCQ983052 LMM983030:LMM983052 LWI983030:LWI983052 MGE983030:MGE983052 MQA983030:MQA983052 MZW983030:MZW983052 NJS983030:NJS983052 NTO983030:NTO983052 ODK983030:ODK983052 ONG983030:ONG983052 OXC983030:OXC983052 PGY983030:PGY983052 PQU983030:PQU983052 QAQ983030:QAQ983052 QKM983030:QKM983052 QUI983030:QUI983052 REE983030:REE983052 ROA983030:ROA983052 RXW983030:RXW983052 SHS983030:SHS983052 SRO983030:SRO983052 TBK983030:TBK983052 TLG983030:TLG983052 TVC983030:TVC983052 UEY983030:UEY983052 UOU983030:UOU983052 UYQ983030:UYQ983052 VIM983030:VIM983052 VSI983030:VSI983052 WCE983030:WCE983052 WMA983030:WMA983052 WVW983030:WVW983052 J65526:L65548 JF65526:JH65548 TB65526:TD65548 ACX65526:ACZ65548 AMT65526:AMV65548 AWP65526:AWR65548 BGL65526:BGN65548 BQH65526:BQJ65548 CAD65526:CAF65548 CJZ65526:CKB65548 CTV65526:CTX65548 DDR65526:DDT65548 DNN65526:DNP65548 DXJ65526:DXL65548 EHF65526:EHH65548 ERB65526:ERD65548 FAX65526:FAZ65548 FKT65526:FKV65548 FUP65526:FUR65548 GEL65526:GEN65548 GOH65526:GOJ65548 GYD65526:GYF65548 HHZ65526:HIB65548 HRV65526:HRX65548 IBR65526:IBT65548 ILN65526:ILP65548 IVJ65526:IVL65548 JFF65526:JFH65548 JPB65526:JPD65548 JYX65526:JYZ65548 KIT65526:KIV65548 KSP65526:KSR65548 LCL65526:LCN65548 LMH65526:LMJ65548 LWD65526:LWF65548 MFZ65526:MGB65548 MPV65526:MPX65548 MZR65526:MZT65548 NJN65526:NJP65548 NTJ65526:NTL65548 ODF65526:ODH65548 ONB65526:OND65548 OWX65526:OWZ65548 PGT65526:PGV65548 PQP65526:PQR65548 QAL65526:QAN65548 QKH65526:QKJ65548 QUD65526:QUF65548 RDZ65526:REB65548 RNV65526:RNX65548 RXR65526:RXT65548 SHN65526:SHP65548 SRJ65526:SRL65548 TBF65526:TBH65548 TLB65526:TLD65548 TUX65526:TUZ65548 UET65526:UEV65548 UOP65526:UOR65548 UYL65526:UYN65548 VIH65526:VIJ65548 VSD65526:VSF65548 WBZ65526:WCB65548 WLV65526:WLX65548 WVR65526:WVT65548 J131062:L131084 JF131062:JH131084 TB131062:TD131084 ACX131062:ACZ131084 AMT131062:AMV131084 AWP131062:AWR131084 BGL131062:BGN131084 BQH131062:BQJ131084 CAD131062:CAF131084 CJZ131062:CKB131084 CTV131062:CTX131084 DDR131062:DDT131084 DNN131062:DNP131084 DXJ131062:DXL131084 EHF131062:EHH131084 ERB131062:ERD131084 FAX131062:FAZ131084 FKT131062:FKV131084 FUP131062:FUR131084 GEL131062:GEN131084 GOH131062:GOJ131084 GYD131062:GYF131084 HHZ131062:HIB131084 HRV131062:HRX131084 IBR131062:IBT131084 ILN131062:ILP131084 IVJ131062:IVL131084 JFF131062:JFH131084 JPB131062:JPD131084 JYX131062:JYZ131084 KIT131062:KIV131084 KSP131062:KSR131084 LCL131062:LCN131084 LMH131062:LMJ131084 LWD131062:LWF131084 MFZ131062:MGB131084 MPV131062:MPX131084 MZR131062:MZT131084 NJN131062:NJP131084 NTJ131062:NTL131084 ODF131062:ODH131084 ONB131062:OND131084 OWX131062:OWZ131084 PGT131062:PGV131084 PQP131062:PQR131084 QAL131062:QAN131084 QKH131062:QKJ131084 QUD131062:QUF131084 RDZ131062:REB131084 RNV131062:RNX131084 RXR131062:RXT131084 SHN131062:SHP131084 SRJ131062:SRL131084 TBF131062:TBH131084 TLB131062:TLD131084 TUX131062:TUZ131084 UET131062:UEV131084 UOP131062:UOR131084 UYL131062:UYN131084 VIH131062:VIJ131084 VSD131062:VSF131084 WBZ131062:WCB131084 WLV131062:WLX131084 WVR131062:WVT131084 J196598:L196620 JF196598:JH196620 TB196598:TD196620 ACX196598:ACZ196620 AMT196598:AMV196620 AWP196598:AWR196620 BGL196598:BGN196620 BQH196598:BQJ196620 CAD196598:CAF196620 CJZ196598:CKB196620 CTV196598:CTX196620 DDR196598:DDT196620 DNN196598:DNP196620 DXJ196598:DXL196620 EHF196598:EHH196620 ERB196598:ERD196620 FAX196598:FAZ196620 FKT196598:FKV196620 FUP196598:FUR196620 GEL196598:GEN196620 GOH196598:GOJ196620 GYD196598:GYF196620 HHZ196598:HIB196620 HRV196598:HRX196620 IBR196598:IBT196620 ILN196598:ILP196620 IVJ196598:IVL196620 JFF196598:JFH196620 JPB196598:JPD196620 JYX196598:JYZ196620 KIT196598:KIV196620 KSP196598:KSR196620 LCL196598:LCN196620 LMH196598:LMJ196620 LWD196598:LWF196620 MFZ196598:MGB196620 MPV196598:MPX196620 MZR196598:MZT196620 NJN196598:NJP196620 NTJ196598:NTL196620 ODF196598:ODH196620 ONB196598:OND196620 OWX196598:OWZ196620 PGT196598:PGV196620 PQP196598:PQR196620 QAL196598:QAN196620 QKH196598:QKJ196620 QUD196598:QUF196620 RDZ196598:REB196620 RNV196598:RNX196620 RXR196598:RXT196620 SHN196598:SHP196620 SRJ196598:SRL196620 TBF196598:TBH196620 TLB196598:TLD196620 TUX196598:TUZ196620 UET196598:UEV196620 UOP196598:UOR196620 UYL196598:UYN196620 VIH196598:VIJ196620 VSD196598:VSF196620 WBZ196598:WCB196620 WLV196598:WLX196620 WVR196598:WVT196620 J262134:L262156 JF262134:JH262156 TB262134:TD262156 ACX262134:ACZ262156 AMT262134:AMV262156 AWP262134:AWR262156 BGL262134:BGN262156 BQH262134:BQJ262156 CAD262134:CAF262156 CJZ262134:CKB262156 CTV262134:CTX262156 DDR262134:DDT262156 DNN262134:DNP262156 DXJ262134:DXL262156 EHF262134:EHH262156 ERB262134:ERD262156 FAX262134:FAZ262156 FKT262134:FKV262156 FUP262134:FUR262156 GEL262134:GEN262156 GOH262134:GOJ262156 GYD262134:GYF262156 HHZ262134:HIB262156 HRV262134:HRX262156 IBR262134:IBT262156 ILN262134:ILP262156 IVJ262134:IVL262156 JFF262134:JFH262156 JPB262134:JPD262156 JYX262134:JYZ262156 KIT262134:KIV262156 KSP262134:KSR262156 LCL262134:LCN262156 LMH262134:LMJ262156 LWD262134:LWF262156 MFZ262134:MGB262156 MPV262134:MPX262156 MZR262134:MZT262156 NJN262134:NJP262156 NTJ262134:NTL262156 ODF262134:ODH262156 ONB262134:OND262156 OWX262134:OWZ262156 PGT262134:PGV262156 PQP262134:PQR262156 QAL262134:QAN262156 QKH262134:QKJ262156 QUD262134:QUF262156 RDZ262134:REB262156 RNV262134:RNX262156 RXR262134:RXT262156 SHN262134:SHP262156 SRJ262134:SRL262156 TBF262134:TBH262156 TLB262134:TLD262156 TUX262134:TUZ262156 UET262134:UEV262156 UOP262134:UOR262156 UYL262134:UYN262156 VIH262134:VIJ262156 VSD262134:VSF262156 WBZ262134:WCB262156 WLV262134:WLX262156 WVR262134:WVT262156 J327670:L327692 JF327670:JH327692 TB327670:TD327692 ACX327670:ACZ327692 AMT327670:AMV327692 AWP327670:AWR327692 BGL327670:BGN327692 BQH327670:BQJ327692 CAD327670:CAF327692 CJZ327670:CKB327692 CTV327670:CTX327692 DDR327670:DDT327692 DNN327670:DNP327692 DXJ327670:DXL327692 EHF327670:EHH327692 ERB327670:ERD327692 FAX327670:FAZ327692 FKT327670:FKV327692 FUP327670:FUR327692 GEL327670:GEN327692 GOH327670:GOJ327692 GYD327670:GYF327692 HHZ327670:HIB327692 HRV327670:HRX327692 IBR327670:IBT327692 ILN327670:ILP327692 IVJ327670:IVL327692 JFF327670:JFH327692 JPB327670:JPD327692 JYX327670:JYZ327692 KIT327670:KIV327692 KSP327670:KSR327692 LCL327670:LCN327692 LMH327670:LMJ327692 LWD327670:LWF327692 MFZ327670:MGB327692 MPV327670:MPX327692 MZR327670:MZT327692 NJN327670:NJP327692 NTJ327670:NTL327692 ODF327670:ODH327692 ONB327670:OND327692 OWX327670:OWZ327692 PGT327670:PGV327692 PQP327670:PQR327692 QAL327670:QAN327692 QKH327670:QKJ327692 QUD327670:QUF327692 RDZ327670:REB327692 RNV327670:RNX327692 RXR327670:RXT327692 SHN327670:SHP327692 SRJ327670:SRL327692 TBF327670:TBH327692 TLB327670:TLD327692 TUX327670:TUZ327692 UET327670:UEV327692 UOP327670:UOR327692 UYL327670:UYN327692 VIH327670:VIJ327692 VSD327670:VSF327692 WBZ327670:WCB327692 WLV327670:WLX327692 WVR327670:WVT327692 J393206:L393228 JF393206:JH393228 TB393206:TD393228 ACX393206:ACZ393228 AMT393206:AMV393228 AWP393206:AWR393228 BGL393206:BGN393228 BQH393206:BQJ393228 CAD393206:CAF393228 CJZ393206:CKB393228 CTV393206:CTX393228 DDR393206:DDT393228 DNN393206:DNP393228 DXJ393206:DXL393228 EHF393206:EHH393228 ERB393206:ERD393228 FAX393206:FAZ393228 FKT393206:FKV393228 FUP393206:FUR393228 GEL393206:GEN393228 GOH393206:GOJ393228 GYD393206:GYF393228 HHZ393206:HIB393228 HRV393206:HRX393228 IBR393206:IBT393228 ILN393206:ILP393228 IVJ393206:IVL393228 JFF393206:JFH393228 JPB393206:JPD393228 JYX393206:JYZ393228 KIT393206:KIV393228 KSP393206:KSR393228 LCL393206:LCN393228 LMH393206:LMJ393228 LWD393206:LWF393228 MFZ393206:MGB393228 MPV393206:MPX393228 MZR393206:MZT393228 NJN393206:NJP393228 NTJ393206:NTL393228 ODF393206:ODH393228 ONB393206:OND393228 OWX393206:OWZ393228 PGT393206:PGV393228 PQP393206:PQR393228 QAL393206:QAN393228 QKH393206:QKJ393228 QUD393206:QUF393228 RDZ393206:REB393228 RNV393206:RNX393228 RXR393206:RXT393228 SHN393206:SHP393228 SRJ393206:SRL393228 TBF393206:TBH393228 TLB393206:TLD393228 TUX393206:TUZ393228 UET393206:UEV393228 UOP393206:UOR393228 UYL393206:UYN393228 VIH393206:VIJ393228 VSD393206:VSF393228 WBZ393206:WCB393228 WLV393206:WLX393228 WVR393206:WVT393228 J458742:L458764 JF458742:JH458764 TB458742:TD458764 ACX458742:ACZ458764 AMT458742:AMV458764 AWP458742:AWR458764 BGL458742:BGN458764 BQH458742:BQJ458764 CAD458742:CAF458764 CJZ458742:CKB458764 CTV458742:CTX458764 DDR458742:DDT458764 DNN458742:DNP458764 DXJ458742:DXL458764 EHF458742:EHH458764 ERB458742:ERD458764 FAX458742:FAZ458764 FKT458742:FKV458764 FUP458742:FUR458764 GEL458742:GEN458764 GOH458742:GOJ458764 GYD458742:GYF458764 HHZ458742:HIB458764 HRV458742:HRX458764 IBR458742:IBT458764 ILN458742:ILP458764 IVJ458742:IVL458764 JFF458742:JFH458764 JPB458742:JPD458764 JYX458742:JYZ458764 KIT458742:KIV458764 KSP458742:KSR458764 LCL458742:LCN458764 LMH458742:LMJ458764 LWD458742:LWF458764 MFZ458742:MGB458764 MPV458742:MPX458764 MZR458742:MZT458764 NJN458742:NJP458764 NTJ458742:NTL458764 ODF458742:ODH458764 ONB458742:OND458764 OWX458742:OWZ458764 PGT458742:PGV458764 PQP458742:PQR458764 QAL458742:QAN458764 QKH458742:QKJ458764 QUD458742:QUF458764 RDZ458742:REB458764 RNV458742:RNX458764 RXR458742:RXT458764 SHN458742:SHP458764 SRJ458742:SRL458764 TBF458742:TBH458764 TLB458742:TLD458764 TUX458742:TUZ458764 UET458742:UEV458764 UOP458742:UOR458764 UYL458742:UYN458764 VIH458742:VIJ458764 VSD458742:VSF458764 WBZ458742:WCB458764 WLV458742:WLX458764 WVR458742:WVT458764 J524278:L524300 JF524278:JH524300 TB524278:TD524300 ACX524278:ACZ524300 AMT524278:AMV524300 AWP524278:AWR524300 BGL524278:BGN524300 BQH524278:BQJ524300 CAD524278:CAF524300 CJZ524278:CKB524300 CTV524278:CTX524300 DDR524278:DDT524300 DNN524278:DNP524300 DXJ524278:DXL524300 EHF524278:EHH524300 ERB524278:ERD524300 FAX524278:FAZ524300 FKT524278:FKV524300 FUP524278:FUR524300 GEL524278:GEN524300 GOH524278:GOJ524300 GYD524278:GYF524300 HHZ524278:HIB524300 HRV524278:HRX524300 IBR524278:IBT524300 ILN524278:ILP524300 IVJ524278:IVL524300 JFF524278:JFH524300 JPB524278:JPD524300 JYX524278:JYZ524300 KIT524278:KIV524300 KSP524278:KSR524300 LCL524278:LCN524300 LMH524278:LMJ524300 LWD524278:LWF524300 MFZ524278:MGB524300 MPV524278:MPX524300 MZR524278:MZT524300 NJN524278:NJP524300 NTJ524278:NTL524300 ODF524278:ODH524300 ONB524278:OND524300 OWX524278:OWZ524300 PGT524278:PGV524300 PQP524278:PQR524300 QAL524278:QAN524300 QKH524278:QKJ524300 QUD524278:QUF524300 RDZ524278:REB524300 RNV524278:RNX524300 RXR524278:RXT524300 SHN524278:SHP524300 SRJ524278:SRL524300 TBF524278:TBH524300 TLB524278:TLD524300 TUX524278:TUZ524300 UET524278:UEV524300 UOP524278:UOR524300 UYL524278:UYN524300 VIH524278:VIJ524300 VSD524278:VSF524300 WBZ524278:WCB524300 WLV524278:WLX524300 WVR524278:WVT524300 J589814:L589836 JF589814:JH589836 TB589814:TD589836 ACX589814:ACZ589836 AMT589814:AMV589836 AWP589814:AWR589836 BGL589814:BGN589836 BQH589814:BQJ589836 CAD589814:CAF589836 CJZ589814:CKB589836 CTV589814:CTX589836 DDR589814:DDT589836 DNN589814:DNP589836 DXJ589814:DXL589836 EHF589814:EHH589836 ERB589814:ERD589836 FAX589814:FAZ589836 FKT589814:FKV589836 FUP589814:FUR589836 GEL589814:GEN589836 GOH589814:GOJ589836 GYD589814:GYF589836 HHZ589814:HIB589836 HRV589814:HRX589836 IBR589814:IBT589836 ILN589814:ILP589836 IVJ589814:IVL589836 JFF589814:JFH589836 JPB589814:JPD589836 JYX589814:JYZ589836 KIT589814:KIV589836 KSP589814:KSR589836 LCL589814:LCN589836 LMH589814:LMJ589836 LWD589814:LWF589836 MFZ589814:MGB589836 MPV589814:MPX589836 MZR589814:MZT589836 NJN589814:NJP589836 NTJ589814:NTL589836 ODF589814:ODH589836 ONB589814:OND589836 OWX589814:OWZ589836 PGT589814:PGV589836 PQP589814:PQR589836 QAL589814:QAN589836 QKH589814:QKJ589836 QUD589814:QUF589836 RDZ589814:REB589836 RNV589814:RNX589836 RXR589814:RXT589836 SHN589814:SHP589836 SRJ589814:SRL589836 TBF589814:TBH589836 TLB589814:TLD589836 TUX589814:TUZ589836 UET589814:UEV589836 UOP589814:UOR589836 UYL589814:UYN589836 VIH589814:VIJ589836 VSD589814:VSF589836 WBZ589814:WCB589836 WLV589814:WLX589836 WVR589814:WVT589836 J655350:L655372 JF655350:JH655372 TB655350:TD655372 ACX655350:ACZ655372 AMT655350:AMV655372 AWP655350:AWR655372 BGL655350:BGN655372 BQH655350:BQJ655372 CAD655350:CAF655372 CJZ655350:CKB655372 CTV655350:CTX655372 DDR655350:DDT655372 DNN655350:DNP655372 DXJ655350:DXL655372 EHF655350:EHH655372 ERB655350:ERD655372 FAX655350:FAZ655372 FKT655350:FKV655372 FUP655350:FUR655372 GEL655350:GEN655372 GOH655350:GOJ655372 GYD655350:GYF655372 HHZ655350:HIB655372 HRV655350:HRX655372 IBR655350:IBT655372 ILN655350:ILP655372 IVJ655350:IVL655372 JFF655350:JFH655372 JPB655350:JPD655372 JYX655350:JYZ655372 KIT655350:KIV655372 KSP655350:KSR655372 LCL655350:LCN655372 LMH655350:LMJ655372 LWD655350:LWF655372 MFZ655350:MGB655372 MPV655350:MPX655372 MZR655350:MZT655372 NJN655350:NJP655372 NTJ655350:NTL655372 ODF655350:ODH655372 ONB655350:OND655372 OWX655350:OWZ655372 PGT655350:PGV655372 PQP655350:PQR655372 QAL655350:QAN655372 QKH655350:QKJ655372 QUD655350:QUF655372 RDZ655350:REB655372 RNV655350:RNX655372 RXR655350:RXT655372 SHN655350:SHP655372 SRJ655350:SRL655372 TBF655350:TBH655372 TLB655350:TLD655372 TUX655350:TUZ655372 UET655350:UEV655372 UOP655350:UOR655372 UYL655350:UYN655372 VIH655350:VIJ655372 VSD655350:VSF655372 WBZ655350:WCB655372 WLV655350:WLX655372 WVR655350:WVT655372 J720886:L720908 JF720886:JH720908 TB720886:TD720908 ACX720886:ACZ720908 AMT720886:AMV720908 AWP720886:AWR720908 BGL720886:BGN720908 BQH720886:BQJ720908 CAD720886:CAF720908 CJZ720886:CKB720908 CTV720886:CTX720908 DDR720886:DDT720908 DNN720886:DNP720908 DXJ720886:DXL720908 EHF720886:EHH720908 ERB720886:ERD720908 FAX720886:FAZ720908 FKT720886:FKV720908 FUP720886:FUR720908 GEL720886:GEN720908 GOH720886:GOJ720908 GYD720886:GYF720908 HHZ720886:HIB720908 HRV720886:HRX720908 IBR720886:IBT720908 ILN720886:ILP720908 IVJ720886:IVL720908 JFF720886:JFH720908 JPB720886:JPD720908 JYX720886:JYZ720908 KIT720886:KIV720908 KSP720886:KSR720908 LCL720886:LCN720908 LMH720886:LMJ720908 LWD720886:LWF720908 MFZ720886:MGB720908 MPV720886:MPX720908 MZR720886:MZT720908 NJN720886:NJP720908 NTJ720886:NTL720908 ODF720886:ODH720908 ONB720886:OND720908 OWX720886:OWZ720908 PGT720886:PGV720908 PQP720886:PQR720908 QAL720886:QAN720908 QKH720886:QKJ720908 QUD720886:QUF720908 RDZ720886:REB720908 RNV720886:RNX720908 RXR720886:RXT720908 SHN720886:SHP720908 SRJ720886:SRL720908 TBF720886:TBH720908 TLB720886:TLD720908 TUX720886:TUZ720908 UET720886:UEV720908 UOP720886:UOR720908 UYL720886:UYN720908 VIH720886:VIJ720908 VSD720886:VSF720908 WBZ720886:WCB720908 WLV720886:WLX720908 WVR720886:WVT720908 J786422:L786444 JF786422:JH786444 TB786422:TD786444 ACX786422:ACZ786444 AMT786422:AMV786444 AWP786422:AWR786444 BGL786422:BGN786444 BQH786422:BQJ786444 CAD786422:CAF786444 CJZ786422:CKB786444 CTV786422:CTX786444 DDR786422:DDT786444 DNN786422:DNP786444 DXJ786422:DXL786444 EHF786422:EHH786444 ERB786422:ERD786444 FAX786422:FAZ786444 FKT786422:FKV786444 FUP786422:FUR786444 GEL786422:GEN786444 GOH786422:GOJ786444 GYD786422:GYF786444 HHZ786422:HIB786444 HRV786422:HRX786444 IBR786422:IBT786444 ILN786422:ILP786444 IVJ786422:IVL786444 JFF786422:JFH786444 JPB786422:JPD786444 JYX786422:JYZ786444 KIT786422:KIV786444 KSP786422:KSR786444 LCL786422:LCN786444 LMH786422:LMJ786444 LWD786422:LWF786444 MFZ786422:MGB786444 MPV786422:MPX786444 MZR786422:MZT786444 NJN786422:NJP786444 NTJ786422:NTL786444 ODF786422:ODH786444 ONB786422:OND786444 OWX786422:OWZ786444 PGT786422:PGV786444 PQP786422:PQR786444 QAL786422:QAN786444 QKH786422:QKJ786444 QUD786422:QUF786444 RDZ786422:REB786444 RNV786422:RNX786444 RXR786422:RXT786444 SHN786422:SHP786444 SRJ786422:SRL786444 TBF786422:TBH786444 TLB786422:TLD786444 TUX786422:TUZ786444 UET786422:UEV786444 UOP786422:UOR786444 UYL786422:UYN786444 VIH786422:VIJ786444 VSD786422:VSF786444 WBZ786422:WCB786444 WLV786422:WLX786444 WVR786422:WVT786444 J851958:L851980 JF851958:JH851980 TB851958:TD851980 ACX851958:ACZ851980 AMT851958:AMV851980 AWP851958:AWR851980 BGL851958:BGN851980 BQH851958:BQJ851980 CAD851958:CAF851980 CJZ851958:CKB851980 CTV851958:CTX851980 DDR851958:DDT851980 DNN851958:DNP851980 DXJ851958:DXL851980 EHF851958:EHH851980 ERB851958:ERD851980 FAX851958:FAZ851980 FKT851958:FKV851980 FUP851958:FUR851980 GEL851958:GEN851980 GOH851958:GOJ851980 GYD851958:GYF851980 HHZ851958:HIB851980 HRV851958:HRX851980 IBR851958:IBT851980 ILN851958:ILP851980 IVJ851958:IVL851980 JFF851958:JFH851980 JPB851958:JPD851980 JYX851958:JYZ851980 KIT851958:KIV851980 KSP851958:KSR851980 LCL851958:LCN851980 LMH851958:LMJ851980 LWD851958:LWF851980 MFZ851958:MGB851980 MPV851958:MPX851980 MZR851958:MZT851980 NJN851958:NJP851980 NTJ851958:NTL851980 ODF851958:ODH851980 ONB851958:OND851980 OWX851958:OWZ851980 PGT851958:PGV851980 PQP851958:PQR851980 QAL851958:QAN851980 QKH851958:QKJ851980 QUD851958:QUF851980 RDZ851958:REB851980 RNV851958:RNX851980 RXR851958:RXT851980 SHN851958:SHP851980 SRJ851958:SRL851980 TBF851958:TBH851980 TLB851958:TLD851980 TUX851958:TUZ851980 UET851958:UEV851980 UOP851958:UOR851980 UYL851958:UYN851980 VIH851958:VIJ851980 VSD851958:VSF851980 WBZ851958:WCB851980 WLV851958:WLX851980 WVR851958:WVT851980 J917494:L917516 JF917494:JH917516 TB917494:TD917516 ACX917494:ACZ917516 AMT917494:AMV917516 AWP917494:AWR917516 BGL917494:BGN917516 BQH917494:BQJ917516 CAD917494:CAF917516 CJZ917494:CKB917516 CTV917494:CTX917516 DDR917494:DDT917516 DNN917494:DNP917516 DXJ917494:DXL917516 EHF917494:EHH917516 ERB917494:ERD917516 FAX917494:FAZ917516 FKT917494:FKV917516 FUP917494:FUR917516 GEL917494:GEN917516 GOH917494:GOJ917516 GYD917494:GYF917516 HHZ917494:HIB917516 HRV917494:HRX917516 IBR917494:IBT917516 ILN917494:ILP917516 IVJ917494:IVL917516 JFF917494:JFH917516 JPB917494:JPD917516 JYX917494:JYZ917516 KIT917494:KIV917516 KSP917494:KSR917516 LCL917494:LCN917516 LMH917494:LMJ917516 LWD917494:LWF917516 MFZ917494:MGB917516 MPV917494:MPX917516 MZR917494:MZT917516 NJN917494:NJP917516 NTJ917494:NTL917516 ODF917494:ODH917516 ONB917494:OND917516 OWX917494:OWZ917516 PGT917494:PGV917516 PQP917494:PQR917516 QAL917494:QAN917516 QKH917494:QKJ917516 QUD917494:QUF917516 RDZ917494:REB917516 RNV917494:RNX917516 RXR917494:RXT917516 SHN917494:SHP917516 SRJ917494:SRL917516 TBF917494:TBH917516 TLB917494:TLD917516 TUX917494:TUZ917516 UET917494:UEV917516 UOP917494:UOR917516 UYL917494:UYN917516 VIH917494:VIJ917516 VSD917494:VSF917516 WBZ917494:WCB917516 WLV917494:WLX917516 WVR917494:WVT917516 J983030:L983052 JF983030:JH983052 TB983030:TD983052 ACX983030:ACZ983052 AMT983030:AMV983052 AWP983030:AWR983052 BGL983030:BGN983052 BQH983030:BQJ983052 CAD983030:CAF983052 CJZ983030:CKB983052 CTV983030:CTX983052 DDR983030:DDT983052 DNN983030:DNP983052 DXJ983030:DXL983052 EHF983030:EHH983052 ERB983030:ERD983052 FAX983030:FAZ983052 FKT983030:FKV983052 FUP983030:FUR983052 GEL983030:GEN983052 GOH983030:GOJ983052 GYD983030:GYF983052 HHZ983030:HIB983052 HRV983030:HRX983052 IBR983030:IBT983052 ILN983030:ILP983052 IVJ983030:IVL983052 JFF983030:JFH983052 JPB983030:JPD983052 JYX983030:JYZ983052 KIT983030:KIV983052 KSP983030:KSR983052 LCL983030:LCN983052 LMH983030:LMJ983052 LWD983030:LWF983052 MFZ983030:MGB983052 MPV983030:MPX983052 MZR983030:MZT983052 NJN983030:NJP983052 NTJ983030:NTL983052 ODF983030:ODH983052 ONB983030:OND983052 OWX983030:OWZ983052 PGT983030:PGV983052 PQP983030:PQR983052 QAL983030:QAN983052 QKH983030:QKJ983052 QUD983030:QUF983052 RDZ983030:REB983052 RNV983030:RNX983052 RXR983030:RXT983052 SHN983030:SHP983052 SRJ983030:SRL983052 TBF983030:TBH983052 TLB983030:TLD983052 TUX983030:TUZ983052 UET983030:UEV983052 UOP983030:UOR983052 UYL983030:UYN983052 VIH983030:VIJ983052 VSD983030:VSF983052 WBZ983030:WCB983052 WLV983030:WLX983052 WVR983030:WVT983052 G53:H76 D20:D43 D53:D76 G20:H43" xr:uid="{7763F0F7-7262-4157-8BA0-4661C1E36A10}">
      <formula1>0</formula1>
    </dataValidation>
  </dataValidations>
  <pageMargins left="0.74803149606299213" right="0.74803149606299213" top="0.98425196850393704" bottom="0.98425196850393704" header="0.51181102362204722" footer="0.51181102362204722"/>
  <pageSetup paperSize="8" scale="43" fitToWidth="2"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 id="{9A8CB768-8540-4745-AD94-3C0277C87E03}">
            <xm:f>TITELBLAD!$F$16="ex-ante"</xm:f>
            <x14:dxf>
              <fill>
                <patternFill patternType="lightUp"/>
              </fill>
            </x14:dxf>
          </x14:cfRule>
          <xm:sqref>A50:E79 G50:I79</xm:sqref>
        </x14:conditionalFormatting>
        <x14:conditionalFormatting xmlns:xm="http://schemas.microsoft.com/office/excel/2006/main">
          <x14:cfRule type="expression" priority="1" id="{8CD2113A-8F99-453A-8E60-4FC3DF031158}">
            <xm:f>TITELBLAD!$F$16="ex-ante"</xm:f>
            <x14:dxf>
              <fill>
                <patternFill patternType="lightUp"/>
              </fill>
            </x14:dxf>
          </x14:cfRule>
          <xm:sqref>F50:F79</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1235F-ABB3-4F98-9CD1-5146AB4A39E8}">
  <sheetPr>
    <pageSetUpPr fitToPage="1"/>
  </sheetPr>
  <dimension ref="A1:Q34"/>
  <sheetViews>
    <sheetView zoomScaleNormal="100" workbookViewId="0">
      <selection activeCell="G31" sqref="G31"/>
    </sheetView>
  </sheetViews>
  <sheetFormatPr defaultColWidth="9.1796875" defaultRowHeight="12.5" x14ac:dyDescent="0.25"/>
  <cols>
    <col min="1" max="1" width="9.1796875" style="661"/>
    <col min="2" max="2" width="26.54296875" style="661" bestFit="1" customWidth="1"/>
    <col min="3" max="3" width="34.81640625" style="661" bestFit="1" customWidth="1"/>
    <col min="4" max="5" width="25.7265625" style="661" customWidth="1"/>
    <col min="6" max="7" width="18.453125" style="661" customWidth="1"/>
    <col min="8" max="257" width="9.1796875" style="661"/>
    <col min="258" max="258" width="26.54296875" style="661" bestFit="1" customWidth="1"/>
    <col min="259" max="259" width="34.81640625" style="661" bestFit="1" customWidth="1"/>
    <col min="260" max="263" width="18.453125" style="661" customWidth="1"/>
    <col min="264" max="513" width="9.1796875" style="661"/>
    <col min="514" max="514" width="26.54296875" style="661" bestFit="1" customWidth="1"/>
    <col min="515" max="515" width="34.81640625" style="661" bestFit="1" customWidth="1"/>
    <col min="516" max="519" width="18.453125" style="661" customWidth="1"/>
    <col min="520" max="769" width="9.1796875" style="661"/>
    <col min="770" max="770" width="26.54296875" style="661" bestFit="1" customWidth="1"/>
    <col min="771" max="771" width="34.81640625" style="661" bestFit="1" customWidth="1"/>
    <col min="772" max="775" width="18.453125" style="661" customWidth="1"/>
    <col min="776" max="1025" width="9.1796875" style="661"/>
    <col min="1026" max="1026" width="26.54296875" style="661" bestFit="1" customWidth="1"/>
    <col min="1027" max="1027" width="34.81640625" style="661" bestFit="1" customWidth="1"/>
    <col min="1028" max="1031" width="18.453125" style="661" customWidth="1"/>
    <col min="1032" max="1281" width="9.1796875" style="661"/>
    <col min="1282" max="1282" width="26.54296875" style="661" bestFit="1" customWidth="1"/>
    <col min="1283" max="1283" width="34.81640625" style="661" bestFit="1" customWidth="1"/>
    <col min="1284" max="1287" width="18.453125" style="661" customWidth="1"/>
    <col min="1288" max="1537" width="9.1796875" style="661"/>
    <col min="1538" max="1538" width="26.54296875" style="661" bestFit="1" customWidth="1"/>
    <col min="1539" max="1539" width="34.81640625" style="661" bestFit="1" customWidth="1"/>
    <col min="1540" max="1543" width="18.453125" style="661" customWidth="1"/>
    <col min="1544" max="1793" width="9.1796875" style="661"/>
    <col min="1794" max="1794" width="26.54296875" style="661" bestFit="1" customWidth="1"/>
    <col min="1795" max="1795" width="34.81640625" style="661" bestFit="1" customWidth="1"/>
    <col min="1796" max="1799" width="18.453125" style="661" customWidth="1"/>
    <col min="1800" max="2049" width="9.1796875" style="661"/>
    <col min="2050" max="2050" width="26.54296875" style="661" bestFit="1" customWidth="1"/>
    <col min="2051" max="2051" width="34.81640625" style="661" bestFit="1" customWidth="1"/>
    <col min="2052" max="2055" width="18.453125" style="661" customWidth="1"/>
    <col min="2056" max="2305" width="9.1796875" style="661"/>
    <col min="2306" max="2306" width="26.54296875" style="661" bestFit="1" customWidth="1"/>
    <col min="2307" max="2307" width="34.81640625" style="661" bestFit="1" customWidth="1"/>
    <col min="2308" max="2311" width="18.453125" style="661" customWidth="1"/>
    <col min="2312" max="2561" width="9.1796875" style="661"/>
    <col min="2562" max="2562" width="26.54296875" style="661" bestFit="1" customWidth="1"/>
    <col min="2563" max="2563" width="34.81640625" style="661" bestFit="1" customWidth="1"/>
    <col min="2564" max="2567" width="18.453125" style="661" customWidth="1"/>
    <col min="2568" max="2817" width="9.1796875" style="661"/>
    <col min="2818" max="2818" width="26.54296875" style="661" bestFit="1" customWidth="1"/>
    <col min="2819" max="2819" width="34.81640625" style="661" bestFit="1" customWidth="1"/>
    <col min="2820" max="2823" width="18.453125" style="661" customWidth="1"/>
    <col min="2824" max="3073" width="9.1796875" style="661"/>
    <col min="3074" max="3074" width="26.54296875" style="661" bestFit="1" customWidth="1"/>
    <col min="3075" max="3075" width="34.81640625" style="661" bestFit="1" customWidth="1"/>
    <col min="3076" max="3079" width="18.453125" style="661" customWidth="1"/>
    <col min="3080" max="3329" width="9.1796875" style="661"/>
    <col min="3330" max="3330" width="26.54296875" style="661" bestFit="1" customWidth="1"/>
    <col min="3331" max="3331" width="34.81640625" style="661" bestFit="1" customWidth="1"/>
    <col min="3332" max="3335" width="18.453125" style="661" customWidth="1"/>
    <col min="3336" max="3585" width="9.1796875" style="661"/>
    <col min="3586" max="3586" width="26.54296875" style="661" bestFit="1" customWidth="1"/>
    <col min="3587" max="3587" width="34.81640625" style="661" bestFit="1" customWidth="1"/>
    <col min="3588" max="3591" width="18.453125" style="661" customWidth="1"/>
    <col min="3592" max="3841" width="9.1796875" style="661"/>
    <col min="3842" max="3842" width="26.54296875" style="661" bestFit="1" customWidth="1"/>
    <col min="3843" max="3843" width="34.81640625" style="661" bestFit="1" customWidth="1"/>
    <col min="3844" max="3847" width="18.453125" style="661" customWidth="1"/>
    <col min="3848" max="4097" width="9.1796875" style="661"/>
    <col min="4098" max="4098" width="26.54296875" style="661" bestFit="1" customWidth="1"/>
    <col min="4099" max="4099" width="34.81640625" style="661" bestFit="1" customWidth="1"/>
    <col min="4100" max="4103" width="18.453125" style="661" customWidth="1"/>
    <col min="4104" max="4353" width="9.1796875" style="661"/>
    <col min="4354" max="4354" width="26.54296875" style="661" bestFit="1" customWidth="1"/>
    <col min="4355" max="4355" width="34.81640625" style="661" bestFit="1" customWidth="1"/>
    <col min="4356" max="4359" width="18.453125" style="661" customWidth="1"/>
    <col min="4360" max="4609" width="9.1796875" style="661"/>
    <col min="4610" max="4610" width="26.54296875" style="661" bestFit="1" customWidth="1"/>
    <col min="4611" max="4611" width="34.81640625" style="661" bestFit="1" customWidth="1"/>
    <col min="4612" max="4615" width="18.453125" style="661" customWidth="1"/>
    <col min="4616" max="4865" width="9.1796875" style="661"/>
    <col min="4866" max="4866" width="26.54296875" style="661" bestFit="1" customWidth="1"/>
    <col min="4867" max="4867" width="34.81640625" style="661" bestFit="1" customWidth="1"/>
    <col min="4868" max="4871" width="18.453125" style="661" customWidth="1"/>
    <col min="4872" max="5121" width="9.1796875" style="661"/>
    <col min="5122" max="5122" width="26.54296875" style="661" bestFit="1" customWidth="1"/>
    <col min="5123" max="5123" width="34.81640625" style="661" bestFit="1" customWidth="1"/>
    <col min="5124" max="5127" width="18.453125" style="661" customWidth="1"/>
    <col min="5128" max="5377" width="9.1796875" style="661"/>
    <col min="5378" max="5378" width="26.54296875" style="661" bestFit="1" customWidth="1"/>
    <col min="5379" max="5379" width="34.81640625" style="661" bestFit="1" customWidth="1"/>
    <col min="5380" max="5383" width="18.453125" style="661" customWidth="1"/>
    <col min="5384" max="5633" width="9.1796875" style="661"/>
    <col min="5634" max="5634" width="26.54296875" style="661" bestFit="1" customWidth="1"/>
    <col min="5635" max="5635" width="34.81640625" style="661" bestFit="1" customWidth="1"/>
    <col min="5636" max="5639" width="18.453125" style="661" customWidth="1"/>
    <col min="5640" max="5889" width="9.1796875" style="661"/>
    <col min="5890" max="5890" width="26.54296875" style="661" bestFit="1" customWidth="1"/>
    <col min="5891" max="5891" width="34.81640625" style="661" bestFit="1" customWidth="1"/>
    <col min="5892" max="5895" width="18.453125" style="661" customWidth="1"/>
    <col min="5896" max="6145" width="9.1796875" style="661"/>
    <col min="6146" max="6146" width="26.54296875" style="661" bestFit="1" customWidth="1"/>
    <col min="6147" max="6147" width="34.81640625" style="661" bestFit="1" customWidth="1"/>
    <col min="6148" max="6151" width="18.453125" style="661" customWidth="1"/>
    <col min="6152" max="6401" width="9.1796875" style="661"/>
    <col min="6402" max="6402" width="26.54296875" style="661" bestFit="1" customWidth="1"/>
    <col min="6403" max="6403" width="34.81640625" style="661" bestFit="1" customWidth="1"/>
    <col min="6404" max="6407" width="18.453125" style="661" customWidth="1"/>
    <col min="6408" max="6657" width="9.1796875" style="661"/>
    <col min="6658" max="6658" width="26.54296875" style="661" bestFit="1" customWidth="1"/>
    <col min="6659" max="6659" width="34.81640625" style="661" bestFit="1" customWidth="1"/>
    <col min="6660" max="6663" width="18.453125" style="661" customWidth="1"/>
    <col min="6664" max="6913" width="9.1796875" style="661"/>
    <col min="6914" max="6914" width="26.54296875" style="661" bestFit="1" customWidth="1"/>
    <col min="6915" max="6915" width="34.81640625" style="661" bestFit="1" customWidth="1"/>
    <col min="6916" max="6919" width="18.453125" style="661" customWidth="1"/>
    <col min="6920" max="7169" width="9.1796875" style="661"/>
    <col min="7170" max="7170" width="26.54296875" style="661" bestFit="1" customWidth="1"/>
    <col min="7171" max="7171" width="34.81640625" style="661" bestFit="1" customWidth="1"/>
    <col min="7172" max="7175" width="18.453125" style="661" customWidth="1"/>
    <col min="7176" max="7425" width="9.1796875" style="661"/>
    <col min="7426" max="7426" width="26.54296875" style="661" bestFit="1" customWidth="1"/>
    <col min="7427" max="7427" width="34.81640625" style="661" bestFit="1" customWidth="1"/>
    <col min="7428" max="7431" width="18.453125" style="661" customWidth="1"/>
    <col min="7432" max="7681" width="9.1796875" style="661"/>
    <col min="7682" max="7682" width="26.54296875" style="661" bestFit="1" customWidth="1"/>
    <col min="7683" max="7683" width="34.81640625" style="661" bestFit="1" customWidth="1"/>
    <col min="7684" max="7687" width="18.453125" style="661" customWidth="1"/>
    <col min="7688" max="7937" width="9.1796875" style="661"/>
    <col min="7938" max="7938" width="26.54296875" style="661" bestFit="1" customWidth="1"/>
    <col min="7939" max="7939" width="34.81640625" style="661" bestFit="1" customWidth="1"/>
    <col min="7940" max="7943" width="18.453125" style="661" customWidth="1"/>
    <col min="7944" max="8193" width="9.1796875" style="661"/>
    <col min="8194" max="8194" width="26.54296875" style="661" bestFit="1" customWidth="1"/>
    <col min="8195" max="8195" width="34.81640625" style="661" bestFit="1" customWidth="1"/>
    <col min="8196" max="8199" width="18.453125" style="661" customWidth="1"/>
    <col min="8200" max="8449" width="9.1796875" style="661"/>
    <col min="8450" max="8450" width="26.54296875" style="661" bestFit="1" customWidth="1"/>
    <col min="8451" max="8451" width="34.81640625" style="661" bestFit="1" customWidth="1"/>
    <col min="8452" max="8455" width="18.453125" style="661" customWidth="1"/>
    <col min="8456" max="8705" width="9.1796875" style="661"/>
    <col min="8706" max="8706" width="26.54296875" style="661" bestFit="1" customWidth="1"/>
    <col min="8707" max="8707" width="34.81640625" style="661" bestFit="1" customWidth="1"/>
    <col min="8708" max="8711" width="18.453125" style="661" customWidth="1"/>
    <col min="8712" max="8961" width="9.1796875" style="661"/>
    <col min="8962" max="8962" width="26.54296875" style="661" bestFit="1" customWidth="1"/>
    <col min="8963" max="8963" width="34.81640625" style="661" bestFit="1" customWidth="1"/>
    <col min="8964" max="8967" width="18.453125" style="661" customWidth="1"/>
    <col min="8968" max="9217" width="9.1796875" style="661"/>
    <col min="9218" max="9218" width="26.54296875" style="661" bestFit="1" customWidth="1"/>
    <col min="9219" max="9219" width="34.81640625" style="661" bestFit="1" customWidth="1"/>
    <col min="9220" max="9223" width="18.453125" style="661" customWidth="1"/>
    <col min="9224" max="9473" width="9.1796875" style="661"/>
    <col min="9474" max="9474" width="26.54296875" style="661" bestFit="1" customWidth="1"/>
    <col min="9475" max="9475" width="34.81640625" style="661" bestFit="1" customWidth="1"/>
    <col min="9476" max="9479" width="18.453125" style="661" customWidth="1"/>
    <col min="9480" max="9729" width="9.1796875" style="661"/>
    <col min="9730" max="9730" width="26.54296875" style="661" bestFit="1" customWidth="1"/>
    <col min="9731" max="9731" width="34.81640625" style="661" bestFit="1" customWidth="1"/>
    <col min="9732" max="9735" width="18.453125" style="661" customWidth="1"/>
    <col min="9736" max="9985" width="9.1796875" style="661"/>
    <col min="9986" max="9986" width="26.54296875" style="661" bestFit="1" customWidth="1"/>
    <col min="9987" max="9987" width="34.81640625" style="661" bestFit="1" customWidth="1"/>
    <col min="9988" max="9991" width="18.453125" style="661" customWidth="1"/>
    <col min="9992" max="10241" width="9.1796875" style="661"/>
    <col min="10242" max="10242" width="26.54296875" style="661" bestFit="1" customWidth="1"/>
    <col min="10243" max="10243" width="34.81640625" style="661" bestFit="1" customWidth="1"/>
    <col min="10244" max="10247" width="18.453125" style="661" customWidth="1"/>
    <col min="10248" max="10497" width="9.1796875" style="661"/>
    <col min="10498" max="10498" width="26.54296875" style="661" bestFit="1" customWidth="1"/>
    <col min="10499" max="10499" width="34.81640625" style="661" bestFit="1" customWidth="1"/>
    <col min="10500" max="10503" width="18.453125" style="661" customWidth="1"/>
    <col min="10504" max="10753" width="9.1796875" style="661"/>
    <col min="10754" max="10754" width="26.54296875" style="661" bestFit="1" customWidth="1"/>
    <col min="10755" max="10755" width="34.81640625" style="661" bestFit="1" customWidth="1"/>
    <col min="10756" max="10759" width="18.453125" style="661" customWidth="1"/>
    <col min="10760" max="11009" width="9.1796875" style="661"/>
    <col min="11010" max="11010" width="26.54296875" style="661" bestFit="1" customWidth="1"/>
    <col min="11011" max="11011" width="34.81640625" style="661" bestFit="1" customWidth="1"/>
    <col min="11012" max="11015" width="18.453125" style="661" customWidth="1"/>
    <col min="11016" max="11265" width="9.1796875" style="661"/>
    <col min="11266" max="11266" width="26.54296875" style="661" bestFit="1" customWidth="1"/>
    <col min="11267" max="11267" width="34.81640625" style="661" bestFit="1" customWidth="1"/>
    <col min="11268" max="11271" width="18.453125" style="661" customWidth="1"/>
    <col min="11272" max="11521" width="9.1796875" style="661"/>
    <col min="11522" max="11522" width="26.54296875" style="661" bestFit="1" customWidth="1"/>
    <col min="11523" max="11523" width="34.81640625" style="661" bestFit="1" customWidth="1"/>
    <col min="11524" max="11527" width="18.453125" style="661" customWidth="1"/>
    <col min="11528" max="11777" width="9.1796875" style="661"/>
    <col min="11778" max="11778" width="26.54296875" style="661" bestFit="1" customWidth="1"/>
    <col min="11779" max="11779" width="34.81640625" style="661" bestFit="1" customWidth="1"/>
    <col min="11780" max="11783" width="18.453125" style="661" customWidth="1"/>
    <col min="11784" max="12033" width="9.1796875" style="661"/>
    <col min="12034" max="12034" width="26.54296875" style="661" bestFit="1" customWidth="1"/>
    <col min="12035" max="12035" width="34.81640625" style="661" bestFit="1" customWidth="1"/>
    <col min="12036" max="12039" width="18.453125" style="661" customWidth="1"/>
    <col min="12040" max="12289" width="9.1796875" style="661"/>
    <col min="12290" max="12290" width="26.54296875" style="661" bestFit="1" customWidth="1"/>
    <col min="12291" max="12291" width="34.81640625" style="661" bestFit="1" customWidth="1"/>
    <col min="12292" max="12295" width="18.453125" style="661" customWidth="1"/>
    <col min="12296" max="12545" width="9.1796875" style="661"/>
    <col min="12546" max="12546" width="26.54296875" style="661" bestFit="1" customWidth="1"/>
    <col min="12547" max="12547" width="34.81640625" style="661" bestFit="1" customWidth="1"/>
    <col min="12548" max="12551" width="18.453125" style="661" customWidth="1"/>
    <col min="12552" max="12801" width="9.1796875" style="661"/>
    <col min="12802" max="12802" width="26.54296875" style="661" bestFit="1" customWidth="1"/>
    <col min="12803" max="12803" width="34.81640625" style="661" bestFit="1" customWidth="1"/>
    <col min="12804" max="12807" width="18.453125" style="661" customWidth="1"/>
    <col min="12808" max="13057" width="9.1796875" style="661"/>
    <col min="13058" max="13058" width="26.54296875" style="661" bestFit="1" customWidth="1"/>
    <col min="13059" max="13059" width="34.81640625" style="661" bestFit="1" customWidth="1"/>
    <col min="13060" max="13063" width="18.453125" style="661" customWidth="1"/>
    <col min="13064" max="13313" width="9.1796875" style="661"/>
    <col min="13314" max="13314" width="26.54296875" style="661" bestFit="1" customWidth="1"/>
    <col min="13315" max="13315" width="34.81640625" style="661" bestFit="1" customWidth="1"/>
    <col min="13316" max="13319" width="18.453125" style="661" customWidth="1"/>
    <col min="13320" max="13569" width="9.1796875" style="661"/>
    <col min="13570" max="13570" width="26.54296875" style="661" bestFit="1" customWidth="1"/>
    <col min="13571" max="13571" width="34.81640625" style="661" bestFit="1" customWidth="1"/>
    <col min="13572" max="13575" width="18.453125" style="661" customWidth="1"/>
    <col min="13576" max="13825" width="9.1796875" style="661"/>
    <col min="13826" max="13826" width="26.54296875" style="661" bestFit="1" customWidth="1"/>
    <col min="13827" max="13827" width="34.81640625" style="661" bestFit="1" customWidth="1"/>
    <col min="13828" max="13831" width="18.453125" style="661" customWidth="1"/>
    <col min="13832" max="14081" width="9.1796875" style="661"/>
    <col min="14082" max="14082" width="26.54296875" style="661" bestFit="1" customWidth="1"/>
    <col min="14083" max="14083" width="34.81640625" style="661" bestFit="1" customWidth="1"/>
    <col min="14084" max="14087" width="18.453125" style="661" customWidth="1"/>
    <col min="14088" max="14337" width="9.1796875" style="661"/>
    <col min="14338" max="14338" width="26.54296875" style="661" bestFit="1" customWidth="1"/>
    <col min="14339" max="14339" width="34.81640625" style="661" bestFit="1" customWidth="1"/>
    <col min="14340" max="14343" width="18.453125" style="661" customWidth="1"/>
    <col min="14344" max="14593" width="9.1796875" style="661"/>
    <col min="14594" max="14594" width="26.54296875" style="661" bestFit="1" customWidth="1"/>
    <col min="14595" max="14595" width="34.81640625" style="661" bestFit="1" customWidth="1"/>
    <col min="14596" max="14599" width="18.453125" style="661" customWidth="1"/>
    <col min="14600" max="14849" width="9.1796875" style="661"/>
    <col min="14850" max="14850" width="26.54296875" style="661" bestFit="1" customWidth="1"/>
    <col min="14851" max="14851" width="34.81640625" style="661" bestFit="1" customWidth="1"/>
    <col min="14852" max="14855" width="18.453125" style="661" customWidth="1"/>
    <col min="14856" max="15105" width="9.1796875" style="661"/>
    <col min="15106" max="15106" width="26.54296875" style="661" bestFit="1" customWidth="1"/>
    <col min="15107" max="15107" width="34.81640625" style="661" bestFit="1" customWidth="1"/>
    <col min="15108" max="15111" width="18.453125" style="661" customWidth="1"/>
    <col min="15112" max="15361" width="9.1796875" style="661"/>
    <col min="15362" max="15362" width="26.54296875" style="661" bestFit="1" customWidth="1"/>
    <col min="15363" max="15363" width="34.81640625" style="661" bestFit="1" customWidth="1"/>
    <col min="15364" max="15367" width="18.453125" style="661" customWidth="1"/>
    <col min="15368" max="15617" width="9.1796875" style="661"/>
    <col min="15618" max="15618" width="26.54296875" style="661" bestFit="1" customWidth="1"/>
    <col min="15619" max="15619" width="34.81640625" style="661" bestFit="1" customWidth="1"/>
    <col min="15620" max="15623" width="18.453125" style="661" customWidth="1"/>
    <col min="15624" max="15873" width="9.1796875" style="661"/>
    <col min="15874" max="15874" width="26.54296875" style="661" bestFit="1" customWidth="1"/>
    <col min="15875" max="15875" width="34.81640625" style="661" bestFit="1" customWidth="1"/>
    <col min="15876" max="15879" width="18.453125" style="661" customWidth="1"/>
    <col min="15880" max="16129" width="9.1796875" style="661"/>
    <col min="16130" max="16130" width="26.54296875" style="661" bestFit="1" customWidth="1"/>
    <col min="16131" max="16131" width="34.81640625" style="661" bestFit="1" customWidth="1"/>
    <col min="16132" max="16135" width="18.453125" style="661" customWidth="1"/>
    <col min="16136" max="16384" width="9.1796875" style="661"/>
  </cols>
  <sheetData>
    <row r="1" spans="1:17" ht="16" thickBot="1" x14ac:dyDescent="0.3">
      <c r="A1" s="1360" t="s">
        <v>436</v>
      </c>
      <c r="B1" s="1361"/>
      <c r="C1" s="1361"/>
      <c r="D1" s="1361"/>
      <c r="E1" s="1361"/>
      <c r="F1" s="1362"/>
      <c r="G1" s="806"/>
      <c r="H1" s="669"/>
      <c r="I1" s="669"/>
      <c r="J1" s="669"/>
      <c r="K1" s="662" t="str">
        <f>+TITELBLAD!C10</f>
        <v>elektriciteit</v>
      </c>
      <c r="L1" s="669"/>
      <c r="M1" s="669"/>
      <c r="N1" s="669"/>
      <c r="O1" s="669"/>
      <c r="P1" s="669"/>
      <c r="Q1" s="669"/>
    </row>
    <row r="2" spans="1:17" ht="13" x14ac:dyDescent="0.25">
      <c r="A2" s="669"/>
      <c r="B2" s="669"/>
      <c r="C2" s="669"/>
      <c r="D2" s="669"/>
      <c r="E2" s="669"/>
      <c r="F2" s="669"/>
      <c r="G2" s="669"/>
      <c r="H2" s="669"/>
      <c r="I2" s="669"/>
      <c r="J2" s="669"/>
      <c r="K2" s="674">
        <f>+TITELBLAD!E16</f>
        <v>2021</v>
      </c>
      <c r="L2" s="669"/>
      <c r="M2" s="669"/>
      <c r="N2" s="669"/>
      <c r="O2" s="669"/>
      <c r="P2" s="669"/>
      <c r="Q2" s="669"/>
    </row>
    <row r="3" spans="1:17" ht="13" thickBot="1" x14ac:dyDescent="0.3">
      <c r="H3" s="669"/>
      <c r="I3" s="669"/>
      <c r="J3" s="669"/>
      <c r="K3" s="662"/>
      <c r="L3" s="669"/>
      <c r="M3" s="669"/>
      <c r="N3" s="669"/>
      <c r="O3" s="669"/>
      <c r="P3" s="669"/>
      <c r="Q3" s="669"/>
    </row>
    <row r="4" spans="1:17" ht="13" customHeight="1" x14ac:dyDescent="0.25">
      <c r="B4" s="677"/>
      <c r="C4" s="678"/>
      <c r="D4" s="1366" t="str">
        <f>"BUDGET "&amp;K2</f>
        <v>BUDGET 2021</v>
      </c>
      <c r="E4" s="1366" t="str">
        <f>"REALITEIT "&amp;K2</f>
        <v>REALITEIT 2021</v>
      </c>
      <c r="H4" s="669"/>
      <c r="I4" s="669"/>
      <c r="J4" s="669"/>
      <c r="K4" s="669"/>
      <c r="L4" s="669"/>
      <c r="M4" s="669"/>
      <c r="N4" s="669"/>
      <c r="O4" s="669"/>
      <c r="P4" s="669"/>
      <c r="Q4" s="669"/>
    </row>
    <row r="5" spans="1:17" ht="13" thickBot="1" x14ac:dyDescent="0.3">
      <c r="B5" s="679"/>
      <c r="C5" s="680"/>
      <c r="D5" s="1367"/>
      <c r="E5" s="1367"/>
      <c r="H5" s="669"/>
      <c r="I5" s="669"/>
      <c r="J5" s="669"/>
      <c r="K5" s="669"/>
      <c r="L5" s="669"/>
      <c r="M5" s="669"/>
      <c r="N5" s="669"/>
      <c r="O5" s="669"/>
      <c r="P5" s="669"/>
      <c r="Q5" s="669"/>
    </row>
    <row r="6" spans="1:17" ht="13" x14ac:dyDescent="0.25">
      <c r="B6" s="677"/>
      <c r="C6" s="678"/>
      <c r="D6" s="681"/>
      <c r="E6" s="681"/>
      <c r="H6" s="669"/>
      <c r="I6" s="669"/>
      <c r="J6" s="669"/>
      <c r="K6" s="669"/>
      <c r="L6" s="669"/>
      <c r="M6" s="669"/>
      <c r="N6" s="669"/>
      <c r="O6" s="669"/>
      <c r="P6" s="669"/>
      <c r="Q6" s="669"/>
    </row>
    <row r="7" spans="1:17" x14ac:dyDescent="0.25">
      <c r="B7" s="1363" t="str">
        <f>"Startwaarde (01/01/"&amp;K2&amp;")"</f>
        <v>Startwaarde (01/01/2021)</v>
      </c>
      <c r="C7" s="682" t="s">
        <v>357</v>
      </c>
      <c r="D7" s="683">
        <f>IF($K$1="elektriciteit",T13A!E66,IF('T14'!$K$1="gas",T13C!E45,"FOUT"))</f>
        <v>0</v>
      </c>
      <c r="E7" s="683">
        <f>IF($K$1="elektriciteit",T13A!E120,IF('T14'!$K$1="gas",T13C!E78,"FOUT"))</f>
        <v>0</v>
      </c>
      <c r="H7" s="669"/>
      <c r="I7" s="669"/>
      <c r="J7" s="669"/>
      <c r="K7" s="669"/>
      <c r="L7" s="669"/>
      <c r="M7" s="669"/>
      <c r="N7" s="669"/>
      <c r="O7" s="669"/>
      <c r="P7" s="669"/>
      <c r="Q7" s="669"/>
    </row>
    <row r="8" spans="1:17" x14ac:dyDescent="0.25">
      <c r="B8" s="1363"/>
      <c r="C8" s="682" t="s">
        <v>358</v>
      </c>
      <c r="D8" s="683">
        <f>IF($K$1="elektriciteit",T13B!E66,IF('T14'!$K$1="gas",T13D!E45,"FOUT"))</f>
        <v>0</v>
      </c>
      <c r="E8" s="684">
        <f>IF($K$1="elektriciteit",T13B!E120,IF('T14'!$K$1="gas",T13D!E78,"FOUT"))</f>
        <v>0</v>
      </c>
      <c r="H8" s="669"/>
      <c r="I8" s="669"/>
      <c r="J8" s="669"/>
      <c r="K8" s="669"/>
      <c r="L8" s="669"/>
      <c r="M8" s="669"/>
      <c r="N8" s="669"/>
      <c r="O8" s="669"/>
      <c r="P8" s="669"/>
      <c r="Q8" s="669"/>
    </row>
    <row r="9" spans="1:17" x14ac:dyDescent="0.25">
      <c r="B9" s="685"/>
      <c r="C9" s="686"/>
      <c r="D9" s="687"/>
      <c r="E9" s="688"/>
      <c r="H9" s="669"/>
      <c r="I9" s="669"/>
      <c r="J9" s="669"/>
      <c r="K9" s="669"/>
      <c r="L9" s="669"/>
      <c r="M9" s="669"/>
      <c r="N9" s="669"/>
      <c r="O9" s="669"/>
      <c r="P9" s="669"/>
      <c r="Q9" s="669"/>
    </row>
    <row r="10" spans="1:17" x14ac:dyDescent="0.25">
      <c r="B10" s="689"/>
      <c r="C10" s="690"/>
      <c r="D10" s="691"/>
      <c r="E10" s="692"/>
      <c r="H10" s="669"/>
      <c r="I10" s="669"/>
      <c r="J10" s="669"/>
      <c r="K10" s="669"/>
      <c r="L10" s="669"/>
      <c r="M10" s="669"/>
      <c r="N10" s="669"/>
      <c r="O10" s="669"/>
      <c r="P10" s="669"/>
      <c r="Q10" s="669"/>
    </row>
    <row r="11" spans="1:17" ht="13" x14ac:dyDescent="0.25">
      <c r="B11" s="805" t="str">
        <f>"Startwaarde RAB m.b.t. herwaarderingsmeerwaarden (01/01/"&amp;K2&amp;")"</f>
        <v>Startwaarde RAB m.b.t. herwaarderingsmeerwaarden (01/01/2021)</v>
      </c>
      <c r="C11" s="693"/>
      <c r="D11" s="705">
        <f>+D8+D7</f>
        <v>0</v>
      </c>
      <c r="E11" s="705">
        <f>+E8+E7</f>
        <v>0</v>
      </c>
      <c r="H11" s="669"/>
      <c r="I11" s="669"/>
      <c r="J11" s="669"/>
      <c r="K11" s="669"/>
      <c r="L11" s="669"/>
      <c r="M11" s="669"/>
      <c r="N11" s="669"/>
      <c r="O11" s="669"/>
      <c r="P11" s="669"/>
      <c r="Q11" s="669"/>
    </row>
    <row r="12" spans="1:17" x14ac:dyDescent="0.25">
      <c r="B12" s="685"/>
      <c r="C12" s="693"/>
      <c r="D12" s="694"/>
      <c r="E12" s="695"/>
      <c r="H12" s="669"/>
      <c r="I12" s="669"/>
      <c r="J12" s="669"/>
      <c r="K12" s="669"/>
      <c r="L12" s="669"/>
      <c r="M12" s="669"/>
      <c r="N12" s="669"/>
      <c r="O12" s="669"/>
      <c r="P12" s="669"/>
      <c r="Q12" s="669"/>
    </row>
    <row r="13" spans="1:17" x14ac:dyDescent="0.25">
      <c r="B13" s="689"/>
      <c r="C13" s="696"/>
      <c r="D13" s="691"/>
      <c r="E13" s="692"/>
    </row>
    <row r="14" spans="1:17" x14ac:dyDescent="0.25">
      <c r="B14" s="685" t="s">
        <v>359</v>
      </c>
      <c r="C14" s="682" t="s">
        <v>357</v>
      </c>
      <c r="D14" s="683">
        <f>IF($K$1="elektriciteit",T13A!G66,IF('T14'!$K$1="gas",T13C!G45,"FOUT"))</f>
        <v>0</v>
      </c>
      <c r="E14" s="683">
        <f>IF($K$1="elektriciteit",T13A!G120,IF('T14'!$K$1="gas",T13C!G78,"FOUT"))</f>
        <v>0</v>
      </c>
    </row>
    <row r="15" spans="1:17" x14ac:dyDescent="0.25">
      <c r="B15" s="685"/>
      <c r="C15" s="682" t="s">
        <v>358</v>
      </c>
      <c r="D15" s="683">
        <f>IF($K$1="elektriciteit",T13B!G66,IF('T14'!$K$1="gas",T13D!G45,"FOUT"))</f>
        <v>0</v>
      </c>
      <c r="E15" s="684">
        <f>IF($K$1="elektriciteit",T13B!G120,IF('T14'!$K$1="gas",T13D!G78,"FOUT"))</f>
        <v>0</v>
      </c>
    </row>
    <row r="16" spans="1:17" x14ac:dyDescent="0.25">
      <c r="B16" s="697"/>
      <c r="C16" s="698"/>
      <c r="D16" s="699"/>
      <c r="E16" s="700"/>
    </row>
    <row r="17" spans="2:5" x14ac:dyDescent="0.25">
      <c r="B17" s="689"/>
      <c r="C17" s="696"/>
      <c r="D17" s="691"/>
      <c r="E17" s="692"/>
    </row>
    <row r="18" spans="2:5" x14ac:dyDescent="0.25">
      <c r="B18" s="1374" t="s">
        <v>439</v>
      </c>
      <c r="C18" s="682" t="s">
        <v>357</v>
      </c>
      <c r="D18" s="683">
        <f>IF($K$1="elektriciteit",T13A!H66,IF('T14'!$K$1="gas",T13C!H45,"FOUT"))</f>
        <v>0</v>
      </c>
      <c r="E18" s="683">
        <f>IF($K$1="elektriciteit",T13A!H120,IF('T14'!$K$1="gas",T13C!H78,"FOUT"))</f>
        <v>0</v>
      </c>
    </row>
    <row r="19" spans="2:5" ht="14.15" customHeight="1" x14ac:dyDescent="0.25">
      <c r="B19" s="1374"/>
      <c r="C19" s="682" t="s">
        <v>358</v>
      </c>
      <c r="D19" s="683">
        <f>IF($K$1="elektriciteit",T13B!H66,IF('T14'!$K$1="gas",T13D!H45,"FOUT"))</f>
        <v>0</v>
      </c>
      <c r="E19" s="684">
        <f>IF($K$1="elektriciteit",T13B!H120,IF('T14'!$K$1="gas",T13D!H78,"FOUT"))</f>
        <v>0</v>
      </c>
    </row>
    <row r="20" spans="2:5" x14ac:dyDescent="0.25">
      <c r="B20" s="697"/>
      <c r="C20" s="698"/>
      <c r="D20" s="699"/>
      <c r="E20" s="700"/>
    </row>
    <row r="21" spans="2:5" x14ac:dyDescent="0.25">
      <c r="B21" s="685"/>
      <c r="C21" s="693"/>
      <c r="D21" s="694"/>
      <c r="E21" s="695"/>
    </row>
    <row r="22" spans="2:5" x14ac:dyDescent="0.25">
      <c r="B22" s="685" t="str">
        <f>"Eindwaarde (31/12/"&amp;K2&amp;")"</f>
        <v>Eindwaarde (31/12/2021)</v>
      </c>
      <c r="C22" s="682" t="s">
        <v>357</v>
      </c>
      <c r="D22" s="683">
        <f>+D7+D14+D18</f>
        <v>0</v>
      </c>
      <c r="E22" s="684">
        <f>+E7+E14+E18</f>
        <v>0</v>
      </c>
    </row>
    <row r="23" spans="2:5" x14ac:dyDescent="0.25">
      <c r="B23" s="685"/>
      <c r="C23" s="682" t="s">
        <v>358</v>
      </c>
      <c r="D23" s="683">
        <f t="shared" ref="D23:E23" si="0">+D8+D15+D19</f>
        <v>0</v>
      </c>
      <c r="E23" s="684">
        <f t="shared" si="0"/>
        <v>0</v>
      </c>
    </row>
    <row r="24" spans="2:5" x14ac:dyDescent="0.25">
      <c r="B24" s="701"/>
      <c r="C24" s="702"/>
      <c r="D24" s="703"/>
      <c r="E24" s="704"/>
    </row>
    <row r="25" spans="2:5" x14ac:dyDescent="0.25">
      <c r="B25" s="685"/>
      <c r="C25" s="693"/>
      <c r="D25" s="694"/>
      <c r="E25" s="695"/>
    </row>
    <row r="26" spans="2:5" ht="13" x14ac:dyDescent="0.25">
      <c r="B26" s="805" t="str">
        <f>"Eindwaarde RAB m.b.t. herwaarderingsmeerwaarden (31/12/"&amp;K2&amp;")"</f>
        <v>Eindwaarde RAB m.b.t. herwaarderingsmeerwaarden (31/12/2021)</v>
      </c>
      <c r="C26" s="693"/>
      <c r="D26" s="705">
        <f>D22+D23</f>
        <v>0</v>
      </c>
      <c r="E26" s="706">
        <f>E22+E23</f>
        <v>0</v>
      </c>
    </row>
    <row r="27" spans="2:5" x14ac:dyDescent="0.25">
      <c r="B27" s="697"/>
      <c r="C27" s="698"/>
      <c r="D27" s="699"/>
      <c r="E27" s="700"/>
    </row>
    <row r="28" spans="2:5" x14ac:dyDescent="0.25">
      <c r="B28" s="1368" t="str">
        <f>"Gemiddelde RAB m.b.t. herwaarderingsmeerwaarden voor het jaar "&amp;'T9 - Overzicht'!B6</f>
        <v>Gemiddelde RAB m.b.t. herwaarderingsmeerwaarden voor het jaar 2021</v>
      </c>
      <c r="C28" s="1369"/>
      <c r="D28" s="694"/>
      <c r="E28" s="695"/>
    </row>
    <row r="29" spans="2:5" ht="13" x14ac:dyDescent="0.25">
      <c r="B29" s="1370"/>
      <c r="C29" s="1371"/>
      <c r="D29" s="705">
        <f>(D11+D26)/2</f>
        <v>0</v>
      </c>
      <c r="E29" s="706">
        <f>(E11+E26)/2</f>
        <v>0</v>
      </c>
    </row>
    <row r="30" spans="2:5" ht="13" thickBot="1" x14ac:dyDescent="0.3">
      <c r="B30" s="1372"/>
      <c r="C30" s="1373"/>
      <c r="D30" s="707"/>
      <c r="E30" s="708"/>
    </row>
    <row r="31" spans="2:5" ht="7.5" customHeight="1" thickBot="1" x14ac:dyDescent="0.3"/>
    <row r="32" spans="2:5" ht="14.5" customHeight="1" thickBot="1" x14ac:dyDescent="0.3">
      <c r="B32" s="1364" t="str">
        <f>"Kapitaalkostpercentage herwaarderingsmeerwaarden voor "&amp;TITELBLAD!E16</f>
        <v>Kapitaalkostpercentage herwaarderingsmeerwaarden voor 2021</v>
      </c>
      <c r="C32" s="1365"/>
      <c r="D32" s="672">
        <f>IF($K$2=2021,0.035,IF($K$2=2022,0.0306,IF($K$2=2023,0.0263,IF($K$2=2024,0.0219,"FOUT"))))</f>
        <v>3.5000000000000003E-2</v>
      </c>
      <c r="E32" s="673">
        <f>IF($K$2=2021,0.035,IF($K$2=2022,0.0306,IF($K$2=2023,0.0263,IF($K$2=2024,0.0219,"FOUT"))))</f>
        <v>3.5000000000000003E-2</v>
      </c>
    </row>
    <row r="33" spans="2:5" ht="7.5" customHeight="1" thickBot="1" x14ac:dyDescent="0.3"/>
    <row r="34" spans="2:5" ht="14.5" customHeight="1" thickBot="1" x14ac:dyDescent="0.3">
      <c r="B34" s="1364" t="s">
        <v>360</v>
      </c>
      <c r="C34" s="1365"/>
      <c r="D34" s="675">
        <f>+D29*D32</f>
        <v>0</v>
      </c>
      <c r="E34" s="676">
        <f>+E29*E32</f>
        <v>0</v>
      </c>
    </row>
  </sheetData>
  <sheetProtection algorithmName="SHA-512" hashValue="gQubZ/7pw78JvgBYUMYt8Aae6HM7AFNXklcIkhmWtTKTHjc9E1sNLu/8hMeXIl5thNJ3VszCFroLmImYONxC1w==" saltValue="CH42kJ35fgrLlUl7bJJL5Q==" spinCount="100000" sheet="1" objects="1" scenarios="1"/>
  <mergeCells count="8">
    <mergeCell ref="A1:F1"/>
    <mergeCell ref="B7:B8"/>
    <mergeCell ref="B32:C32"/>
    <mergeCell ref="B34:C34"/>
    <mergeCell ref="D4:D5"/>
    <mergeCell ref="E4:E5"/>
    <mergeCell ref="B28:C30"/>
    <mergeCell ref="B18:B19"/>
  </mergeCells>
  <pageMargins left="0.70866141732283472" right="0.70866141732283472" top="0.74803149606299213" bottom="0.74803149606299213" header="0.31496062992125984" footer="0.31496062992125984"/>
  <pageSetup paperSize="8" scale="92" orientation="portrait" r:id="rId1"/>
  <extLst>
    <ext xmlns:x14="http://schemas.microsoft.com/office/spreadsheetml/2009/9/main" uri="{78C0D931-6437-407d-A8EE-F0AAD7539E65}">
      <x14:conditionalFormattings>
        <x14:conditionalFormatting xmlns:xm="http://schemas.microsoft.com/office/excel/2006/main">
          <x14:cfRule type="expression" priority="1" id="{B65F6348-BDA2-4E6A-94B1-7B2C6455F126}">
            <xm:f>'T9 - Overzicht'!$C$6="ex-ante"</xm:f>
            <x14:dxf>
              <fill>
                <patternFill patternType="lightUp"/>
              </fill>
            </x14:dxf>
          </x14:cfRule>
          <xm:sqref>E4:E30 E32 E34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Blad2">
    <pageSetUpPr fitToPage="1"/>
  </sheetPr>
  <dimension ref="B1:S125"/>
  <sheetViews>
    <sheetView topLeftCell="A7" zoomScale="70" zoomScaleNormal="70" workbookViewId="0">
      <selection activeCell="I18" sqref="I18"/>
    </sheetView>
  </sheetViews>
  <sheetFormatPr defaultColWidth="9.1796875" defaultRowHeight="12.5" x14ac:dyDescent="0.25"/>
  <cols>
    <col min="1" max="1" width="1.54296875" style="12" customWidth="1"/>
    <col min="2" max="2" width="4.1796875" style="42" customWidth="1"/>
    <col min="3" max="3" width="22.453125" style="42" customWidth="1"/>
    <col min="4" max="4" width="1.453125" style="42" customWidth="1"/>
    <col min="5" max="5" width="23" style="42" customWidth="1"/>
    <col min="6" max="6" width="10.7265625" style="43" customWidth="1"/>
    <col min="7" max="8" width="26.1796875" style="42" customWidth="1"/>
    <col min="9" max="11" width="23.7265625" style="42" customWidth="1"/>
    <col min="12" max="13" width="25" style="42" customWidth="1"/>
    <col min="14" max="14" width="22.453125" style="42" customWidth="1"/>
    <col min="15" max="15" width="26.54296875" style="42" customWidth="1"/>
    <col min="16" max="16" width="22.453125" style="42" customWidth="1"/>
    <col min="17" max="17" width="31.81640625" style="42" customWidth="1"/>
    <col min="18" max="18" width="19.7265625" style="42" customWidth="1"/>
    <col min="19" max="19" width="18.7265625" style="42" customWidth="1"/>
    <col min="20" max="16384" width="9.1796875" style="12"/>
  </cols>
  <sheetData>
    <row r="1" spans="2:19" ht="25.5" customHeight="1" thickBot="1" x14ac:dyDescent="0.3">
      <c r="B1" s="1160" t="str">
        <f>"TABEL 1: Resultatenrekening (algemene boekhouding) voor boekjaar "&amp;TITELBLAD!E16&amp;" (waarden boekhouding)"</f>
        <v>TABEL 1: Resultatenrekening (algemene boekhouding) voor boekjaar 2021 (waarden boekhouding)</v>
      </c>
      <c r="C1" s="1161"/>
      <c r="D1" s="1161"/>
      <c r="E1" s="1161"/>
      <c r="F1" s="1161"/>
      <c r="G1" s="1161"/>
      <c r="H1" s="1161"/>
      <c r="I1" s="1161"/>
      <c r="J1" s="1161"/>
      <c r="K1" s="1161"/>
      <c r="L1" s="1161"/>
      <c r="M1" s="1162"/>
      <c r="N1" s="12"/>
      <c r="O1" s="12"/>
      <c r="P1" s="12"/>
      <c r="Q1" s="12"/>
      <c r="R1" s="12"/>
      <c r="S1" s="12"/>
    </row>
    <row r="2" spans="2:19" ht="18" x14ac:dyDescent="0.4">
      <c r="B2" s="34"/>
      <c r="C2" s="34"/>
      <c r="D2" s="34"/>
      <c r="E2" s="34"/>
      <c r="F2" s="35"/>
      <c r="G2" s="34"/>
      <c r="H2" s="34"/>
      <c r="I2" s="34"/>
      <c r="J2" s="34"/>
      <c r="K2" s="34"/>
      <c r="L2" s="34"/>
      <c r="M2" s="34"/>
      <c r="N2" s="34"/>
      <c r="O2" s="141" t="s">
        <v>100</v>
      </c>
      <c r="P2" s="141">
        <f>+TITELBLAD!E16</f>
        <v>2021</v>
      </c>
      <c r="Q2" s="141" t="str">
        <f>+TITELBLAD!F16</f>
        <v>ex-ante</v>
      </c>
      <c r="R2" s="34"/>
      <c r="S2" s="35"/>
    </row>
    <row r="3" spans="2:19" s="36" customFormat="1" ht="13" x14ac:dyDescent="0.25">
      <c r="C3" s="37" t="s">
        <v>37</v>
      </c>
      <c r="D3" s="38"/>
      <c r="L3" s="38"/>
      <c r="O3" s="142"/>
      <c r="P3" s="142"/>
      <c r="Q3" s="142"/>
    </row>
    <row r="4" spans="2:19" s="36" customFormat="1" ht="13" x14ac:dyDescent="0.25">
      <c r="C4" s="39" t="s">
        <v>95</v>
      </c>
      <c r="D4" s="38"/>
      <c r="L4" s="38"/>
    </row>
    <row r="5" spans="2:19" ht="13.5" thickBot="1" x14ac:dyDescent="0.35">
      <c r="B5" s="40"/>
      <c r="C5" s="40"/>
      <c r="D5" s="40"/>
      <c r="E5" s="40"/>
      <c r="F5" s="41"/>
      <c r="G5" s="40"/>
      <c r="H5" s="40"/>
      <c r="I5" s="40"/>
      <c r="J5" s="40"/>
      <c r="K5" s="40"/>
      <c r="L5" s="40"/>
      <c r="M5" s="40"/>
      <c r="N5" s="40"/>
      <c r="O5" s="40"/>
      <c r="P5" s="40"/>
      <c r="Q5" s="40"/>
      <c r="R5" s="40"/>
      <c r="S5" s="40"/>
    </row>
    <row r="6" spans="2:19" ht="13" thickTop="1" x14ac:dyDescent="0.25">
      <c r="B6" s="1152" t="s">
        <v>43</v>
      </c>
      <c r="C6" s="1153"/>
      <c r="D6" s="1153"/>
      <c r="E6" s="1154"/>
      <c r="F6" s="1163" t="s">
        <v>3</v>
      </c>
      <c r="G6" s="1146" t="s">
        <v>55</v>
      </c>
      <c r="H6" s="1147"/>
      <c r="I6" s="1147"/>
      <c r="J6" s="1147"/>
      <c r="K6" s="1148"/>
      <c r="L6" s="1146" t="s">
        <v>56</v>
      </c>
      <c r="M6" s="1147"/>
      <c r="N6" s="1147"/>
      <c r="O6" s="1147"/>
      <c r="P6" s="1148"/>
      <c r="Q6" s="1144" t="s">
        <v>57</v>
      </c>
      <c r="R6" s="1144" t="s">
        <v>20</v>
      </c>
      <c r="S6" s="44"/>
    </row>
    <row r="7" spans="2:19" x14ac:dyDescent="0.25">
      <c r="B7" s="1155"/>
      <c r="C7" s="1156"/>
      <c r="D7" s="1156"/>
      <c r="E7" s="1157"/>
      <c r="F7" s="1164"/>
      <c r="G7" s="1149"/>
      <c r="H7" s="1150"/>
      <c r="I7" s="1150"/>
      <c r="J7" s="1150"/>
      <c r="K7" s="1151"/>
      <c r="L7" s="1149"/>
      <c r="M7" s="1150"/>
      <c r="N7" s="1150"/>
      <c r="O7" s="1150"/>
      <c r="P7" s="1151"/>
      <c r="Q7" s="1145"/>
      <c r="R7" s="1145"/>
      <c r="S7" s="44"/>
    </row>
    <row r="8" spans="2:19" ht="29.25" customHeight="1" x14ac:dyDescent="0.25">
      <c r="B8" s="127"/>
      <c r="C8" s="128"/>
      <c r="D8" s="128"/>
      <c r="E8" s="128"/>
      <c r="F8" s="129"/>
      <c r="G8" s="1140" t="s">
        <v>94</v>
      </c>
      <c r="H8" s="1141"/>
      <c r="I8" s="1141"/>
      <c r="J8" s="1142"/>
      <c r="K8" s="49" t="s">
        <v>57</v>
      </c>
      <c r="L8" s="1140" t="s">
        <v>94</v>
      </c>
      <c r="M8" s="1141"/>
      <c r="N8" s="1141"/>
      <c r="O8" s="1143"/>
      <c r="P8" s="130" t="s">
        <v>57</v>
      </c>
      <c r="Q8" s="934"/>
      <c r="R8" s="934"/>
      <c r="S8" s="44"/>
    </row>
    <row r="9" spans="2:19" ht="31.5" customHeight="1" x14ac:dyDescent="0.3">
      <c r="B9" s="45"/>
      <c r="C9" s="46"/>
      <c r="D9" s="47"/>
      <c r="E9" s="47"/>
      <c r="F9" s="48"/>
      <c r="G9" s="49" t="s">
        <v>195</v>
      </c>
      <c r="H9" s="49" t="s">
        <v>196</v>
      </c>
      <c r="I9" s="49" t="s">
        <v>197</v>
      </c>
      <c r="J9" s="49" t="s">
        <v>93</v>
      </c>
      <c r="K9" s="49"/>
      <c r="L9" s="49" t="s">
        <v>195</v>
      </c>
      <c r="M9" s="49" t="s">
        <v>196</v>
      </c>
      <c r="N9" s="49" t="s">
        <v>197</v>
      </c>
      <c r="O9" s="49" t="s">
        <v>93</v>
      </c>
      <c r="P9" s="49"/>
      <c r="Q9" s="50"/>
      <c r="R9" s="50"/>
      <c r="S9" s="44"/>
    </row>
    <row r="10" spans="2:19" ht="13" x14ac:dyDescent="0.3">
      <c r="B10" s="45"/>
      <c r="C10" s="46"/>
      <c r="D10" s="47"/>
      <c r="E10" s="47"/>
      <c r="F10" s="48"/>
      <c r="G10" s="51"/>
      <c r="H10" s="51"/>
      <c r="I10" s="51"/>
      <c r="J10" s="51"/>
      <c r="K10" s="51"/>
      <c r="L10" s="51"/>
      <c r="M10" s="51"/>
      <c r="N10" s="51"/>
      <c r="O10" s="51"/>
      <c r="P10" s="51"/>
      <c r="Q10" s="51"/>
      <c r="R10" s="51"/>
      <c r="S10" s="44"/>
    </row>
    <row r="11" spans="2:19" x14ac:dyDescent="0.25">
      <c r="B11" s="52"/>
      <c r="C11" s="53"/>
      <c r="D11" s="53"/>
      <c r="E11" s="53"/>
      <c r="F11" s="935"/>
      <c r="G11" s="54"/>
      <c r="H11" s="54"/>
      <c r="I11" s="54"/>
      <c r="J11" s="54"/>
      <c r="K11" s="54"/>
      <c r="L11" s="54"/>
      <c r="M11" s="54"/>
      <c r="N11" s="54"/>
      <c r="O11" s="54"/>
      <c r="P11" s="54"/>
      <c r="Q11" s="54"/>
      <c r="R11" s="54"/>
      <c r="S11" s="44"/>
    </row>
    <row r="12" spans="2:19" ht="13" x14ac:dyDescent="0.25">
      <c r="B12" s="55" t="s">
        <v>178</v>
      </c>
      <c r="C12" s="56"/>
      <c r="D12" s="56"/>
      <c r="E12" s="56"/>
      <c r="F12" s="57" t="s">
        <v>443</v>
      </c>
      <c r="G12" s="131">
        <f>SUM(G14,G17,G18,G19,G20)</f>
        <v>0</v>
      </c>
      <c r="H12" s="131">
        <f t="shared" ref="H12:R12" si="0">SUM(H14,H17,H18,H19,H20)</f>
        <v>0</v>
      </c>
      <c r="I12" s="131">
        <f t="shared" si="0"/>
        <v>0</v>
      </c>
      <c r="J12" s="131">
        <f t="shared" si="0"/>
        <v>0</v>
      </c>
      <c r="K12" s="131">
        <f t="shared" si="0"/>
        <v>0</v>
      </c>
      <c r="L12" s="131">
        <f t="shared" si="0"/>
        <v>0</v>
      </c>
      <c r="M12" s="131">
        <f t="shared" si="0"/>
        <v>0</v>
      </c>
      <c r="N12" s="131">
        <f t="shared" si="0"/>
        <v>0</v>
      </c>
      <c r="O12" s="131">
        <f t="shared" si="0"/>
        <v>0</v>
      </c>
      <c r="P12" s="131">
        <f t="shared" si="0"/>
        <v>0</v>
      </c>
      <c r="Q12" s="131">
        <f t="shared" si="0"/>
        <v>0</v>
      </c>
      <c r="R12" s="131">
        <f t="shared" si="0"/>
        <v>0</v>
      </c>
      <c r="S12" s="58"/>
    </row>
    <row r="13" spans="2:19" x14ac:dyDescent="0.25">
      <c r="B13" s="59"/>
      <c r="C13" s="60"/>
      <c r="D13" s="60"/>
      <c r="E13" s="60"/>
      <c r="F13" s="61"/>
      <c r="G13" s="132"/>
      <c r="H13" s="132"/>
      <c r="I13" s="132"/>
      <c r="J13" s="132"/>
      <c r="K13" s="132"/>
      <c r="L13" s="132"/>
      <c r="M13" s="132"/>
      <c r="N13" s="132"/>
      <c r="O13" s="132"/>
      <c r="P13" s="132"/>
      <c r="Q13" s="132"/>
      <c r="R13" s="133"/>
      <c r="S13" s="58"/>
    </row>
    <row r="14" spans="2:19" x14ac:dyDescent="0.25">
      <c r="B14" s="62"/>
      <c r="C14" s="60" t="s">
        <v>44</v>
      </c>
      <c r="D14" s="60"/>
      <c r="E14" s="60"/>
      <c r="F14" s="61">
        <v>70</v>
      </c>
      <c r="G14" s="969">
        <v>0</v>
      </c>
      <c r="H14" s="969">
        <v>0</v>
      </c>
      <c r="I14" s="969">
        <v>0</v>
      </c>
      <c r="J14" s="969">
        <v>0</v>
      </c>
      <c r="K14" s="969">
        <v>0</v>
      </c>
      <c r="L14" s="969">
        <v>0</v>
      </c>
      <c r="M14" s="969">
        <v>0</v>
      </c>
      <c r="N14" s="969">
        <v>0</v>
      </c>
      <c r="O14" s="969">
        <v>0</v>
      </c>
      <c r="P14" s="969">
        <v>0</v>
      </c>
      <c r="Q14" s="969">
        <v>0</v>
      </c>
      <c r="R14" s="132">
        <f>SUM(G14:Q14)</f>
        <v>0</v>
      </c>
      <c r="S14" s="58"/>
    </row>
    <row r="15" spans="2:19" x14ac:dyDescent="0.25">
      <c r="B15" s="62"/>
      <c r="C15" s="1166" t="s">
        <v>180</v>
      </c>
      <c r="D15" s="1166"/>
      <c r="E15" s="1167"/>
      <c r="F15" s="1165">
        <v>71</v>
      </c>
      <c r="G15" s="132"/>
      <c r="H15" s="132"/>
      <c r="I15" s="132"/>
      <c r="J15" s="132"/>
      <c r="K15" s="132"/>
      <c r="L15" s="132"/>
      <c r="M15" s="132"/>
      <c r="N15" s="132"/>
      <c r="O15" s="132"/>
      <c r="P15" s="132"/>
      <c r="Q15" s="132"/>
      <c r="R15" s="132"/>
      <c r="S15" s="58"/>
    </row>
    <row r="16" spans="2:19" x14ac:dyDescent="0.25">
      <c r="B16" s="62"/>
      <c r="C16" s="1166"/>
      <c r="D16" s="1166"/>
      <c r="E16" s="1167"/>
      <c r="F16" s="1165"/>
      <c r="G16" s="132"/>
      <c r="H16" s="132"/>
      <c r="I16" s="132"/>
      <c r="J16" s="132"/>
      <c r="K16" s="132"/>
      <c r="L16" s="132"/>
      <c r="M16" s="132"/>
      <c r="N16" s="132"/>
      <c r="O16" s="132"/>
      <c r="P16" s="132"/>
      <c r="Q16" s="132"/>
      <c r="R16" s="132"/>
      <c r="S16" s="58"/>
    </row>
    <row r="17" spans="2:19" x14ac:dyDescent="0.25">
      <c r="B17" s="62"/>
      <c r="C17" s="1166"/>
      <c r="D17" s="1166"/>
      <c r="E17" s="1167"/>
      <c r="F17" s="1165"/>
      <c r="G17" s="969">
        <v>0</v>
      </c>
      <c r="H17" s="969">
        <v>0</v>
      </c>
      <c r="I17" s="969">
        <v>0</v>
      </c>
      <c r="J17" s="969">
        <v>0</v>
      </c>
      <c r="K17" s="969">
        <v>0</v>
      </c>
      <c r="L17" s="969">
        <v>0</v>
      </c>
      <c r="M17" s="969">
        <v>0</v>
      </c>
      <c r="N17" s="969">
        <v>0</v>
      </c>
      <c r="O17" s="969">
        <v>0</v>
      </c>
      <c r="P17" s="969">
        <v>0</v>
      </c>
      <c r="Q17" s="969">
        <v>0</v>
      </c>
      <c r="R17" s="132">
        <f>SUM(G17:Q17)</f>
        <v>0</v>
      </c>
      <c r="S17" s="58"/>
    </row>
    <row r="18" spans="2:19" x14ac:dyDescent="0.25">
      <c r="B18" s="62"/>
      <c r="C18" s="60" t="s">
        <v>45</v>
      </c>
      <c r="D18" s="60"/>
      <c r="E18" s="60"/>
      <c r="F18" s="61">
        <v>72</v>
      </c>
      <c r="G18" s="969">
        <v>0</v>
      </c>
      <c r="H18" s="969">
        <v>0</v>
      </c>
      <c r="I18" s="969">
        <v>0</v>
      </c>
      <c r="J18" s="969">
        <v>0</v>
      </c>
      <c r="K18" s="969">
        <v>0</v>
      </c>
      <c r="L18" s="969">
        <v>0</v>
      </c>
      <c r="M18" s="969">
        <v>0</v>
      </c>
      <c r="N18" s="969">
        <v>0</v>
      </c>
      <c r="O18" s="969">
        <v>0</v>
      </c>
      <c r="P18" s="969">
        <v>0</v>
      </c>
      <c r="Q18" s="969">
        <v>0</v>
      </c>
      <c r="R18" s="132">
        <f>SUM(G18:Q18)</f>
        <v>0</v>
      </c>
      <c r="S18" s="58"/>
    </row>
    <row r="19" spans="2:19" x14ac:dyDescent="0.25">
      <c r="B19" s="62"/>
      <c r="C19" s="60" t="s">
        <v>46</v>
      </c>
      <c r="D19" s="63"/>
      <c r="E19" s="60"/>
      <c r="F19" s="61">
        <v>74</v>
      </c>
      <c r="G19" s="969">
        <v>0</v>
      </c>
      <c r="H19" s="969">
        <v>0</v>
      </c>
      <c r="I19" s="969">
        <v>0</v>
      </c>
      <c r="J19" s="969">
        <v>0</v>
      </c>
      <c r="K19" s="969">
        <v>0</v>
      </c>
      <c r="L19" s="969">
        <v>0</v>
      </c>
      <c r="M19" s="969">
        <v>0</v>
      </c>
      <c r="N19" s="969">
        <v>0</v>
      </c>
      <c r="O19" s="969">
        <v>0</v>
      </c>
      <c r="P19" s="969">
        <v>0</v>
      </c>
      <c r="Q19" s="969">
        <v>0</v>
      </c>
      <c r="R19" s="132">
        <f>SUM(G19:Q19)</f>
        <v>0</v>
      </c>
      <c r="S19" s="58"/>
    </row>
    <row r="20" spans="2:19" s="1128" customFormat="1" x14ac:dyDescent="0.25">
      <c r="B20" s="1121"/>
      <c r="C20" s="1122" t="s">
        <v>441</v>
      </c>
      <c r="D20" s="1123"/>
      <c r="E20" s="1122"/>
      <c r="F20" s="1124" t="s">
        <v>442</v>
      </c>
      <c r="G20" s="1125">
        <v>0</v>
      </c>
      <c r="H20" s="1125">
        <v>0</v>
      </c>
      <c r="I20" s="1125">
        <v>0</v>
      </c>
      <c r="J20" s="1125">
        <v>0</v>
      </c>
      <c r="K20" s="1125">
        <v>0</v>
      </c>
      <c r="L20" s="1125">
        <v>0</v>
      </c>
      <c r="M20" s="1125">
        <v>0</v>
      </c>
      <c r="N20" s="1125">
        <v>0</v>
      </c>
      <c r="O20" s="1125">
        <v>0</v>
      </c>
      <c r="P20" s="1125">
        <v>0</v>
      </c>
      <c r="Q20" s="1125">
        <v>0</v>
      </c>
      <c r="R20" s="1126">
        <f>SUM(G20:Q20)</f>
        <v>0</v>
      </c>
      <c r="S20" s="1127"/>
    </row>
    <row r="21" spans="2:19" x14ac:dyDescent="0.25">
      <c r="B21" s="62"/>
      <c r="C21" s="63"/>
      <c r="D21" s="60"/>
      <c r="E21" s="60"/>
      <c r="F21" s="61"/>
      <c r="G21" s="132"/>
      <c r="H21" s="132"/>
      <c r="I21" s="132"/>
      <c r="J21" s="132"/>
      <c r="K21" s="132"/>
      <c r="L21" s="132"/>
      <c r="M21" s="132"/>
      <c r="N21" s="132"/>
      <c r="O21" s="132"/>
      <c r="P21" s="132"/>
      <c r="Q21" s="132"/>
      <c r="R21" s="132"/>
      <c r="S21" s="58"/>
    </row>
    <row r="22" spans="2:19" ht="13" x14ac:dyDescent="0.25">
      <c r="B22" s="64" t="s">
        <v>179</v>
      </c>
      <c r="C22" s="65"/>
      <c r="D22" s="56"/>
      <c r="E22" s="56"/>
      <c r="F22" s="57" t="s">
        <v>447</v>
      </c>
      <c r="G22" s="1129">
        <f>SUM(G23:G24)</f>
        <v>0</v>
      </c>
      <c r="H22" s="1129">
        <f t="shared" ref="H22:R22" si="1">SUM(H23:H24)</f>
        <v>0</v>
      </c>
      <c r="I22" s="1129">
        <f t="shared" si="1"/>
        <v>0</v>
      </c>
      <c r="J22" s="1129">
        <f t="shared" si="1"/>
        <v>0</v>
      </c>
      <c r="K22" s="1129">
        <f t="shared" si="1"/>
        <v>0</v>
      </c>
      <c r="L22" s="1129">
        <f t="shared" si="1"/>
        <v>0</v>
      </c>
      <c r="M22" s="1129">
        <f t="shared" si="1"/>
        <v>0</v>
      </c>
      <c r="N22" s="1129">
        <f t="shared" si="1"/>
        <v>0</v>
      </c>
      <c r="O22" s="1129">
        <f t="shared" si="1"/>
        <v>0</v>
      </c>
      <c r="P22" s="1129">
        <f t="shared" si="1"/>
        <v>0</v>
      </c>
      <c r="Q22" s="1129">
        <f t="shared" si="1"/>
        <v>0</v>
      </c>
      <c r="R22" s="131">
        <f t="shared" si="1"/>
        <v>0</v>
      </c>
      <c r="S22" s="58"/>
    </row>
    <row r="23" spans="2:19" s="1128" customFormat="1" ht="14.15" customHeight="1" x14ac:dyDescent="0.25">
      <c r="B23" s="1121"/>
      <c r="C23" s="1122" t="s">
        <v>444</v>
      </c>
      <c r="D23" s="1122"/>
      <c r="E23" s="1122"/>
      <c r="F23" s="1124">
        <v>75</v>
      </c>
      <c r="G23" s="1125">
        <v>0</v>
      </c>
      <c r="H23" s="1125">
        <v>0</v>
      </c>
      <c r="I23" s="1125">
        <v>0</v>
      </c>
      <c r="J23" s="1125">
        <v>0</v>
      </c>
      <c r="K23" s="1125">
        <v>0</v>
      </c>
      <c r="L23" s="1125">
        <v>0</v>
      </c>
      <c r="M23" s="1125">
        <v>0</v>
      </c>
      <c r="N23" s="1125">
        <v>0</v>
      </c>
      <c r="O23" s="1125">
        <v>0</v>
      </c>
      <c r="P23" s="1125">
        <v>0</v>
      </c>
      <c r="Q23" s="1125">
        <v>0</v>
      </c>
      <c r="R23" s="1126">
        <f>SUM(G23:Q23)</f>
        <v>0</v>
      </c>
      <c r="S23" s="1127"/>
    </row>
    <row r="24" spans="2:19" s="1128" customFormat="1" ht="14.15" customHeight="1" x14ac:dyDescent="0.25">
      <c r="B24" s="1121"/>
      <c r="C24" s="1122" t="s">
        <v>445</v>
      </c>
      <c r="D24" s="1122"/>
      <c r="E24" s="1122"/>
      <c r="F24" s="1124" t="s">
        <v>446</v>
      </c>
      <c r="G24" s="1125">
        <v>0</v>
      </c>
      <c r="H24" s="1125">
        <v>0</v>
      </c>
      <c r="I24" s="1125">
        <v>0</v>
      </c>
      <c r="J24" s="1125">
        <v>0</v>
      </c>
      <c r="K24" s="1125">
        <v>0</v>
      </c>
      <c r="L24" s="1125">
        <v>0</v>
      </c>
      <c r="M24" s="1125">
        <v>0</v>
      </c>
      <c r="N24" s="1125">
        <v>0</v>
      </c>
      <c r="O24" s="1125">
        <v>0</v>
      </c>
      <c r="P24" s="1125">
        <v>0</v>
      </c>
      <c r="Q24" s="1125">
        <v>0</v>
      </c>
      <c r="R24" s="1126">
        <f>SUM(G24:Q24)</f>
        <v>0</v>
      </c>
      <c r="S24" s="1127"/>
    </row>
    <row r="25" spans="2:19" ht="13" x14ac:dyDescent="0.25">
      <c r="B25" s="66"/>
      <c r="C25" s="67"/>
      <c r="D25" s="68"/>
      <c r="E25" s="68"/>
      <c r="F25" s="69"/>
      <c r="G25" s="134"/>
      <c r="H25" s="134"/>
      <c r="I25" s="134"/>
      <c r="J25" s="134"/>
      <c r="K25" s="134"/>
      <c r="L25" s="134"/>
      <c r="M25" s="134"/>
      <c r="N25" s="134"/>
      <c r="O25" s="134"/>
      <c r="P25" s="134"/>
      <c r="Q25" s="134"/>
      <c r="R25" s="131"/>
      <c r="S25" s="58"/>
    </row>
    <row r="26" spans="2:19" ht="13" x14ac:dyDescent="0.25">
      <c r="B26" s="1168" t="s">
        <v>182</v>
      </c>
      <c r="C26" s="1169"/>
      <c r="D26" s="1169"/>
      <c r="E26" s="1170"/>
      <c r="F26" s="1171">
        <v>780</v>
      </c>
      <c r="G26" s="131"/>
      <c r="H26" s="131"/>
      <c r="I26" s="131"/>
      <c r="J26" s="131"/>
      <c r="K26" s="131"/>
      <c r="L26" s="131"/>
      <c r="M26" s="131"/>
      <c r="N26" s="131"/>
      <c r="O26" s="131"/>
      <c r="P26" s="131"/>
      <c r="Q26" s="131"/>
      <c r="R26" s="131"/>
      <c r="S26" s="58"/>
    </row>
    <row r="27" spans="2:19" ht="13" x14ac:dyDescent="0.25">
      <c r="B27" s="1168"/>
      <c r="C27" s="1169"/>
      <c r="D27" s="1169"/>
      <c r="E27" s="1170"/>
      <c r="F27" s="1171"/>
      <c r="G27" s="970">
        <v>0</v>
      </c>
      <c r="H27" s="970">
        <v>0</v>
      </c>
      <c r="I27" s="970">
        <v>0</v>
      </c>
      <c r="J27" s="970">
        <v>0</v>
      </c>
      <c r="K27" s="970">
        <v>0</v>
      </c>
      <c r="L27" s="970">
        <v>0</v>
      </c>
      <c r="M27" s="970">
        <v>0</v>
      </c>
      <c r="N27" s="970">
        <v>0</v>
      </c>
      <c r="O27" s="970">
        <v>0</v>
      </c>
      <c r="P27" s="970">
        <v>0</v>
      </c>
      <c r="Q27" s="970">
        <v>0</v>
      </c>
      <c r="R27" s="131">
        <f>SUM(G27:Q27)</f>
        <v>0</v>
      </c>
      <c r="S27" s="58"/>
    </row>
    <row r="28" spans="2:19" ht="13" x14ac:dyDescent="0.25">
      <c r="B28" s="66"/>
      <c r="C28" s="68"/>
      <c r="D28" s="68"/>
      <c r="E28" s="68"/>
      <c r="F28" s="69"/>
      <c r="G28" s="134"/>
      <c r="H28" s="134"/>
      <c r="I28" s="134"/>
      <c r="J28" s="134"/>
      <c r="K28" s="134"/>
      <c r="L28" s="134"/>
      <c r="M28" s="134"/>
      <c r="N28" s="134"/>
      <c r="O28" s="134"/>
      <c r="P28" s="134"/>
      <c r="Q28" s="134"/>
      <c r="R28" s="131"/>
      <c r="S28" s="58"/>
    </row>
    <row r="29" spans="2:19" ht="13" x14ac:dyDescent="0.25">
      <c r="B29" s="1168" t="s">
        <v>181</v>
      </c>
      <c r="C29" s="1169"/>
      <c r="D29" s="1169"/>
      <c r="E29" s="1170"/>
      <c r="F29" s="1171">
        <v>77</v>
      </c>
      <c r="G29" s="131"/>
      <c r="H29" s="131"/>
      <c r="I29" s="131"/>
      <c r="J29" s="131"/>
      <c r="K29" s="131"/>
      <c r="L29" s="131"/>
      <c r="M29" s="131"/>
      <c r="N29" s="131"/>
      <c r="O29" s="131"/>
      <c r="P29" s="131"/>
      <c r="Q29" s="131"/>
      <c r="R29" s="131"/>
      <c r="S29" s="44"/>
    </row>
    <row r="30" spans="2:19" ht="13" x14ac:dyDescent="0.25">
      <c r="B30" s="1168"/>
      <c r="C30" s="1169"/>
      <c r="D30" s="1169"/>
      <c r="E30" s="1170"/>
      <c r="F30" s="1171"/>
      <c r="G30" s="970">
        <v>0</v>
      </c>
      <c r="H30" s="970">
        <v>0</v>
      </c>
      <c r="I30" s="970">
        <v>0</v>
      </c>
      <c r="J30" s="970">
        <v>0</v>
      </c>
      <c r="K30" s="970">
        <v>0</v>
      </c>
      <c r="L30" s="970">
        <v>0</v>
      </c>
      <c r="M30" s="970">
        <v>0</v>
      </c>
      <c r="N30" s="970">
        <v>0</v>
      </c>
      <c r="O30" s="970">
        <v>0</v>
      </c>
      <c r="P30" s="970">
        <v>0</v>
      </c>
      <c r="Q30" s="970">
        <v>0</v>
      </c>
      <c r="R30" s="131">
        <f>SUM(G30:Q30)</f>
        <v>0</v>
      </c>
      <c r="S30" s="58"/>
    </row>
    <row r="31" spans="2:19" ht="13" x14ac:dyDescent="0.25">
      <c r="B31" s="66"/>
      <c r="C31" s="68"/>
      <c r="D31" s="68"/>
      <c r="E31" s="68"/>
      <c r="F31" s="69"/>
      <c r="G31" s="134"/>
      <c r="H31" s="134"/>
      <c r="I31" s="134"/>
      <c r="J31" s="134"/>
      <c r="K31" s="134"/>
      <c r="L31" s="134"/>
      <c r="M31" s="134"/>
      <c r="N31" s="134"/>
      <c r="O31" s="134"/>
      <c r="P31" s="134"/>
      <c r="Q31" s="134"/>
      <c r="R31" s="131"/>
      <c r="S31" s="44"/>
    </row>
    <row r="32" spans="2:19" ht="13" x14ac:dyDescent="0.25">
      <c r="B32" s="64" t="s">
        <v>183</v>
      </c>
      <c r="C32" s="56"/>
      <c r="D32" s="65"/>
      <c r="E32" s="56"/>
      <c r="F32" s="57"/>
      <c r="G32" s="970">
        <v>0</v>
      </c>
      <c r="H32" s="970">
        <v>0</v>
      </c>
      <c r="I32" s="970">
        <v>0</v>
      </c>
      <c r="J32" s="970">
        <v>0</v>
      </c>
      <c r="K32" s="970">
        <v>0</v>
      </c>
      <c r="L32" s="970">
        <v>0</v>
      </c>
      <c r="M32" s="970">
        <v>0</v>
      </c>
      <c r="N32" s="970">
        <v>0</v>
      </c>
      <c r="O32" s="970">
        <v>0</v>
      </c>
      <c r="P32" s="970">
        <v>0</v>
      </c>
      <c r="Q32" s="970">
        <v>0</v>
      </c>
      <c r="R32" s="131">
        <f>SUM(G32:Q32)</f>
        <v>0</v>
      </c>
      <c r="S32" s="58"/>
    </row>
    <row r="33" spans="2:19" x14ac:dyDescent="0.25">
      <c r="B33" s="62"/>
      <c r="C33" s="60"/>
      <c r="D33" s="60"/>
      <c r="E33" s="60"/>
      <c r="F33" s="61"/>
      <c r="G33" s="135"/>
      <c r="H33" s="135"/>
      <c r="I33" s="135"/>
      <c r="J33" s="135"/>
      <c r="K33" s="135"/>
      <c r="L33" s="135"/>
      <c r="M33" s="135"/>
      <c r="N33" s="135"/>
      <c r="O33" s="135"/>
      <c r="P33" s="135"/>
      <c r="Q33" s="135"/>
      <c r="R33" s="135"/>
      <c r="S33" s="58"/>
    </row>
    <row r="34" spans="2:19" ht="15.5" x14ac:dyDescent="0.25">
      <c r="B34" s="70"/>
      <c r="C34" s="71"/>
      <c r="D34" s="71"/>
      <c r="E34" s="72"/>
      <c r="F34" s="73"/>
      <c r="G34" s="136"/>
      <c r="H34" s="136"/>
      <c r="I34" s="136"/>
      <c r="J34" s="136"/>
      <c r="K34" s="136"/>
      <c r="L34" s="136"/>
      <c r="M34" s="136"/>
      <c r="N34" s="136"/>
      <c r="O34" s="136"/>
      <c r="P34" s="136"/>
      <c r="Q34" s="136"/>
      <c r="R34" s="136"/>
      <c r="S34" s="58"/>
    </row>
    <row r="35" spans="2:19" ht="14" x14ac:dyDescent="0.25">
      <c r="B35" s="74"/>
      <c r="C35" s="75"/>
      <c r="D35" s="75"/>
      <c r="E35" s="76" t="s">
        <v>20</v>
      </c>
      <c r="F35" s="77"/>
      <c r="G35" s="137">
        <f>SUM(G12,G22,G27,G30,G32)</f>
        <v>0</v>
      </c>
      <c r="H35" s="137">
        <f t="shared" ref="H35:R35" si="2">SUM(H12,H22,H27,H30,H32)</f>
        <v>0</v>
      </c>
      <c r="I35" s="137">
        <f t="shared" si="2"/>
        <v>0</v>
      </c>
      <c r="J35" s="137">
        <f t="shared" si="2"/>
        <v>0</v>
      </c>
      <c r="K35" s="137">
        <f t="shared" si="2"/>
        <v>0</v>
      </c>
      <c r="L35" s="137">
        <f t="shared" si="2"/>
        <v>0</v>
      </c>
      <c r="M35" s="137">
        <f t="shared" si="2"/>
        <v>0</v>
      </c>
      <c r="N35" s="137">
        <f t="shared" si="2"/>
        <v>0</v>
      </c>
      <c r="O35" s="137">
        <f t="shared" si="2"/>
        <v>0</v>
      </c>
      <c r="P35" s="137">
        <f t="shared" si="2"/>
        <v>0</v>
      </c>
      <c r="Q35" s="137">
        <f t="shared" si="2"/>
        <v>0</v>
      </c>
      <c r="R35" s="137">
        <f t="shared" si="2"/>
        <v>0</v>
      </c>
      <c r="S35" s="58"/>
    </row>
    <row r="36" spans="2:19" ht="16" thickBot="1" x14ac:dyDescent="0.3">
      <c r="B36" s="78"/>
      <c r="C36" s="79"/>
      <c r="D36" s="79"/>
      <c r="E36" s="80"/>
      <c r="F36" s="81"/>
      <c r="G36" s="82"/>
      <c r="H36" s="82"/>
      <c r="I36" s="82"/>
      <c r="J36" s="82"/>
      <c r="K36" s="82"/>
      <c r="L36" s="82"/>
      <c r="M36" s="82"/>
      <c r="N36" s="82"/>
      <c r="O36" s="82"/>
      <c r="P36" s="82"/>
      <c r="Q36" s="82"/>
      <c r="R36" s="82"/>
      <c r="S36" s="44"/>
    </row>
    <row r="37" spans="2:19" ht="13.5" thickTop="1" x14ac:dyDescent="0.3">
      <c r="B37" s="83"/>
      <c r="C37" s="84"/>
      <c r="D37" s="84"/>
      <c r="E37" s="84"/>
      <c r="F37" s="85"/>
      <c r="G37" s="86"/>
      <c r="H37" s="86"/>
      <c r="I37" s="86"/>
      <c r="J37" s="86"/>
      <c r="K37" s="86"/>
      <c r="L37" s="86"/>
      <c r="M37" s="86"/>
      <c r="N37" s="86"/>
      <c r="O37" s="86"/>
      <c r="P37" s="86"/>
      <c r="Q37" s="86"/>
      <c r="R37" s="84"/>
      <c r="S37" s="44"/>
    </row>
    <row r="38" spans="2:19" ht="13.5" thickBot="1" x14ac:dyDescent="0.35">
      <c r="B38" s="83"/>
      <c r="C38" s="84"/>
      <c r="D38" s="84"/>
      <c r="E38" s="84"/>
      <c r="F38" s="85"/>
      <c r="G38" s="86"/>
      <c r="H38" s="86"/>
      <c r="I38" s="86"/>
      <c r="J38" s="86"/>
      <c r="K38" s="86"/>
      <c r="L38" s="86"/>
      <c r="M38" s="86"/>
      <c r="N38" s="86"/>
      <c r="O38" s="86"/>
      <c r="P38" s="86"/>
      <c r="Q38" s="86"/>
      <c r="R38" s="84"/>
      <c r="S38" s="44"/>
    </row>
    <row r="39" spans="2:19" ht="13" thickTop="1" x14ac:dyDescent="0.25">
      <c r="B39" s="1152" t="s">
        <v>47</v>
      </c>
      <c r="C39" s="1153"/>
      <c r="D39" s="1153"/>
      <c r="E39" s="1154"/>
      <c r="F39" s="1158" t="s">
        <v>3</v>
      </c>
      <c r="G39" s="1146" t="s">
        <v>55</v>
      </c>
      <c r="H39" s="1147"/>
      <c r="I39" s="1147"/>
      <c r="J39" s="1147"/>
      <c r="K39" s="1148"/>
      <c r="L39" s="1146" t="s">
        <v>56</v>
      </c>
      <c r="M39" s="1147"/>
      <c r="N39" s="1147"/>
      <c r="O39" s="1147"/>
      <c r="P39" s="1148"/>
      <c r="Q39" s="1144" t="s">
        <v>57</v>
      </c>
      <c r="R39" s="1144" t="s">
        <v>20</v>
      </c>
      <c r="S39" s="44"/>
    </row>
    <row r="40" spans="2:19" x14ac:dyDescent="0.25">
      <c r="B40" s="1155"/>
      <c r="C40" s="1156"/>
      <c r="D40" s="1156"/>
      <c r="E40" s="1157"/>
      <c r="F40" s="1159"/>
      <c r="G40" s="1149"/>
      <c r="H40" s="1150"/>
      <c r="I40" s="1150"/>
      <c r="J40" s="1150"/>
      <c r="K40" s="1151"/>
      <c r="L40" s="1149"/>
      <c r="M40" s="1150"/>
      <c r="N40" s="1150"/>
      <c r="O40" s="1150"/>
      <c r="P40" s="1151"/>
      <c r="Q40" s="1145"/>
      <c r="R40" s="1145"/>
      <c r="S40" s="44"/>
    </row>
    <row r="41" spans="2:19" ht="26" x14ac:dyDescent="0.25">
      <c r="B41" s="127"/>
      <c r="C41" s="128"/>
      <c r="D41" s="128"/>
      <c r="E41" s="128"/>
      <c r="F41" s="57"/>
      <c r="G41" s="1140" t="s">
        <v>94</v>
      </c>
      <c r="H41" s="1141"/>
      <c r="I41" s="1141"/>
      <c r="J41" s="1142"/>
      <c r="K41" s="49" t="s">
        <v>57</v>
      </c>
      <c r="L41" s="1140" t="s">
        <v>94</v>
      </c>
      <c r="M41" s="1141"/>
      <c r="N41" s="1141"/>
      <c r="O41" s="1143"/>
      <c r="P41" s="130" t="s">
        <v>57</v>
      </c>
      <c r="Q41" s="934"/>
      <c r="R41" s="934"/>
      <c r="S41" s="44"/>
    </row>
    <row r="42" spans="2:19" ht="31.5" customHeight="1" x14ac:dyDescent="0.3">
      <c r="B42" s="45"/>
      <c r="C42" s="46"/>
      <c r="D42" s="47"/>
      <c r="E42" s="47"/>
      <c r="F42" s="48"/>
      <c r="G42" s="49" t="s">
        <v>198</v>
      </c>
      <c r="H42" s="49" t="s">
        <v>199</v>
      </c>
      <c r="I42" s="49" t="s">
        <v>200</v>
      </c>
      <c r="J42" s="49" t="s">
        <v>93</v>
      </c>
      <c r="K42" s="49"/>
      <c r="L42" s="49" t="s">
        <v>198</v>
      </c>
      <c r="M42" s="49" t="s">
        <v>199</v>
      </c>
      <c r="N42" s="49" t="s">
        <v>200</v>
      </c>
      <c r="O42" s="49" t="s">
        <v>93</v>
      </c>
      <c r="P42" s="49"/>
      <c r="Q42" s="50"/>
      <c r="R42" s="50"/>
      <c r="S42" s="44"/>
    </row>
    <row r="43" spans="2:19" ht="13" x14ac:dyDescent="0.3">
      <c r="B43" s="45"/>
      <c r="C43" s="46"/>
      <c r="D43" s="47"/>
      <c r="E43" s="47"/>
      <c r="F43" s="48"/>
      <c r="G43" s="51"/>
      <c r="H43" s="51"/>
      <c r="I43" s="51"/>
      <c r="J43" s="51"/>
      <c r="K43" s="51"/>
      <c r="L43" s="51"/>
      <c r="M43" s="51"/>
      <c r="N43" s="51"/>
      <c r="O43" s="51"/>
      <c r="P43" s="51"/>
      <c r="Q43" s="51"/>
      <c r="R43" s="51"/>
      <c r="S43" s="44"/>
    </row>
    <row r="44" spans="2:19" x14ac:dyDescent="0.25">
      <c r="B44" s="52"/>
      <c r="C44" s="53"/>
      <c r="D44" s="53"/>
      <c r="E44" s="53"/>
      <c r="F44" s="935"/>
      <c r="G44" s="54"/>
      <c r="H44" s="54"/>
      <c r="I44" s="54"/>
      <c r="J44" s="54"/>
      <c r="K44" s="54"/>
      <c r="L44" s="54"/>
      <c r="M44" s="54"/>
      <c r="N44" s="54"/>
      <c r="O44" s="54"/>
      <c r="P44" s="54"/>
      <c r="Q44" s="54"/>
      <c r="R44" s="54"/>
      <c r="S44" s="44"/>
    </row>
    <row r="45" spans="2:19" ht="13" x14ac:dyDescent="0.25">
      <c r="B45" s="55" t="s">
        <v>184</v>
      </c>
      <c r="C45" s="56"/>
      <c r="D45" s="56"/>
      <c r="E45" s="56"/>
      <c r="F45" s="57" t="s">
        <v>448</v>
      </c>
      <c r="G45" s="131">
        <f>SUM(G47,G48,G49,G51,G54,G56,G57,G59,G60)</f>
        <v>0</v>
      </c>
      <c r="H45" s="131">
        <f t="shared" ref="H45:R45" si="3">SUM(H47,H48,H49,H51,H54,H56,H57,H59,H60)</f>
        <v>0</v>
      </c>
      <c r="I45" s="131">
        <f t="shared" si="3"/>
        <v>0</v>
      </c>
      <c r="J45" s="131">
        <f t="shared" si="3"/>
        <v>0</v>
      </c>
      <c r="K45" s="131">
        <f t="shared" si="3"/>
        <v>0</v>
      </c>
      <c r="L45" s="131">
        <f t="shared" si="3"/>
        <v>0</v>
      </c>
      <c r="M45" s="131">
        <f t="shared" si="3"/>
        <v>0</v>
      </c>
      <c r="N45" s="131">
        <f t="shared" si="3"/>
        <v>0</v>
      </c>
      <c r="O45" s="131">
        <f t="shared" si="3"/>
        <v>0</v>
      </c>
      <c r="P45" s="131">
        <f t="shared" si="3"/>
        <v>0</v>
      </c>
      <c r="Q45" s="131">
        <f t="shared" si="3"/>
        <v>0</v>
      </c>
      <c r="R45" s="131">
        <f t="shared" si="3"/>
        <v>0</v>
      </c>
      <c r="S45" s="44"/>
    </row>
    <row r="46" spans="2:19" x14ac:dyDescent="0.25">
      <c r="B46" s="59"/>
      <c r="C46" s="60"/>
      <c r="D46" s="60"/>
      <c r="E46" s="60"/>
      <c r="F46" s="61"/>
      <c r="G46" s="132"/>
      <c r="H46" s="132"/>
      <c r="I46" s="132"/>
      <c r="J46" s="132"/>
      <c r="K46" s="132"/>
      <c r="L46" s="132"/>
      <c r="M46" s="132"/>
      <c r="N46" s="132"/>
      <c r="O46" s="132"/>
      <c r="P46" s="132"/>
      <c r="Q46" s="132"/>
      <c r="R46" s="132"/>
      <c r="S46" s="44"/>
    </row>
    <row r="47" spans="2:19" x14ac:dyDescent="0.25">
      <c r="B47" s="62"/>
      <c r="C47" s="60" t="s">
        <v>48</v>
      </c>
      <c r="D47" s="60"/>
      <c r="E47" s="60"/>
      <c r="F47" s="61">
        <v>60</v>
      </c>
      <c r="G47" s="969">
        <v>0</v>
      </c>
      <c r="H47" s="969">
        <v>0</v>
      </c>
      <c r="I47" s="969">
        <v>0</v>
      </c>
      <c r="J47" s="969">
        <v>0</v>
      </c>
      <c r="K47" s="969">
        <v>0</v>
      </c>
      <c r="L47" s="969">
        <v>0</v>
      </c>
      <c r="M47" s="969">
        <v>0</v>
      </c>
      <c r="N47" s="969">
        <v>0</v>
      </c>
      <c r="O47" s="969">
        <v>0</v>
      </c>
      <c r="P47" s="969">
        <v>0</v>
      </c>
      <c r="Q47" s="969">
        <v>0</v>
      </c>
      <c r="R47" s="132">
        <f>SUM(G47:Q47)</f>
        <v>0</v>
      </c>
      <c r="S47" s="44"/>
    </row>
    <row r="48" spans="2:19" x14ac:dyDescent="0.25">
      <c r="B48" s="62"/>
      <c r="C48" s="63" t="s">
        <v>49</v>
      </c>
      <c r="D48" s="60"/>
      <c r="E48" s="60"/>
      <c r="F48" s="61">
        <v>61</v>
      </c>
      <c r="G48" s="969">
        <v>0</v>
      </c>
      <c r="H48" s="969">
        <v>0</v>
      </c>
      <c r="I48" s="969">
        <v>0</v>
      </c>
      <c r="J48" s="969">
        <v>0</v>
      </c>
      <c r="K48" s="969">
        <v>0</v>
      </c>
      <c r="L48" s="969">
        <v>0</v>
      </c>
      <c r="M48" s="969">
        <v>0</v>
      </c>
      <c r="N48" s="969">
        <v>0</v>
      </c>
      <c r="O48" s="969">
        <v>0</v>
      </c>
      <c r="P48" s="969">
        <v>0</v>
      </c>
      <c r="Q48" s="969">
        <v>0</v>
      </c>
      <c r="R48" s="132">
        <f>SUM(G48:Q48)</f>
        <v>0</v>
      </c>
      <c r="S48" s="44"/>
    </row>
    <row r="49" spans="2:19" x14ac:dyDescent="0.25">
      <c r="B49" s="62"/>
      <c r="C49" s="60" t="s">
        <v>50</v>
      </c>
      <c r="D49" s="60"/>
      <c r="E49" s="60"/>
      <c r="F49" s="61">
        <v>62</v>
      </c>
      <c r="G49" s="969">
        <v>0</v>
      </c>
      <c r="H49" s="969">
        <v>0</v>
      </c>
      <c r="I49" s="969">
        <v>0</v>
      </c>
      <c r="J49" s="969">
        <v>0</v>
      </c>
      <c r="K49" s="969">
        <v>0</v>
      </c>
      <c r="L49" s="969">
        <v>0</v>
      </c>
      <c r="M49" s="969">
        <v>0</v>
      </c>
      <c r="N49" s="969">
        <v>0</v>
      </c>
      <c r="O49" s="969">
        <v>0</v>
      </c>
      <c r="P49" s="969">
        <v>0</v>
      </c>
      <c r="Q49" s="969">
        <v>0</v>
      </c>
      <c r="R49" s="132">
        <f>SUM(G49:Q49)</f>
        <v>0</v>
      </c>
      <c r="S49" s="44"/>
    </row>
    <row r="50" spans="2:19" x14ac:dyDescent="0.25">
      <c r="B50" s="62"/>
      <c r="C50" s="1166" t="s">
        <v>185</v>
      </c>
      <c r="D50" s="1166"/>
      <c r="E50" s="1167"/>
      <c r="F50" s="1172">
        <v>630</v>
      </c>
      <c r="G50" s="132"/>
      <c r="H50" s="132"/>
      <c r="I50" s="132"/>
      <c r="J50" s="132"/>
      <c r="K50" s="132"/>
      <c r="L50" s="132"/>
      <c r="M50" s="132"/>
      <c r="N50" s="132"/>
      <c r="O50" s="132"/>
      <c r="P50" s="132"/>
      <c r="Q50" s="132"/>
      <c r="R50" s="132"/>
      <c r="S50" s="44"/>
    </row>
    <row r="51" spans="2:19" x14ac:dyDescent="0.25">
      <c r="B51" s="62"/>
      <c r="C51" s="1166"/>
      <c r="D51" s="1166"/>
      <c r="E51" s="1167"/>
      <c r="F51" s="1172"/>
      <c r="G51" s="969">
        <v>0</v>
      </c>
      <c r="H51" s="969">
        <v>0</v>
      </c>
      <c r="I51" s="969">
        <v>0</v>
      </c>
      <c r="J51" s="969">
        <v>0</v>
      </c>
      <c r="K51" s="969">
        <v>0</v>
      </c>
      <c r="L51" s="969">
        <v>0</v>
      </c>
      <c r="M51" s="969">
        <v>0</v>
      </c>
      <c r="N51" s="969">
        <v>0</v>
      </c>
      <c r="O51" s="969">
        <v>0</v>
      </c>
      <c r="P51" s="969">
        <v>0</v>
      </c>
      <c r="Q51" s="969">
        <v>0</v>
      </c>
      <c r="R51" s="132">
        <f>SUM(G51:Q51)</f>
        <v>0</v>
      </c>
      <c r="S51" s="44"/>
    </row>
    <row r="52" spans="2:19" x14ac:dyDescent="0.25">
      <c r="B52" s="62"/>
      <c r="C52" s="1166" t="s">
        <v>186</v>
      </c>
      <c r="D52" s="1166"/>
      <c r="E52" s="1167"/>
      <c r="F52" s="1172" t="s">
        <v>51</v>
      </c>
      <c r="G52" s="132"/>
      <c r="H52" s="132"/>
      <c r="I52" s="132"/>
      <c r="J52" s="132"/>
      <c r="K52" s="132"/>
      <c r="L52" s="132"/>
      <c r="M52" s="132"/>
      <c r="N52" s="132"/>
      <c r="O52" s="132"/>
      <c r="P52" s="132"/>
      <c r="Q52" s="132"/>
      <c r="R52" s="132"/>
      <c r="S52" s="44"/>
    </row>
    <row r="53" spans="2:19" x14ac:dyDescent="0.25">
      <c r="B53" s="62"/>
      <c r="C53" s="1166"/>
      <c r="D53" s="1166"/>
      <c r="E53" s="1167"/>
      <c r="F53" s="1172"/>
      <c r="G53" s="132"/>
      <c r="H53" s="132"/>
      <c r="I53" s="132"/>
      <c r="J53" s="132"/>
      <c r="K53" s="132"/>
      <c r="L53" s="132"/>
      <c r="M53" s="132"/>
      <c r="N53" s="132"/>
      <c r="O53" s="132"/>
      <c r="P53" s="132"/>
      <c r="Q53" s="132"/>
      <c r="R53" s="132"/>
      <c r="S53" s="44"/>
    </row>
    <row r="54" spans="2:19" ht="15" customHeight="1" x14ac:dyDescent="0.25">
      <c r="B54" s="62"/>
      <c r="C54" s="1166"/>
      <c r="D54" s="1166"/>
      <c r="E54" s="1167"/>
      <c r="F54" s="1172"/>
      <c r="G54" s="969">
        <v>0</v>
      </c>
      <c r="H54" s="969">
        <v>0</v>
      </c>
      <c r="I54" s="969">
        <v>0</v>
      </c>
      <c r="J54" s="969">
        <v>0</v>
      </c>
      <c r="K54" s="969">
        <v>0</v>
      </c>
      <c r="L54" s="969">
        <v>0</v>
      </c>
      <c r="M54" s="969">
        <v>0</v>
      </c>
      <c r="N54" s="969">
        <v>0</v>
      </c>
      <c r="O54" s="969">
        <v>0</v>
      </c>
      <c r="P54" s="969">
        <v>0</v>
      </c>
      <c r="Q54" s="969">
        <v>0</v>
      </c>
      <c r="R54" s="132">
        <f>SUM(G54:Q54)</f>
        <v>0</v>
      </c>
      <c r="S54" s="44"/>
    </row>
    <row r="55" spans="2:19" x14ac:dyDescent="0.25">
      <c r="B55" s="62"/>
      <c r="C55" s="1166" t="s">
        <v>187</v>
      </c>
      <c r="D55" s="1166"/>
      <c r="E55" s="1167"/>
      <c r="F55" s="1172" t="s">
        <v>402</v>
      </c>
      <c r="G55" s="132"/>
      <c r="H55" s="132"/>
      <c r="I55" s="132"/>
      <c r="J55" s="132"/>
      <c r="K55" s="132"/>
      <c r="L55" s="132"/>
      <c r="M55" s="132"/>
      <c r="N55" s="132"/>
      <c r="O55" s="132"/>
      <c r="P55" s="132"/>
      <c r="Q55" s="132"/>
      <c r="R55" s="132"/>
      <c r="S55" s="44"/>
    </row>
    <row r="56" spans="2:19" ht="16.5" customHeight="1" x14ac:dyDescent="0.25">
      <c r="B56" s="62"/>
      <c r="C56" s="1166"/>
      <c r="D56" s="1166"/>
      <c r="E56" s="1167"/>
      <c r="F56" s="1172"/>
      <c r="G56" s="969">
        <v>0</v>
      </c>
      <c r="H56" s="969">
        <v>0</v>
      </c>
      <c r="I56" s="969">
        <v>0</v>
      </c>
      <c r="J56" s="969">
        <v>0</v>
      </c>
      <c r="K56" s="969">
        <v>0</v>
      </c>
      <c r="L56" s="969">
        <v>0</v>
      </c>
      <c r="M56" s="969">
        <v>0</v>
      </c>
      <c r="N56" s="969">
        <v>0</v>
      </c>
      <c r="O56" s="969">
        <v>0</v>
      </c>
      <c r="P56" s="969">
        <v>0</v>
      </c>
      <c r="Q56" s="969">
        <v>0</v>
      </c>
      <c r="R56" s="132">
        <f>SUM(G56:Q56)</f>
        <v>0</v>
      </c>
      <c r="S56" s="44"/>
    </row>
    <row r="57" spans="2:19" x14ac:dyDescent="0.25">
      <c r="B57" s="62"/>
      <c r="C57" s="60" t="s">
        <v>52</v>
      </c>
      <c r="D57" s="60"/>
      <c r="E57" s="60"/>
      <c r="F57" s="61" t="s">
        <v>53</v>
      </c>
      <c r="G57" s="969">
        <v>0</v>
      </c>
      <c r="H57" s="969">
        <v>0</v>
      </c>
      <c r="I57" s="969">
        <v>0</v>
      </c>
      <c r="J57" s="969">
        <v>0</v>
      </c>
      <c r="K57" s="969">
        <v>0</v>
      </c>
      <c r="L57" s="969">
        <v>0</v>
      </c>
      <c r="M57" s="969">
        <v>0</v>
      </c>
      <c r="N57" s="969">
        <v>0</v>
      </c>
      <c r="O57" s="969">
        <v>0</v>
      </c>
      <c r="P57" s="969">
        <v>0</v>
      </c>
      <c r="Q57" s="969">
        <v>0</v>
      </c>
      <c r="R57" s="132">
        <f>SUM(G57:Q57)</f>
        <v>0</v>
      </c>
      <c r="S57" s="44"/>
    </row>
    <row r="58" spans="2:19" ht="12.65" customHeight="1" x14ac:dyDescent="0.25">
      <c r="B58" s="62"/>
      <c r="C58" s="1166" t="s">
        <v>400</v>
      </c>
      <c r="D58" s="1166"/>
      <c r="E58" s="1167"/>
      <c r="F58" s="1172">
        <v>649</v>
      </c>
      <c r="G58" s="132"/>
      <c r="H58" s="132"/>
      <c r="I58" s="132"/>
      <c r="J58" s="132"/>
      <c r="K58" s="132"/>
      <c r="L58" s="132"/>
      <c r="M58" s="132"/>
      <c r="N58" s="132"/>
      <c r="O58" s="132"/>
      <c r="P58" s="132"/>
      <c r="Q58" s="132"/>
      <c r="R58" s="132"/>
      <c r="S58" s="44"/>
    </row>
    <row r="59" spans="2:19" x14ac:dyDescent="0.25">
      <c r="B59" s="62"/>
      <c r="C59" s="1166"/>
      <c r="D59" s="1166"/>
      <c r="E59" s="1167"/>
      <c r="F59" s="1172"/>
      <c r="G59" s="969">
        <v>0</v>
      </c>
      <c r="H59" s="969">
        <v>0</v>
      </c>
      <c r="I59" s="969">
        <v>0</v>
      </c>
      <c r="J59" s="969">
        <v>0</v>
      </c>
      <c r="K59" s="969">
        <v>0</v>
      </c>
      <c r="L59" s="969">
        <v>0</v>
      </c>
      <c r="M59" s="969">
        <v>0</v>
      </c>
      <c r="N59" s="969">
        <v>0</v>
      </c>
      <c r="O59" s="969">
        <v>0</v>
      </c>
      <c r="P59" s="969">
        <v>0</v>
      </c>
      <c r="Q59" s="969">
        <v>0</v>
      </c>
      <c r="R59" s="132">
        <f>SUM(G59:Q59)</f>
        <v>0</v>
      </c>
      <c r="S59" s="44"/>
    </row>
    <row r="60" spans="2:19" s="1128" customFormat="1" x14ac:dyDescent="0.25">
      <c r="B60" s="1121"/>
      <c r="C60" s="1122" t="s">
        <v>449</v>
      </c>
      <c r="D60" s="1122"/>
      <c r="E60" s="1122"/>
      <c r="F60" s="1124" t="s">
        <v>450</v>
      </c>
      <c r="G60" s="1125">
        <v>0</v>
      </c>
      <c r="H60" s="1125">
        <v>0</v>
      </c>
      <c r="I60" s="1125">
        <v>0</v>
      </c>
      <c r="J60" s="1125">
        <v>0</v>
      </c>
      <c r="K60" s="1125">
        <v>0</v>
      </c>
      <c r="L60" s="1125">
        <v>0</v>
      </c>
      <c r="M60" s="1125">
        <v>0</v>
      </c>
      <c r="N60" s="1125">
        <v>0</v>
      </c>
      <c r="O60" s="1125">
        <v>0</v>
      </c>
      <c r="P60" s="1125">
        <v>0</v>
      </c>
      <c r="Q60" s="1125">
        <v>0</v>
      </c>
      <c r="R60" s="1126">
        <f>SUM(G60:Q60)</f>
        <v>0</v>
      </c>
      <c r="S60" s="1127"/>
    </row>
    <row r="61" spans="2:19" x14ac:dyDescent="0.25">
      <c r="B61" s="62"/>
      <c r="C61" s="63"/>
      <c r="D61" s="60"/>
      <c r="E61" s="60"/>
      <c r="F61" s="61"/>
      <c r="G61" s="132"/>
      <c r="H61" s="132"/>
      <c r="I61" s="132"/>
      <c r="J61" s="132"/>
      <c r="K61" s="132"/>
      <c r="L61" s="132"/>
      <c r="M61" s="132"/>
      <c r="N61" s="132"/>
      <c r="O61" s="132"/>
      <c r="P61" s="132"/>
      <c r="Q61" s="132"/>
      <c r="R61" s="132"/>
      <c r="S61" s="44"/>
    </row>
    <row r="62" spans="2:19" ht="13" x14ac:dyDescent="0.25">
      <c r="B62" s="64" t="s">
        <v>188</v>
      </c>
      <c r="C62" s="65"/>
      <c r="D62" s="56"/>
      <c r="E62" s="56"/>
      <c r="F62" s="57" t="s">
        <v>454</v>
      </c>
      <c r="G62" s="1129">
        <f>SUM(G63:G64)</f>
        <v>0</v>
      </c>
      <c r="H62" s="1129">
        <f t="shared" ref="H62:R62" si="4">SUM(H63:H64)</f>
        <v>0</v>
      </c>
      <c r="I62" s="1129">
        <f t="shared" si="4"/>
        <v>0</v>
      </c>
      <c r="J62" s="1129">
        <f t="shared" si="4"/>
        <v>0</v>
      </c>
      <c r="K62" s="1129">
        <f t="shared" si="4"/>
        <v>0</v>
      </c>
      <c r="L62" s="1129">
        <f t="shared" si="4"/>
        <v>0</v>
      </c>
      <c r="M62" s="1129">
        <f t="shared" si="4"/>
        <v>0</v>
      </c>
      <c r="N62" s="1129">
        <f t="shared" si="4"/>
        <v>0</v>
      </c>
      <c r="O62" s="1129">
        <f t="shared" si="4"/>
        <v>0</v>
      </c>
      <c r="P62" s="1129">
        <f t="shared" si="4"/>
        <v>0</v>
      </c>
      <c r="Q62" s="1129">
        <f t="shared" si="4"/>
        <v>0</v>
      </c>
      <c r="R62" s="131">
        <f t="shared" si="4"/>
        <v>0</v>
      </c>
      <c r="S62" s="44"/>
    </row>
    <row r="63" spans="2:19" s="1128" customFormat="1" ht="14.15" customHeight="1" x14ac:dyDescent="0.25">
      <c r="B63" s="1121"/>
      <c r="C63" s="1122" t="s">
        <v>451</v>
      </c>
      <c r="D63" s="1122"/>
      <c r="E63" s="1122"/>
      <c r="F63" s="1124">
        <v>65</v>
      </c>
      <c r="G63" s="1125">
        <v>0</v>
      </c>
      <c r="H63" s="1125">
        <v>0</v>
      </c>
      <c r="I63" s="1125">
        <v>0</v>
      </c>
      <c r="J63" s="1125">
        <v>0</v>
      </c>
      <c r="K63" s="1125">
        <v>0</v>
      </c>
      <c r="L63" s="1125">
        <v>0</v>
      </c>
      <c r="M63" s="1125">
        <v>0</v>
      </c>
      <c r="N63" s="1125">
        <v>0</v>
      </c>
      <c r="O63" s="1125">
        <v>0</v>
      </c>
      <c r="P63" s="1125">
        <v>0</v>
      </c>
      <c r="Q63" s="1125">
        <v>0</v>
      </c>
      <c r="R63" s="1126">
        <f>SUM(G63:Q63)</f>
        <v>0</v>
      </c>
      <c r="S63" s="1127"/>
    </row>
    <row r="64" spans="2:19" s="1128" customFormat="1" ht="14.15" customHeight="1" x14ac:dyDescent="0.25">
      <c r="B64" s="1121"/>
      <c r="C64" s="1122" t="s">
        <v>452</v>
      </c>
      <c r="D64" s="1122"/>
      <c r="E64" s="1122"/>
      <c r="F64" s="1124" t="s">
        <v>453</v>
      </c>
      <c r="G64" s="1125">
        <v>0</v>
      </c>
      <c r="H64" s="1125">
        <v>0</v>
      </c>
      <c r="I64" s="1125">
        <v>0</v>
      </c>
      <c r="J64" s="1125">
        <v>0</v>
      </c>
      <c r="K64" s="1125">
        <v>0</v>
      </c>
      <c r="L64" s="1125">
        <v>0</v>
      </c>
      <c r="M64" s="1125">
        <v>0</v>
      </c>
      <c r="N64" s="1125">
        <v>0</v>
      </c>
      <c r="O64" s="1125">
        <v>0</v>
      </c>
      <c r="P64" s="1125">
        <v>0</v>
      </c>
      <c r="Q64" s="1125">
        <v>0</v>
      </c>
      <c r="R64" s="1126">
        <f>SUM(G64:Q64)</f>
        <v>0</v>
      </c>
      <c r="S64" s="1127"/>
    </row>
    <row r="65" spans="2:19" ht="13" x14ac:dyDescent="0.25">
      <c r="B65" s="66"/>
      <c r="C65" s="67"/>
      <c r="D65" s="68"/>
      <c r="E65" s="68"/>
      <c r="F65" s="69"/>
      <c r="G65" s="134"/>
      <c r="H65" s="134"/>
      <c r="I65" s="134"/>
      <c r="J65" s="134"/>
      <c r="K65" s="134"/>
      <c r="L65" s="134"/>
      <c r="M65" s="134"/>
      <c r="N65" s="134"/>
      <c r="O65" s="134"/>
      <c r="P65" s="134"/>
      <c r="Q65" s="134"/>
      <c r="R65" s="131"/>
      <c r="S65" s="44"/>
    </row>
    <row r="66" spans="2:19" ht="13" x14ac:dyDescent="0.25">
      <c r="B66" s="1173" t="s">
        <v>189</v>
      </c>
      <c r="C66" s="1174"/>
      <c r="D66" s="1174"/>
      <c r="E66" s="1175"/>
      <c r="F66" s="1171">
        <v>680</v>
      </c>
      <c r="G66" s="131"/>
      <c r="H66" s="131"/>
      <c r="I66" s="131"/>
      <c r="J66" s="131"/>
      <c r="K66" s="131"/>
      <c r="L66" s="131"/>
      <c r="M66" s="131"/>
      <c r="N66" s="131"/>
      <c r="O66" s="131"/>
      <c r="P66" s="131"/>
      <c r="Q66" s="131"/>
      <c r="R66" s="131"/>
      <c r="S66" s="44"/>
    </row>
    <row r="67" spans="2:19" ht="13" x14ac:dyDescent="0.25">
      <c r="B67" s="1173"/>
      <c r="C67" s="1174"/>
      <c r="D67" s="1174"/>
      <c r="E67" s="1175"/>
      <c r="F67" s="1171"/>
      <c r="G67" s="970">
        <v>0</v>
      </c>
      <c r="H67" s="970">
        <v>0</v>
      </c>
      <c r="I67" s="970">
        <v>0</v>
      </c>
      <c r="J67" s="970">
        <v>0</v>
      </c>
      <c r="K67" s="970">
        <v>0</v>
      </c>
      <c r="L67" s="970">
        <v>0</v>
      </c>
      <c r="M67" s="970">
        <v>0</v>
      </c>
      <c r="N67" s="970">
        <v>0</v>
      </c>
      <c r="O67" s="970">
        <v>0</v>
      </c>
      <c r="P67" s="970">
        <v>0</v>
      </c>
      <c r="Q67" s="970">
        <v>0</v>
      </c>
      <c r="R67" s="131">
        <f>SUM(G67:Q67)</f>
        <v>0</v>
      </c>
      <c r="S67" s="44"/>
    </row>
    <row r="68" spans="2:19" ht="13" x14ac:dyDescent="0.25">
      <c r="B68" s="66"/>
      <c r="C68" s="68"/>
      <c r="D68" s="68"/>
      <c r="E68" s="68"/>
      <c r="F68" s="69"/>
      <c r="G68" s="134"/>
      <c r="H68" s="134"/>
      <c r="I68" s="134"/>
      <c r="J68" s="134"/>
      <c r="K68" s="134"/>
      <c r="L68" s="134"/>
      <c r="M68" s="134"/>
      <c r="N68" s="134"/>
      <c r="O68" s="134"/>
      <c r="P68" s="134"/>
      <c r="Q68" s="134"/>
      <c r="R68" s="134"/>
      <c r="S68" s="44"/>
    </row>
    <row r="69" spans="2:19" ht="13" x14ac:dyDescent="0.25">
      <c r="B69" s="64" t="s">
        <v>190</v>
      </c>
      <c r="C69" s="56"/>
      <c r="D69" s="56"/>
      <c r="E69" s="56"/>
      <c r="F69" s="57" t="s">
        <v>54</v>
      </c>
      <c r="G69" s="970">
        <v>0</v>
      </c>
      <c r="H69" s="970">
        <v>0</v>
      </c>
      <c r="I69" s="970">
        <v>0</v>
      </c>
      <c r="J69" s="970">
        <v>0</v>
      </c>
      <c r="K69" s="970">
        <v>0</v>
      </c>
      <c r="L69" s="970">
        <v>0</v>
      </c>
      <c r="M69" s="970">
        <v>0</v>
      </c>
      <c r="N69" s="970">
        <v>0</v>
      </c>
      <c r="O69" s="970">
        <v>0</v>
      </c>
      <c r="P69" s="970">
        <v>0</v>
      </c>
      <c r="Q69" s="970">
        <v>0</v>
      </c>
      <c r="R69" s="131">
        <f>SUM(G69:Q69)</f>
        <v>0</v>
      </c>
      <c r="S69" s="44"/>
    </row>
    <row r="70" spans="2:19" ht="13" x14ac:dyDescent="0.25">
      <c r="B70" s="66"/>
      <c r="C70" s="68"/>
      <c r="D70" s="68"/>
      <c r="E70" s="68"/>
      <c r="F70" s="69"/>
      <c r="G70" s="134"/>
      <c r="H70" s="134"/>
      <c r="I70" s="134"/>
      <c r="J70" s="134"/>
      <c r="K70" s="134"/>
      <c r="L70" s="134"/>
      <c r="M70" s="134"/>
      <c r="N70" s="134"/>
      <c r="O70" s="134"/>
      <c r="P70" s="134"/>
      <c r="Q70" s="134"/>
      <c r="R70" s="134"/>
      <c r="S70" s="44"/>
    </row>
    <row r="71" spans="2:19" ht="13" x14ac:dyDescent="0.25">
      <c r="B71" s="64" t="s">
        <v>191</v>
      </c>
      <c r="C71" s="56"/>
      <c r="D71" s="65"/>
      <c r="E71" s="56"/>
      <c r="F71" s="57"/>
      <c r="G71" s="970">
        <v>0</v>
      </c>
      <c r="H71" s="970">
        <v>0</v>
      </c>
      <c r="I71" s="970">
        <v>0</v>
      </c>
      <c r="J71" s="970">
        <v>0</v>
      </c>
      <c r="K71" s="970">
        <v>0</v>
      </c>
      <c r="L71" s="970">
        <v>0</v>
      </c>
      <c r="M71" s="970">
        <v>0</v>
      </c>
      <c r="N71" s="970">
        <v>0</v>
      </c>
      <c r="O71" s="970">
        <v>0</v>
      </c>
      <c r="P71" s="970">
        <v>0</v>
      </c>
      <c r="Q71" s="970">
        <v>0</v>
      </c>
      <c r="R71" s="131">
        <f>SUM(G71:Q71)</f>
        <v>0</v>
      </c>
      <c r="S71" s="44"/>
    </row>
    <row r="72" spans="2:19" x14ac:dyDescent="0.25">
      <c r="B72" s="62"/>
      <c r="C72" s="60"/>
      <c r="D72" s="60"/>
      <c r="E72" s="60"/>
      <c r="F72" s="61"/>
      <c r="G72" s="132"/>
      <c r="H72" s="132"/>
      <c r="I72" s="132"/>
      <c r="J72" s="132"/>
      <c r="K72" s="132"/>
      <c r="L72" s="132"/>
      <c r="M72" s="132"/>
      <c r="N72" s="132"/>
      <c r="O72" s="132"/>
      <c r="P72" s="132"/>
      <c r="Q72" s="132"/>
      <c r="R72" s="132"/>
      <c r="S72" s="44"/>
    </row>
    <row r="73" spans="2:19" ht="15.5" x14ac:dyDescent="0.25">
      <c r="B73" s="70"/>
      <c r="C73" s="71"/>
      <c r="D73" s="71"/>
      <c r="E73" s="72"/>
      <c r="F73" s="73"/>
      <c r="G73" s="136"/>
      <c r="H73" s="136"/>
      <c r="I73" s="136"/>
      <c r="J73" s="136"/>
      <c r="K73" s="136"/>
      <c r="L73" s="136"/>
      <c r="M73" s="136"/>
      <c r="N73" s="136"/>
      <c r="O73" s="136"/>
      <c r="P73" s="136"/>
      <c r="Q73" s="136"/>
      <c r="R73" s="136"/>
      <c r="S73" s="44"/>
    </row>
    <row r="74" spans="2:19" ht="14" x14ac:dyDescent="0.25">
      <c r="B74" s="74"/>
      <c r="C74" s="75"/>
      <c r="D74" s="75"/>
      <c r="E74" s="76" t="s">
        <v>20</v>
      </c>
      <c r="F74" s="77"/>
      <c r="G74" s="137">
        <f>SUM(G45,G62,G67,G69,G71)</f>
        <v>0</v>
      </c>
      <c r="H74" s="137">
        <f t="shared" ref="H74:R74" si="5">SUM(H45,H62,H67,H69,H71)</f>
        <v>0</v>
      </c>
      <c r="I74" s="137">
        <f t="shared" si="5"/>
        <v>0</v>
      </c>
      <c r="J74" s="137">
        <f t="shared" si="5"/>
        <v>0</v>
      </c>
      <c r="K74" s="137">
        <f t="shared" si="5"/>
        <v>0</v>
      </c>
      <c r="L74" s="137">
        <f t="shared" si="5"/>
        <v>0</v>
      </c>
      <c r="M74" s="137">
        <f t="shared" si="5"/>
        <v>0</v>
      </c>
      <c r="N74" s="137">
        <f t="shared" si="5"/>
        <v>0</v>
      </c>
      <c r="O74" s="137">
        <f t="shared" si="5"/>
        <v>0</v>
      </c>
      <c r="P74" s="137">
        <f t="shared" si="5"/>
        <v>0</v>
      </c>
      <c r="Q74" s="137">
        <f t="shared" si="5"/>
        <v>0</v>
      </c>
      <c r="R74" s="137">
        <f t="shared" si="5"/>
        <v>0</v>
      </c>
      <c r="S74" s="44"/>
    </row>
    <row r="75" spans="2:19" ht="16" thickBot="1" x14ac:dyDescent="0.3">
      <c r="B75" s="78"/>
      <c r="C75" s="79"/>
      <c r="D75" s="79"/>
      <c r="E75" s="80"/>
      <c r="F75" s="81"/>
      <c r="G75" s="82"/>
      <c r="H75" s="82"/>
      <c r="I75" s="82"/>
      <c r="J75" s="82"/>
      <c r="K75" s="82"/>
      <c r="L75" s="82"/>
      <c r="M75" s="82"/>
      <c r="N75" s="82"/>
      <c r="O75" s="82"/>
      <c r="P75" s="82"/>
      <c r="Q75" s="82"/>
      <c r="R75" s="82"/>
      <c r="S75" s="58"/>
    </row>
    <row r="76" spans="2:19" ht="13" thickTop="1" x14ac:dyDescent="0.25">
      <c r="B76" s="87"/>
      <c r="C76" s="87"/>
      <c r="D76" s="87"/>
      <c r="E76" s="87"/>
      <c r="F76" s="88"/>
      <c r="G76" s="89"/>
      <c r="H76" s="89"/>
      <c r="I76" s="89"/>
      <c r="J76" s="89"/>
      <c r="K76" s="89"/>
      <c r="L76" s="89"/>
      <c r="M76" s="89"/>
      <c r="N76" s="89"/>
      <c r="O76" s="89"/>
      <c r="P76" s="89"/>
      <c r="Q76" s="89"/>
      <c r="R76" s="89"/>
      <c r="S76" s="58"/>
    </row>
    <row r="77" spans="2:19" ht="13" x14ac:dyDescent="0.25">
      <c r="B77" s="87"/>
      <c r="C77" s="87"/>
      <c r="D77" s="87"/>
      <c r="E77" s="87" t="s">
        <v>58</v>
      </c>
      <c r="F77" s="88"/>
      <c r="G77" s="89">
        <f>SUM(G12,G22,G27,G30)</f>
        <v>0</v>
      </c>
      <c r="H77" s="89">
        <f t="shared" ref="H77:R77" si="6">SUM(H12,H22,H27,H30)</f>
        <v>0</v>
      </c>
      <c r="I77" s="89">
        <f t="shared" si="6"/>
        <v>0</v>
      </c>
      <c r="J77" s="89">
        <f t="shared" si="6"/>
        <v>0</v>
      </c>
      <c r="K77" s="89">
        <f t="shared" si="6"/>
        <v>0</v>
      </c>
      <c r="L77" s="89">
        <f t="shared" si="6"/>
        <v>0</v>
      </c>
      <c r="M77" s="89">
        <f t="shared" si="6"/>
        <v>0</v>
      </c>
      <c r="N77" s="89">
        <f t="shared" si="6"/>
        <v>0</v>
      </c>
      <c r="O77" s="89">
        <f t="shared" si="6"/>
        <v>0</v>
      </c>
      <c r="P77" s="89">
        <f t="shared" si="6"/>
        <v>0</v>
      </c>
      <c r="Q77" s="89">
        <f t="shared" si="6"/>
        <v>0</v>
      </c>
      <c r="R77" s="138">
        <f t="shared" si="6"/>
        <v>0</v>
      </c>
      <c r="S77" s="58"/>
    </row>
    <row r="78" spans="2:19" ht="13" x14ac:dyDescent="0.25">
      <c r="B78" s="87"/>
      <c r="C78" s="87"/>
      <c r="D78" s="87"/>
      <c r="E78" s="87" t="s">
        <v>59</v>
      </c>
      <c r="F78" s="88"/>
      <c r="G78" s="89">
        <f>SUM(G45,G62,G67,G69)</f>
        <v>0</v>
      </c>
      <c r="H78" s="89">
        <f t="shared" ref="H78:R78" si="7">SUM(H45,H62,H67,H69)</f>
        <v>0</v>
      </c>
      <c r="I78" s="89">
        <f t="shared" si="7"/>
        <v>0</v>
      </c>
      <c r="J78" s="89">
        <f t="shared" si="7"/>
        <v>0</v>
      </c>
      <c r="K78" s="89">
        <f t="shared" si="7"/>
        <v>0</v>
      </c>
      <c r="L78" s="89">
        <f t="shared" si="7"/>
        <v>0</v>
      </c>
      <c r="M78" s="89">
        <f t="shared" si="7"/>
        <v>0</v>
      </c>
      <c r="N78" s="89">
        <f t="shared" si="7"/>
        <v>0</v>
      </c>
      <c r="O78" s="89">
        <f t="shared" si="7"/>
        <v>0</v>
      </c>
      <c r="P78" s="89">
        <f t="shared" si="7"/>
        <v>0</v>
      </c>
      <c r="Q78" s="89">
        <f t="shared" si="7"/>
        <v>0</v>
      </c>
      <c r="R78" s="138">
        <f t="shared" si="7"/>
        <v>0</v>
      </c>
      <c r="S78" s="58"/>
    </row>
    <row r="79" spans="2:19" ht="13" x14ac:dyDescent="0.25">
      <c r="B79" s="87"/>
      <c r="C79" s="87"/>
      <c r="D79" s="87"/>
      <c r="E79" s="87" t="s">
        <v>60</v>
      </c>
      <c r="F79" s="88"/>
      <c r="G79" s="89">
        <f t="shared" ref="G79:R79" si="8">G77-G78</f>
        <v>0</v>
      </c>
      <c r="H79" s="89">
        <f t="shared" si="8"/>
        <v>0</v>
      </c>
      <c r="I79" s="89">
        <f t="shared" si="8"/>
        <v>0</v>
      </c>
      <c r="J79" s="89">
        <f>J77-J78</f>
        <v>0</v>
      </c>
      <c r="K79" s="89">
        <f>K77-K78</f>
        <v>0</v>
      </c>
      <c r="L79" s="89">
        <f t="shared" si="8"/>
        <v>0</v>
      </c>
      <c r="M79" s="89">
        <f t="shared" si="8"/>
        <v>0</v>
      </c>
      <c r="N79" s="89">
        <f t="shared" si="8"/>
        <v>0</v>
      </c>
      <c r="O79" s="89">
        <f>O77-O78</f>
        <v>0</v>
      </c>
      <c r="P79" s="89">
        <f>P77-P78</f>
        <v>0</v>
      </c>
      <c r="Q79" s="89">
        <f t="shared" si="8"/>
        <v>0</v>
      </c>
      <c r="R79" s="138">
        <f t="shared" si="8"/>
        <v>0</v>
      </c>
      <c r="S79" s="58"/>
    </row>
    <row r="80" spans="2:19" x14ac:dyDescent="0.25">
      <c r="B80" s="87"/>
      <c r="C80" s="87"/>
      <c r="D80" s="87"/>
      <c r="E80" s="87"/>
      <c r="F80" s="88"/>
      <c r="G80" s="87"/>
      <c r="H80" s="87"/>
      <c r="I80" s="87"/>
      <c r="J80" s="87"/>
      <c r="K80" s="87"/>
      <c r="L80" s="87"/>
      <c r="M80" s="87"/>
      <c r="N80" s="87"/>
      <c r="O80" s="87"/>
      <c r="P80" s="87"/>
      <c r="Q80" s="87"/>
      <c r="R80" s="87"/>
      <c r="S80" s="87"/>
    </row>
    <row r="81" spans="2:19" ht="13" x14ac:dyDescent="0.25">
      <c r="B81" s="87"/>
      <c r="C81" s="87"/>
      <c r="D81" s="87"/>
      <c r="E81" s="90"/>
      <c r="F81" s="88"/>
      <c r="G81" s="87"/>
      <c r="H81" s="87"/>
      <c r="I81" s="87"/>
      <c r="J81" s="87"/>
      <c r="K81" s="87"/>
      <c r="L81" s="87"/>
      <c r="M81" s="87"/>
      <c r="N81" s="87"/>
      <c r="O81" s="87"/>
      <c r="P81" s="87"/>
      <c r="Q81" s="87"/>
      <c r="R81" s="87"/>
      <c r="S81" s="87"/>
    </row>
    <row r="82" spans="2:19" x14ac:dyDescent="0.25">
      <c r="B82" s="87"/>
      <c r="C82" s="87"/>
      <c r="D82" s="87"/>
      <c r="E82" s="87"/>
      <c r="F82" s="88"/>
      <c r="G82" s="87"/>
      <c r="H82" s="87"/>
      <c r="I82" s="87"/>
      <c r="J82" s="87"/>
      <c r="K82" s="87"/>
      <c r="L82" s="87"/>
      <c r="M82" s="87"/>
      <c r="N82" s="87"/>
      <c r="O82" s="87"/>
      <c r="P82" s="87"/>
      <c r="Q82" s="87"/>
      <c r="R82" s="87"/>
      <c r="S82" s="87"/>
    </row>
    <row r="83" spans="2:19" x14ac:dyDescent="0.25">
      <c r="B83" s="87"/>
      <c r="C83" s="87"/>
      <c r="D83" s="87"/>
      <c r="E83" s="87"/>
      <c r="F83" s="88"/>
      <c r="G83" s="87"/>
      <c r="H83" s="87"/>
      <c r="I83" s="87"/>
      <c r="J83" s="87"/>
      <c r="K83" s="87"/>
      <c r="L83" s="87"/>
      <c r="M83" s="87"/>
      <c r="N83" s="87"/>
      <c r="O83" s="87"/>
      <c r="P83" s="87"/>
      <c r="Q83" s="87"/>
      <c r="R83" s="87"/>
      <c r="S83" s="87"/>
    </row>
    <row r="84" spans="2:19" x14ac:dyDescent="0.25">
      <c r="B84" s="87"/>
      <c r="C84" s="87"/>
      <c r="D84" s="87"/>
      <c r="E84" s="87"/>
      <c r="F84" s="88"/>
      <c r="G84" s="87"/>
      <c r="H84" s="87"/>
      <c r="I84" s="87"/>
      <c r="J84" s="87"/>
      <c r="K84" s="87"/>
      <c r="L84" s="87"/>
      <c r="M84" s="87"/>
      <c r="N84" s="87"/>
      <c r="O84" s="87"/>
      <c r="P84" s="87"/>
      <c r="Q84" s="87"/>
      <c r="R84" s="87"/>
      <c r="S84" s="87"/>
    </row>
    <row r="85" spans="2:19" x14ac:dyDescent="0.25">
      <c r="B85" s="87"/>
      <c r="C85" s="87"/>
      <c r="D85" s="87"/>
      <c r="E85" s="87"/>
      <c r="F85" s="88"/>
      <c r="G85" s="87"/>
      <c r="H85" s="87"/>
      <c r="I85" s="87"/>
      <c r="J85" s="87"/>
      <c r="K85" s="87"/>
      <c r="L85" s="87"/>
      <c r="M85" s="87"/>
      <c r="N85" s="87"/>
      <c r="O85" s="87"/>
      <c r="P85" s="87"/>
      <c r="Q85" s="87"/>
      <c r="R85" s="87"/>
      <c r="S85" s="87"/>
    </row>
    <row r="86" spans="2:19" x14ac:dyDescent="0.25">
      <c r="B86" s="87"/>
      <c r="C86" s="87"/>
      <c r="D86" s="87"/>
      <c r="E86" s="87"/>
      <c r="F86" s="88"/>
      <c r="G86" s="87"/>
      <c r="H86" s="87"/>
      <c r="I86" s="87"/>
      <c r="J86" s="87"/>
      <c r="K86" s="87"/>
      <c r="L86" s="87"/>
      <c r="M86" s="87"/>
      <c r="N86" s="87"/>
      <c r="O86" s="87"/>
      <c r="P86" s="87"/>
      <c r="Q86" s="87"/>
      <c r="R86" s="87"/>
      <c r="S86" s="87"/>
    </row>
    <row r="87" spans="2:19" x14ac:dyDescent="0.25">
      <c r="B87" s="87"/>
      <c r="C87" s="87"/>
      <c r="D87" s="87"/>
      <c r="E87" s="87"/>
      <c r="F87" s="88"/>
      <c r="G87" s="87"/>
      <c r="H87" s="87"/>
      <c r="I87" s="87"/>
      <c r="J87" s="87"/>
      <c r="K87" s="87"/>
      <c r="L87" s="87"/>
      <c r="M87" s="87"/>
      <c r="N87" s="87"/>
      <c r="O87" s="87"/>
      <c r="P87" s="87"/>
      <c r="Q87" s="87"/>
      <c r="R87" s="87"/>
      <c r="S87" s="87"/>
    </row>
    <row r="88" spans="2:19" x14ac:dyDescent="0.25">
      <c r="B88" s="87"/>
      <c r="C88" s="87"/>
      <c r="D88" s="87"/>
      <c r="E88" s="87"/>
      <c r="F88" s="88"/>
      <c r="G88" s="87"/>
      <c r="H88" s="87"/>
      <c r="I88" s="87"/>
      <c r="J88" s="87"/>
      <c r="K88" s="87"/>
      <c r="L88" s="87"/>
      <c r="M88" s="87"/>
      <c r="N88" s="87"/>
      <c r="O88" s="87"/>
      <c r="P88" s="87"/>
      <c r="Q88" s="87"/>
      <c r="R88" s="87"/>
      <c r="S88" s="87"/>
    </row>
    <row r="89" spans="2:19" x14ac:dyDescent="0.25">
      <c r="B89" s="87"/>
      <c r="C89" s="87"/>
      <c r="D89" s="87"/>
      <c r="E89" s="87"/>
      <c r="F89" s="88"/>
      <c r="G89" s="87"/>
      <c r="H89" s="87"/>
      <c r="I89" s="87"/>
      <c r="J89" s="87"/>
      <c r="K89" s="87"/>
      <c r="L89" s="87"/>
      <c r="M89" s="87"/>
      <c r="N89" s="87"/>
      <c r="O89" s="87"/>
      <c r="P89" s="87"/>
      <c r="Q89" s="87"/>
      <c r="R89" s="87"/>
      <c r="S89" s="87"/>
    </row>
    <row r="90" spans="2:19" x14ac:dyDescent="0.25">
      <c r="B90" s="87"/>
      <c r="C90" s="87"/>
      <c r="D90" s="87"/>
      <c r="E90" s="87"/>
      <c r="F90" s="88"/>
      <c r="G90" s="87"/>
      <c r="H90" s="87"/>
      <c r="I90" s="87"/>
      <c r="J90" s="87"/>
      <c r="K90" s="87"/>
      <c r="L90" s="87"/>
      <c r="M90" s="87"/>
      <c r="N90" s="87"/>
      <c r="O90" s="87"/>
      <c r="P90" s="87"/>
      <c r="Q90" s="87"/>
      <c r="R90" s="87"/>
      <c r="S90" s="87"/>
    </row>
    <row r="91" spans="2:19" x14ac:dyDescent="0.25">
      <c r="B91" s="87"/>
      <c r="C91" s="87"/>
      <c r="D91" s="87"/>
      <c r="E91" s="87"/>
      <c r="F91" s="88"/>
      <c r="G91" s="87"/>
      <c r="H91" s="87"/>
      <c r="I91" s="87"/>
      <c r="J91" s="87"/>
      <c r="K91" s="87"/>
      <c r="L91" s="87"/>
      <c r="M91" s="87"/>
      <c r="N91" s="87"/>
      <c r="O91" s="87"/>
      <c r="P91" s="87"/>
      <c r="Q91" s="87"/>
      <c r="R91" s="87"/>
      <c r="S91" s="87"/>
    </row>
    <row r="92" spans="2:19" x14ac:dyDescent="0.25">
      <c r="B92" s="87"/>
      <c r="C92" s="87"/>
      <c r="D92" s="87"/>
      <c r="E92" s="87"/>
      <c r="F92" s="88"/>
      <c r="G92" s="87"/>
      <c r="H92" s="87"/>
      <c r="I92" s="87"/>
      <c r="J92" s="87"/>
      <c r="K92" s="87"/>
      <c r="L92" s="87"/>
      <c r="M92" s="87"/>
      <c r="N92" s="87"/>
      <c r="O92" s="87"/>
      <c r="P92" s="87"/>
      <c r="Q92" s="87"/>
      <c r="R92" s="87"/>
      <c r="S92" s="87"/>
    </row>
    <row r="93" spans="2:19" x14ac:dyDescent="0.25">
      <c r="B93" s="87"/>
      <c r="C93" s="87"/>
      <c r="D93" s="87"/>
      <c r="E93" s="87"/>
      <c r="F93" s="88"/>
      <c r="G93" s="87"/>
      <c r="H93" s="87"/>
      <c r="I93" s="87"/>
      <c r="J93" s="87"/>
      <c r="K93" s="87"/>
      <c r="L93" s="87"/>
      <c r="M93" s="87"/>
      <c r="N93" s="87"/>
      <c r="O93" s="87"/>
      <c r="P93" s="87"/>
      <c r="Q93" s="87"/>
      <c r="R93" s="87"/>
      <c r="S93" s="87"/>
    </row>
    <row r="94" spans="2:19" x14ac:dyDescent="0.25">
      <c r="B94" s="87"/>
      <c r="C94" s="87"/>
      <c r="D94" s="87"/>
      <c r="E94" s="87"/>
      <c r="F94" s="88"/>
      <c r="G94" s="87"/>
      <c r="H94" s="87"/>
      <c r="I94" s="87"/>
      <c r="J94" s="87"/>
      <c r="K94" s="87"/>
      <c r="L94" s="87"/>
      <c r="M94" s="87"/>
      <c r="N94" s="87"/>
      <c r="O94" s="87"/>
      <c r="P94" s="87"/>
      <c r="Q94" s="87"/>
      <c r="R94" s="87"/>
      <c r="S94" s="87"/>
    </row>
    <row r="95" spans="2:19" x14ac:dyDescent="0.25">
      <c r="B95" s="87"/>
      <c r="C95" s="87"/>
      <c r="D95" s="87"/>
      <c r="E95" s="87"/>
      <c r="F95" s="88"/>
      <c r="G95" s="87"/>
      <c r="H95" s="87"/>
      <c r="I95" s="87"/>
      <c r="J95" s="87"/>
      <c r="K95" s="87"/>
      <c r="L95" s="87"/>
      <c r="M95" s="87"/>
      <c r="N95" s="87"/>
      <c r="O95" s="87"/>
      <c r="P95" s="87"/>
      <c r="Q95" s="87"/>
      <c r="R95" s="87"/>
      <c r="S95" s="87"/>
    </row>
    <row r="96" spans="2:19" x14ac:dyDescent="0.25">
      <c r="B96" s="87"/>
      <c r="C96" s="87"/>
      <c r="D96" s="87"/>
      <c r="E96" s="87"/>
      <c r="F96" s="88"/>
      <c r="G96" s="87"/>
      <c r="H96" s="87"/>
      <c r="I96" s="87"/>
      <c r="J96" s="87"/>
      <c r="K96" s="87"/>
      <c r="L96" s="87"/>
      <c r="M96" s="87"/>
      <c r="N96" s="87"/>
      <c r="O96" s="87"/>
      <c r="P96" s="87"/>
      <c r="Q96" s="87"/>
      <c r="R96" s="87"/>
      <c r="S96" s="87"/>
    </row>
    <row r="97" spans="2:19" x14ac:dyDescent="0.25">
      <c r="B97" s="87"/>
      <c r="C97" s="87"/>
      <c r="D97" s="87"/>
      <c r="E97" s="87"/>
      <c r="F97" s="88"/>
      <c r="G97" s="87"/>
      <c r="H97" s="87"/>
      <c r="I97" s="87"/>
      <c r="J97" s="87"/>
      <c r="K97" s="87"/>
      <c r="L97" s="87"/>
      <c r="M97" s="87"/>
      <c r="N97" s="87"/>
      <c r="O97" s="87"/>
      <c r="P97" s="87"/>
      <c r="Q97" s="87"/>
      <c r="R97" s="87"/>
      <c r="S97" s="87"/>
    </row>
    <row r="98" spans="2:19" x14ac:dyDescent="0.25">
      <c r="B98" s="87"/>
      <c r="C98" s="87"/>
      <c r="D98" s="87"/>
      <c r="E98" s="87"/>
      <c r="F98" s="88"/>
      <c r="G98" s="87"/>
      <c r="H98" s="87"/>
      <c r="I98" s="87"/>
      <c r="J98" s="87"/>
      <c r="K98" s="87"/>
      <c r="L98" s="87"/>
      <c r="M98" s="87"/>
      <c r="N98" s="87"/>
      <c r="O98" s="87"/>
      <c r="P98" s="87"/>
      <c r="Q98" s="87"/>
      <c r="R98" s="87"/>
      <c r="S98" s="87"/>
    </row>
    <row r="99" spans="2:19" x14ac:dyDescent="0.25">
      <c r="B99" s="87"/>
      <c r="C99" s="87"/>
      <c r="D99" s="87"/>
      <c r="E99" s="87"/>
      <c r="F99" s="88"/>
      <c r="G99" s="87"/>
      <c r="H99" s="87"/>
      <c r="I99" s="87"/>
      <c r="J99" s="87"/>
      <c r="K99" s="87"/>
      <c r="L99" s="87"/>
      <c r="M99" s="87"/>
      <c r="N99" s="87"/>
      <c r="O99" s="87"/>
      <c r="P99" s="87"/>
      <c r="Q99" s="87"/>
      <c r="R99" s="87"/>
      <c r="S99" s="87"/>
    </row>
    <row r="100" spans="2:19" x14ac:dyDescent="0.25">
      <c r="B100" s="87"/>
      <c r="C100" s="87"/>
      <c r="D100" s="87"/>
      <c r="E100" s="87"/>
      <c r="F100" s="88"/>
      <c r="G100" s="87"/>
      <c r="H100" s="87"/>
      <c r="I100" s="87"/>
      <c r="J100" s="87"/>
      <c r="K100" s="87"/>
      <c r="L100" s="87"/>
      <c r="M100" s="87"/>
      <c r="N100" s="87"/>
      <c r="O100" s="87"/>
      <c r="P100" s="87"/>
      <c r="Q100" s="87"/>
      <c r="R100" s="87"/>
      <c r="S100" s="87"/>
    </row>
    <row r="101" spans="2:19" x14ac:dyDescent="0.25">
      <c r="B101" s="87"/>
      <c r="C101" s="87"/>
      <c r="D101" s="87"/>
      <c r="E101" s="87"/>
      <c r="F101" s="88"/>
      <c r="G101" s="87"/>
      <c r="H101" s="87"/>
      <c r="I101" s="87"/>
      <c r="J101" s="87"/>
      <c r="K101" s="87"/>
      <c r="L101" s="87"/>
      <c r="M101" s="87"/>
      <c r="N101" s="87"/>
      <c r="O101" s="87"/>
      <c r="P101" s="87"/>
      <c r="Q101" s="87"/>
      <c r="R101" s="87"/>
      <c r="S101" s="87"/>
    </row>
    <row r="102" spans="2:19" x14ac:dyDescent="0.25">
      <c r="B102" s="87"/>
      <c r="C102" s="87"/>
      <c r="D102" s="87"/>
      <c r="E102" s="87"/>
      <c r="F102" s="88"/>
      <c r="G102" s="87"/>
      <c r="H102" s="87"/>
      <c r="I102" s="87"/>
      <c r="J102" s="87"/>
      <c r="K102" s="87"/>
      <c r="L102" s="87"/>
      <c r="M102" s="87"/>
      <c r="N102" s="87"/>
      <c r="O102" s="87"/>
      <c r="P102" s="87"/>
      <c r="Q102" s="87"/>
      <c r="R102" s="87"/>
      <c r="S102" s="87"/>
    </row>
    <row r="103" spans="2:19" x14ac:dyDescent="0.25">
      <c r="B103" s="87"/>
      <c r="C103" s="87"/>
      <c r="D103" s="87"/>
      <c r="E103" s="87"/>
      <c r="F103" s="88"/>
      <c r="G103" s="87"/>
      <c r="H103" s="87"/>
      <c r="I103" s="87"/>
      <c r="J103" s="87"/>
      <c r="K103" s="87"/>
      <c r="L103" s="87"/>
      <c r="M103" s="87"/>
      <c r="N103" s="87"/>
      <c r="O103" s="87"/>
      <c r="P103" s="87"/>
      <c r="Q103" s="87"/>
      <c r="R103" s="87"/>
      <c r="S103" s="87"/>
    </row>
    <row r="104" spans="2:19" x14ac:dyDescent="0.25">
      <c r="B104" s="87"/>
      <c r="C104" s="87"/>
      <c r="D104" s="87"/>
      <c r="E104" s="87"/>
      <c r="F104" s="88"/>
      <c r="G104" s="87"/>
      <c r="H104" s="87"/>
      <c r="I104" s="87"/>
      <c r="J104" s="87"/>
      <c r="K104" s="87"/>
      <c r="L104" s="87"/>
      <c r="M104" s="87"/>
      <c r="N104" s="87"/>
      <c r="O104" s="87"/>
      <c r="P104" s="87"/>
      <c r="Q104" s="87"/>
      <c r="R104" s="87"/>
      <c r="S104" s="87"/>
    </row>
    <row r="105" spans="2:19" x14ac:dyDescent="0.25">
      <c r="B105" s="87"/>
      <c r="C105" s="87"/>
      <c r="D105" s="87"/>
      <c r="E105" s="87"/>
      <c r="F105" s="88"/>
      <c r="G105" s="87"/>
      <c r="H105" s="87"/>
      <c r="I105" s="87"/>
      <c r="J105" s="87"/>
      <c r="K105" s="87"/>
      <c r="L105" s="87"/>
      <c r="M105" s="87"/>
      <c r="N105" s="87"/>
      <c r="O105" s="87"/>
      <c r="P105" s="87"/>
      <c r="Q105" s="87"/>
      <c r="R105" s="87"/>
      <c r="S105" s="87"/>
    </row>
    <row r="106" spans="2:19" x14ac:dyDescent="0.25">
      <c r="B106" s="87"/>
      <c r="C106" s="87"/>
      <c r="D106" s="87"/>
      <c r="E106" s="87"/>
      <c r="F106" s="88"/>
      <c r="G106" s="87"/>
      <c r="H106" s="87"/>
      <c r="I106" s="87"/>
      <c r="J106" s="87"/>
      <c r="K106" s="87"/>
      <c r="L106" s="87"/>
      <c r="M106" s="87"/>
      <c r="N106" s="87"/>
      <c r="O106" s="87"/>
      <c r="P106" s="87"/>
      <c r="Q106" s="87"/>
      <c r="R106" s="87"/>
      <c r="S106" s="87"/>
    </row>
    <row r="107" spans="2:19" x14ac:dyDescent="0.25">
      <c r="B107" s="87"/>
      <c r="C107" s="87"/>
      <c r="D107" s="87"/>
      <c r="E107" s="87"/>
      <c r="F107" s="88"/>
      <c r="G107" s="87"/>
      <c r="H107" s="87"/>
      <c r="I107" s="87"/>
      <c r="J107" s="87"/>
      <c r="K107" s="87"/>
      <c r="L107" s="87"/>
      <c r="M107" s="87"/>
      <c r="N107" s="87"/>
      <c r="O107" s="87"/>
      <c r="P107" s="87"/>
      <c r="Q107" s="87"/>
      <c r="R107" s="87"/>
      <c r="S107" s="87"/>
    </row>
    <row r="108" spans="2:19" x14ac:dyDescent="0.25">
      <c r="B108" s="87"/>
      <c r="C108" s="87"/>
      <c r="D108" s="87"/>
      <c r="E108" s="87"/>
      <c r="F108" s="88"/>
      <c r="G108" s="87"/>
      <c r="H108" s="87"/>
      <c r="I108" s="87"/>
      <c r="J108" s="87"/>
      <c r="K108" s="87"/>
      <c r="L108" s="87"/>
      <c r="M108" s="87"/>
      <c r="N108" s="87"/>
      <c r="O108" s="87"/>
      <c r="P108" s="87"/>
      <c r="Q108" s="87"/>
      <c r="R108" s="87"/>
      <c r="S108" s="87"/>
    </row>
    <row r="109" spans="2:19" x14ac:dyDescent="0.25">
      <c r="B109" s="87"/>
      <c r="C109" s="87"/>
      <c r="D109" s="87"/>
      <c r="E109" s="87"/>
      <c r="F109" s="88"/>
      <c r="G109" s="87"/>
      <c r="H109" s="87"/>
      <c r="I109" s="87"/>
      <c r="J109" s="87"/>
      <c r="K109" s="87"/>
      <c r="L109" s="87"/>
      <c r="M109" s="87"/>
      <c r="N109" s="87"/>
      <c r="O109" s="87"/>
      <c r="P109" s="87"/>
      <c r="Q109" s="87"/>
      <c r="R109" s="87"/>
      <c r="S109" s="87"/>
    </row>
    <row r="110" spans="2:19" x14ac:dyDescent="0.25">
      <c r="B110" s="87"/>
      <c r="C110" s="87"/>
      <c r="D110" s="87"/>
      <c r="E110" s="87"/>
      <c r="F110" s="88"/>
      <c r="G110" s="87"/>
      <c r="H110" s="87"/>
      <c r="I110" s="87"/>
      <c r="J110" s="87"/>
      <c r="K110" s="87"/>
      <c r="L110" s="87"/>
      <c r="M110" s="87"/>
      <c r="N110" s="87"/>
      <c r="O110" s="87"/>
      <c r="P110" s="87"/>
      <c r="Q110" s="87"/>
      <c r="R110" s="87"/>
      <c r="S110" s="87"/>
    </row>
    <row r="111" spans="2:19" x14ac:dyDescent="0.25">
      <c r="B111" s="87"/>
      <c r="C111" s="87"/>
      <c r="D111" s="87"/>
      <c r="E111" s="87"/>
      <c r="F111" s="88"/>
      <c r="G111" s="87"/>
      <c r="H111" s="87"/>
      <c r="I111" s="87"/>
      <c r="J111" s="87"/>
      <c r="K111" s="87"/>
      <c r="L111" s="87"/>
      <c r="M111" s="87"/>
      <c r="N111" s="87"/>
      <c r="O111" s="87"/>
      <c r="P111" s="87"/>
      <c r="Q111" s="87"/>
      <c r="R111" s="87"/>
      <c r="S111" s="87"/>
    </row>
    <row r="112" spans="2:19" x14ac:dyDescent="0.25">
      <c r="B112" s="87"/>
      <c r="C112" s="87"/>
      <c r="D112" s="87"/>
      <c r="E112" s="87"/>
      <c r="F112" s="88"/>
      <c r="G112" s="87"/>
      <c r="H112" s="87"/>
      <c r="I112" s="87"/>
      <c r="J112" s="87"/>
      <c r="K112" s="87"/>
      <c r="L112" s="87"/>
      <c r="M112" s="87"/>
      <c r="N112" s="87"/>
      <c r="O112" s="87"/>
      <c r="P112" s="87"/>
      <c r="Q112" s="87"/>
      <c r="R112" s="87"/>
      <c r="S112" s="87"/>
    </row>
    <row r="113" spans="2:19" x14ac:dyDescent="0.25">
      <c r="B113" s="87"/>
      <c r="C113" s="87"/>
      <c r="D113" s="87"/>
      <c r="E113" s="87"/>
      <c r="F113" s="88"/>
      <c r="G113" s="87"/>
      <c r="H113" s="87"/>
      <c r="I113" s="87"/>
      <c r="J113" s="87"/>
      <c r="K113" s="87"/>
      <c r="L113" s="87"/>
      <c r="M113" s="87"/>
      <c r="N113" s="87"/>
      <c r="O113" s="87"/>
      <c r="P113" s="87"/>
      <c r="Q113" s="87"/>
      <c r="R113" s="87"/>
      <c r="S113" s="87"/>
    </row>
    <row r="114" spans="2:19" x14ac:dyDescent="0.25">
      <c r="B114" s="87"/>
      <c r="C114" s="87"/>
      <c r="D114" s="87"/>
      <c r="E114" s="87"/>
      <c r="F114" s="88"/>
      <c r="G114" s="87"/>
      <c r="H114" s="87"/>
      <c r="I114" s="87"/>
      <c r="J114" s="87"/>
      <c r="K114" s="87"/>
      <c r="L114" s="87"/>
      <c r="M114" s="87"/>
      <c r="N114" s="87"/>
      <c r="O114" s="87"/>
      <c r="P114" s="87"/>
      <c r="Q114" s="87"/>
      <c r="R114" s="87"/>
      <c r="S114" s="87"/>
    </row>
    <row r="115" spans="2:19" x14ac:dyDescent="0.25">
      <c r="B115" s="87"/>
      <c r="C115" s="87"/>
      <c r="D115" s="87"/>
      <c r="E115" s="87"/>
      <c r="F115" s="88"/>
      <c r="G115" s="87"/>
      <c r="H115" s="87"/>
      <c r="I115" s="87"/>
      <c r="J115" s="87"/>
      <c r="K115" s="87"/>
      <c r="L115" s="87"/>
      <c r="M115" s="87"/>
      <c r="N115" s="87"/>
      <c r="O115" s="87"/>
      <c r="P115" s="87"/>
      <c r="Q115" s="87"/>
      <c r="R115" s="87"/>
      <c r="S115" s="87"/>
    </row>
    <row r="116" spans="2:19" x14ac:dyDescent="0.25">
      <c r="B116" s="87"/>
      <c r="C116" s="87"/>
      <c r="D116" s="87"/>
      <c r="E116" s="87"/>
      <c r="F116" s="88"/>
      <c r="G116" s="87"/>
      <c r="H116" s="87"/>
      <c r="I116" s="87"/>
      <c r="J116" s="87"/>
      <c r="K116" s="87"/>
      <c r="L116" s="87"/>
      <c r="M116" s="87"/>
      <c r="N116" s="87"/>
      <c r="O116" s="87"/>
      <c r="P116" s="87"/>
      <c r="Q116" s="87"/>
      <c r="R116" s="87"/>
      <c r="S116" s="87"/>
    </row>
    <row r="117" spans="2:19" x14ac:dyDescent="0.25">
      <c r="B117" s="87"/>
      <c r="C117" s="87"/>
      <c r="D117" s="87"/>
      <c r="E117" s="87"/>
      <c r="F117" s="88"/>
      <c r="G117" s="87"/>
      <c r="H117" s="87"/>
      <c r="I117" s="87"/>
      <c r="J117" s="87"/>
      <c r="K117" s="87"/>
      <c r="L117" s="87"/>
      <c r="M117" s="87"/>
      <c r="N117" s="87"/>
      <c r="O117" s="87"/>
      <c r="P117" s="87"/>
      <c r="Q117" s="87"/>
      <c r="R117" s="87"/>
      <c r="S117" s="87"/>
    </row>
    <row r="118" spans="2:19" x14ac:dyDescent="0.25">
      <c r="B118" s="87"/>
      <c r="C118" s="87"/>
      <c r="D118" s="87"/>
      <c r="E118" s="87"/>
      <c r="F118" s="88"/>
      <c r="G118" s="87"/>
      <c r="H118" s="87"/>
      <c r="I118" s="87"/>
      <c r="J118" s="87"/>
      <c r="K118" s="87"/>
      <c r="L118" s="87"/>
      <c r="M118" s="87"/>
      <c r="N118" s="87"/>
      <c r="O118" s="87"/>
      <c r="P118" s="87"/>
      <c r="Q118" s="87"/>
      <c r="R118" s="87"/>
      <c r="S118" s="87"/>
    </row>
    <row r="119" spans="2:19" x14ac:dyDescent="0.25">
      <c r="B119" s="87"/>
      <c r="C119" s="87"/>
      <c r="D119" s="87"/>
      <c r="E119" s="87"/>
      <c r="F119" s="88"/>
      <c r="G119" s="87"/>
      <c r="H119" s="87"/>
      <c r="I119" s="87"/>
      <c r="J119" s="87"/>
      <c r="K119" s="87"/>
      <c r="L119" s="87"/>
      <c r="M119" s="87"/>
      <c r="N119" s="87"/>
      <c r="O119" s="87"/>
      <c r="P119" s="87"/>
      <c r="Q119" s="87"/>
      <c r="R119" s="87"/>
      <c r="S119" s="87"/>
    </row>
    <row r="120" spans="2:19" x14ac:dyDescent="0.25">
      <c r="B120" s="87"/>
      <c r="C120" s="87"/>
      <c r="D120" s="87"/>
      <c r="E120" s="87"/>
      <c r="F120" s="88"/>
      <c r="G120" s="87"/>
      <c r="H120" s="87"/>
      <c r="I120" s="87"/>
      <c r="J120" s="87"/>
      <c r="K120" s="87"/>
      <c r="L120" s="87"/>
      <c r="M120" s="87"/>
      <c r="N120" s="87"/>
      <c r="O120" s="87"/>
      <c r="P120" s="87"/>
      <c r="Q120" s="87"/>
      <c r="R120" s="87"/>
      <c r="S120" s="87"/>
    </row>
    <row r="121" spans="2:19" x14ac:dyDescent="0.25">
      <c r="B121" s="87"/>
      <c r="C121" s="87"/>
      <c r="D121" s="87"/>
      <c r="E121" s="87"/>
      <c r="F121" s="88"/>
      <c r="G121" s="87"/>
      <c r="H121" s="87"/>
      <c r="I121" s="87"/>
      <c r="J121" s="87"/>
      <c r="K121" s="87"/>
      <c r="L121" s="87"/>
      <c r="M121" s="87"/>
      <c r="N121" s="87"/>
      <c r="O121" s="87"/>
      <c r="P121" s="87"/>
      <c r="Q121" s="87"/>
      <c r="R121" s="87"/>
      <c r="S121" s="87"/>
    </row>
    <row r="122" spans="2:19" x14ac:dyDescent="0.25">
      <c r="B122" s="84"/>
      <c r="C122" s="84"/>
      <c r="D122" s="84"/>
      <c r="E122" s="84"/>
      <c r="F122" s="91"/>
      <c r="G122" s="84"/>
      <c r="H122" s="84"/>
      <c r="I122" s="84"/>
      <c r="J122" s="84"/>
      <c r="K122" s="84"/>
      <c r="L122" s="84"/>
      <c r="M122" s="84"/>
      <c r="N122" s="84"/>
      <c r="O122" s="84"/>
      <c r="P122" s="84"/>
      <c r="Q122" s="84"/>
      <c r="R122" s="84"/>
      <c r="S122" s="84"/>
    </row>
    <row r="123" spans="2:19" x14ac:dyDescent="0.25">
      <c r="B123" s="84"/>
      <c r="C123" s="84"/>
      <c r="D123" s="84"/>
      <c r="E123" s="84"/>
      <c r="F123" s="91"/>
      <c r="G123" s="84"/>
      <c r="H123" s="84"/>
      <c r="I123" s="84"/>
      <c r="J123" s="84"/>
      <c r="K123" s="84"/>
      <c r="L123" s="84"/>
      <c r="M123" s="84"/>
      <c r="N123" s="84"/>
      <c r="O123" s="84"/>
      <c r="P123" s="84"/>
      <c r="Q123" s="84"/>
      <c r="R123" s="84"/>
      <c r="S123" s="84"/>
    </row>
    <row r="124" spans="2:19" x14ac:dyDescent="0.25">
      <c r="B124" s="84"/>
      <c r="C124" s="84"/>
      <c r="D124" s="84"/>
      <c r="E124" s="84"/>
      <c r="F124" s="91"/>
      <c r="G124" s="84"/>
      <c r="H124" s="84"/>
      <c r="I124" s="84"/>
      <c r="J124" s="84"/>
      <c r="K124" s="84"/>
      <c r="L124" s="84"/>
      <c r="M124" s="84"/>
      <c r="N124" s="84"/>
      <c r="O124" s="84"/>
      <c r="P124" s="84"/>
      <c r="Q124" s="84"/>
      <c r="R124" s="84"/>
      <c r="S124" s="84"/>
    </row>
    <row r="125" spans="2:19" x14ac:dyDescent="0.25">
      <c r="B125" s="84"/>
      <c r="C125" s="84"/>
      <c r="D125" s="84"/>
      <c r="E125" s="84"/>
      <c r="F125" s="91"/>
      <c r="G125" s="84"/>
      <c r="H125" s="84"/>
      <c r="I125" s="84"/>
      <c r="J125" s="84"/>
      <c r="K125" s="84"/>
      <c r="L125" s="84"/>
      <c r="M125" s="84"/>
      <c r="N125" s="84"/>
      <c r="O125" s="84"/>
      <c r="P125" s="84"/>
      <c r="Q125" s="84"/>
      <c r="R125" s="84"/>
      <c r="S125" s="84"/>
    </row>
  </sheetData>
  <sheetProtection algorithmName="SHA-512" hashValue="my7opNOrGV3/IlRgOdlXvxvB/lI1zqat5+RAYHPnVfo8AGLDDfkAi9OIjRQgIYmRQ9sFAbJk+8W5vdFNEqxxpw==" saltValue="mQaO5izN7CniR+jaxR3Aew==" spinCount="100000" sheet="1" objects="1" scenarios="1"/>
  <customSheetViews>
    <customSheetView guid="{C8C7977F-B6BF-432B-A1A7-559450D521AF}" scale="90">
      <selection activeCell="A2" sqref="A2"/>
      <pageMargins left="0.7" right="0.7" top="0.75" bottom="0.75" header="0.3" footer="0.3"/>
    </customSheetView>
  </customSheetViews>
  <mergeCells count="33">
    <mergeCell ref="C58:E59"/>
    <mergeCell ref="F58:F59"/>
    <mergeCell ref="B66:E67"/>
    <mergeCell ref="F66:F67"/>
    <mergeCell ref="F50:F51"/>
    <mergeCell ref="C50:E51"/>
    <mergeCell ref="C52:E54"/>
    <mergeCell ref="C55:E56"/>
    <mergeCell ref="F52:F54"/>
    <mergeCell ref="F55:F56"/>
    <mergeCell ref="B39:E40"/>
    <mergeCell ref="F39:F40"/>
    <mergeCell ref="B1:M1"/>
    <mergeCell ref="B6:E7"/>
    <mergeCell ref="F6:F7"/>
    <mergeCell ref="G6:K7"/>
    <mergeCell ref="L6:P7"/>
    <mergeCell ref="F15:F17"/>
    <mergeCell ref="C15:E17"/>
    <mergeCell ref="B29:E30"/>
    <mergeCell ref="B26:E27"/>
    <mergeCell ref="F26:F27"/>
    <mergeCell ref="F29:F30"/>
    <mergeCell ref="G41:J41"/>
    <mergeCell ref="L41:O41"/>
    <mergeCell ref="R39:R40"/>
    <mergeCell ref="Q6:Q7"/>
    <mergeCell ref="R6:R7"/>
    <mergeCell ref="G39:K40"/>
    <mergeCell ref="L39:P40"/>
    <mergeCell ref="G8:J8"/>
    <mergeCell ref="L8:O8"/>
    <mergeCell ref="Q39:Q40"/>
  </mergeCells>
  <conditionalFormatting sqref="G12:R19 G77:R79 G45:R59 G21:R22 G25:R35 G61:R62 G65:R74">
    <cfRule type="expression" dxfId="61" priority="5" stopIfTrue="1">
      <formula>$Q$2="ex-ante"</formula>
    </cfRule>
  </conditionalFormatting>
  <conditionalFormatting sqref="G20:R20">
    <cfRule type="expression" dxfId="60" priority="4" stopIfTrue="1">
      <formula>$Q$2="ex-ante"</formula>
    </cfRule>
  </conditionalFormatting>
  <conditionalFormatting sqref="G23:R24">
    <cfRule type="expression" dxfId="59" priority="3" stopIfTrue="1">
      <formula>$Q$2="ex-ante"</formula>
    </cfRule>
  </conditionalFormatting>
  <conditionalFormatting sqref="G60:R60">
    <cfRule type="expression" dxfId="58" priority="2" stopIfTrue="1">
      <formula>$Q$2="ex-ante"</formula>
    </cfRule>
  </conditionalFormatting>
  <conditionalFormatting sqref="G63:R64">
    <cfRule type="expression" dxfId="57" priority="1" stopIfTrue="1">
      <formula>$Q$2="ex-ante"</formula>
    </cfRule>
  </conditionalFormatting>
  <pageMargins left="0.70866141732283472" right="0.70866141732283472" top="0.74803149606299213" bottom="0.74803149606299213" header="0.31496062992125984" footer="0.31496062992125984"/>
  <pageSetup paperSize="8" scale="54" orientation="landscape" r:id="rId1"/>
  <colBreaks count="1" manualBreakCount="1">
    <brk id="18" max="121" man="1"/>
  </colBreaks>
  <ignoredErrors>
    <ignoredError sqref="R47:R49 R14 R18:R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pageSetUpPr fitToPage="1"/>
  </sheetPr>
  <dimension ref="A1:H902"/>
  <sheetViews>
    <sheetView topLeftCell="A22" zoomScale="90" zoomScaleNormal="90" workbookViewId="0">
      <selection activeCell="B19" sqref="B19"/>
    </sheetView>
  </sheetViews>
  <sheetFormatPr defaultColWidth="9.1796875" defaultRowHeight="12.5" x14ac:dyDescent="0.25"/>
  <cols>
    <col min="1" max="1" width="52.453125" style="723" customWidth="1"/>
    <col min="2" max="3" width="25.7265625" style="723" customWidth="1"/>
    <col min="4" max="4" width="24.54296875" style="723" customWidth="1"/>
    <col min="5" max="5" width="19.7265625" style="723" customWidth="1"/>
    <col min="6" max="27" width="9.1796875" style="723"/>
    <col min="28" max="28" width="13.7265625" style="723" customWidth="1"/>
    <col min="29" max="16384" width="9.1796875" style="723"/>
  </cols>
  <sheetData>
    <row r="1" spans="1:8" s="301" customFormat="1" ht="21.65" customHeight="1" thickBot="1" x14ac:dyDescent="0.3">
      <c r="A1" s="1160" t="s">
        <v>365</v>
      </c>
      <c r="B1" s="1161"/>
      <c r="C1" s="1161"/>
      <c r="D1" s="1161"/>
      <c r="E1" s="1162"/>
      <c r="F1" s="294"/>
      <c r="G1" s="294"/>
      <c r="H1" s="294"/>
    </row>
    <row r="2" spans="1:8" s="167" customFormat="1" ht="13" thickBot="1" x14ac:dyDescent="0.3"/>
    <row r="3" spans="1:8" s="167" customFormat="1" ht="13" thickBot="1" x14ac:dyDescent="0.3">
      <c r="A3" s="297" t="s">
        <v>12</v>
      </c>
      <c r="C3" s="297" t="s">
        <v>13</v>
      </c>
      <c r="D3" s="722">
        <f>TITELBLAD!E13</f>
        <v>2021</v>
      </c>
    </row>
    <row r="4" spans="1:8" s="167" customFormat="1" ht="13" thickBot="1" x14ac:dyDescent="0.3">
      <c r="C4" s="297" t="s">
        <v>14</v>
      </c>
      <c r="D4" s="722">
        <f>TITELBLAD!E14</f>
        <v>2024</v>
      </c>
    </row>
    <row r="5" spans="1:8" s="167" customFormat="1" ht="13" thickBot="1" x14ac:dyDescent="0.3"/>
    <row r="6" spans="1:8" s="167" customFormat="1" ht="13" thickBot="1" x14ac:dyDescent="0.3">
      <c r="A6" s="212" t="s">
        <v>105</v>
      </c>
      <c r="D6" s="722">
        <f>TITELBLAD!E16</f>
        <v>2021</v>
      </c>
      <c r="E6" s="722" t="str">
        <f>+TITELBLAD!F16</f>
        <v>ex-ante</v>
      </c>
      <c r="F6" s="301"/>
      <c r="G6" s="301"/>
    </row>
    <row r="7" spans="1:8" s="167" customFormat="1" x14ac:dyDescent="0.25"/>
    <row r="8" spans="1:8" s="167" customFormat="1" ht="13" thickBot="1" x14ac:dyDescent="0.3">
      <c r="A8" s="297" t="s">
        <v>15</v>
      </c>
    </row>
    <row r="9" spans="1:8" s="167" customFormat="1" ht="13.5" thickBot="1" x14ac:dyDescent="0.3">
      <c r="A9" s="1176" t="str">
        <f>TITELBLAD!C7</f>
        <v>NAAM DNB</v>
      </c>
      <c r="B9" s="1177"/>
      <c r="C9" s="1177"/>
      <c r="D9" s="1178"/>
    </row>
    <row r="10" spans="1:8" s="167" customFormat="1" x14ac:dyDescent="0.25"/>
    <row r="11" spans="1:8" s="167" customFormat="1" ht="13" thickBot="1" x14ac:dyDescent="0.3">
      <c r="A11" s="297" t="s">
        <v>192</v>
      </c>
    </row>
    <row r="12" spans="1:8" s="167" customFormat="1" ht="13.5" thickBot="1" x14ac:dyDescent="0.3">
      <c r="A12" s="1179" t="str">
        <f>TITELBLAD!C10</f>
        <v>elektriciteit</v>
      </c>
      <c r="B12" s="1180"/>
      <c r="C12" s="1180"/>
      <c r="D12" s="1181"/>
    </row>
    <row r="13" spans="1:8" s="167" customFormat="1" x14ac:dyDescent="0.25"/>
    <row r="14" spans="1:8" s="167" customFormat="1" ht="13" x14ac:dyDescent="0.25">
      <c r="A14" s="358" t="s">
        <v>145</v>
      </c>
    </row>
    <row r="15" spans="1:8" s="167" customFormat="1" ht="13.5" thickBot="1" x14ac:dyDescent="0.3">
      <c r="A15" s="358"/>
    </row>
    <row r="16" spans="1:8" s="167" customFormat="1" ht="52.5" thickBot="1" x14ac:dyDescent="0.3">
      <c r="A16" s="358"/>
      <c r="B16" s="1182" t="s">
        <v>199</v>
      </c>
      <c r="C16" s="1183"/>
      <c r="D16" s="936" t="str">
        <f>+'T3'!B222</f>
        <v>Totale werkelijke ontvangsten uit periodieke distributienettarieven voor exogene kosten</v>
      </c>
      <c r="E16" s="936" t="s">
        <v>404</v>
      </c>
    </row>
    <row r="17" spans="1:6" s="167" customFormat="1" ht="13.5" thickBot="1" x14ac:dyDescent="0.3">
      <c r="B17" s="937" t="s">
        <v>0</v>
      </c>
      <c r="C17" s="938" t="s">
        <v>1</v>
      </c>
      <c r="D17" s="1184">
        <f>+D6</f>
        <v>2021</v>
      </c>
      <c r="E17" s="1184">
        <f>+D6</f>
        <v>2021</v>
      </c>
    </row>
    <row r="18" spans="1:6" s="167" customFormat="1" ht="13.5" thickBot="1" x14ac:dyDescent="0.3">
      <c r="A18" s="953" t="s">
        <v>17</v>
      </c>
      <c r="B18" s="939">
        <f>D6</f>
        <v>2021</v>
      </c>
      <c r="C18" s="940">
        <f>D6</f>
        <v>2021</v>
      </c>
      <c r="D18" s="1185"/>
      <c r="E18" s="1185"/>
    </row>
    <row r="19" spans="1:6" s="167" customFormat="1" ht="27.75" customHeight="1" x14ac:dyDescent="0.25">
      <c r="A19" s="954" t="s">
        <v>69</v>
      </c>
      <c r="B19" s="941">
        <f>+'T3'!D208</f>
        <v>0</v>
      </c>
      <c r="C19" s="942">
        <f>+'T3'!E208</f>
        <v>0</v>
      </c>
      <c r="D19" s="949">
        <f>+'T3'!E224</f>
        <v>0</v>
      </c>
      <c r="E19" s="949">
        <f>+'T3'!E235</f>
        <v>0</v>
      </c>
    </row>
    <row r="20" spans="1:6" s="167" customFormat="1" ht="31.5" customHeight="1" x14ac:dyDescent="0.25">
      <c r="A20" s="954" t="s">
        <v>70</v>
      </c>
      <c r="B20" s="941">
        <f>+'T3'!D209</f>
        <v>0</v>
      </c>
      <c r="C20" s="942">
        <f>+'T3'!E209</f>
        <v>0</v>
      </c>
      <c r="D20" s="949">
        <f>+'T3'!E225</f>
        <v>0</v>
      </c>
      <c r="E20" s="949">
        <f>+'T3'!E236</f>
        <v>0</v>
      </c>
    </row>
    <row r="21" spans="1:6" s="167" customFormat="1" ht="30.75" customHeight="1" x14ac:dyDescent="0.25">
      <c r="A21" s="954" t="s">
        <v>193</v>
      </c>
      <c r="B21" s="941">
        <f>+'T3'!D210</f>
        <v>0</v>
      </c>
      <c r="C21" s="942">
        <f>+'T3'!E210</f>
        <v>0</v>
      </c>
      <c r="D21" s="949">
        <f>+'T3'!E226</f>
        <v>0</v>
      </c>
      <c r="E21" s="949">
        <f>+'T3'!E237</f>
        <v>0</v>
      </c>
    </row>
    <row r="22" spans="1:6" s="167" customFormat="1" ht="26.25" customHeight="1" x14ac:dyDescent="0.25">
      <c r="A22" s="955" t="s">
        <v>71</v>
      </c>
      <c r="B22" s="941">
        <f>+'T3'!D211</f>
        <v>0</v>
      </c>
      <c r="C22" s="942">
        <f>+'T3'!E211</f>
        <v>0</v>
      </c>
      <c r="D22" s="949">
        <f>+'T3'!E227</f>
        <v>0</v>
      </c>
      <c r="E22" s="949">
        <f>+'T3'!E238</f>
        <v>0</v>
      </c>
    </row>
    <row r="23" spans="1:6" s="167" customFormat="1" ht="29.25" customHeight="1" x14ac:dyDescent="0.25">
      <c r="A23" s="956" t="s">
        <v>194</v>
      </c>
      <c r="B23" s="941">
        <f>+'T3'!D212</f>
        <v>0</v>
      </c>
      <c r="C23" s="942">
        <f>+'T3'!E212</f>
        <v>0</v>
      </c>
      <c r="D23" s="949">
        <f>+'T3'!E231</f>
        <v>0</v>
      </c>
      <c r="E23" s="949">
        <f>+'T3'!E242</f>
        <v>0</v>
      </c>
    </row>
    <row r="24" spans="1:6" s="167" customFormat="1" ht="26.25" customHeight="1" x14ac:dyDescent="0.25">
      <c r="A24" s="955" t="s">
        <v>72</v>
      </c>
      <c r="B24" s="941">
        <f>+'T3'!D213</f>
        <v>0</v>
      </c>
      <c r="C24" s="942">
        <f>+'T3'!E213</f>
        <v>0</v>
      </c>
      <c r="D24" s="949">
        <f>+'T3'!E228</f>
        <v>0</v>
      </c>
      <c r="E24" s="949">
        <f>+'T3'!E239</f>
        <v>0</v>
      </c>
    </row>
    <row r="25" spans="1:6" s="167" customFormat="1" ht="26.25" customHeight="1" x14ac:dyDescent="0.25">
      <c r="A25" s="955" t="s">
        <v>73</v>
      </c>
      <c r="B25" s="941">
        <f>+'T3'!D214</f>
        <v>0</v>
      </c>
      <c r="C25" s="942">
        <f>+'T3'!E214</f>
        <v>0</v>
      </c>
      <c r="D25" s="949">
        <f>+'T3'!E229</f>
        <v>0</v>
      </c>
      <c r="E25" s="949">
        <f>+'T3'!E240</f>
        <v>0</v>
      </c>
    </row>
    <row r="26" spans="1:6" s="167" customFormat="1" ht="42.75" customHeight="1" x14ac:dyDescent="0.25">
      <c r="A26" s="955" t="s">
        <v>74</v>
      </c>
      <c r="B26" s="941">
        <f>+'T3'!D215</f>
        <v>0</v>
      </c>
      <c r="C26" s="942">
        <f>+'T3'!E215</f>
        <v>0</v>
      </c>
      <c r="D26" s="949">
        <f>+'T3'!E230</f>
        <v>0</v>
      </c>
      <c r="E26" s="949">
        <f>+'T3'!E241</f>
        <v>0</v>
      </c>
    </row>
    <row r="27" spans="1:6" s="167" customFormat="1" x14ac:dyDescent="0.25">
      <c r="A27" s="957"/>
      <c r="B27" s="943"/>
      <c r="C27" s="944"/>
      <c r="D27" s="950"/>
      <c r="E27" s="950"/>
    </row>
    <row r="28" spans="1:6" s="167" customFormat="1" ht="27" customHeight="1" x14ac:dyDescent="0.25">
      <c r="A28" s="958" t="s">
        <v>405</v>
      </c>
      <c r="B28" s="945">
        <f>SUM(B24:B26,B19:B22)</f>
        <v>0</v>
      </c>
      <c r="C28" s="946">
        <f>SUM(C24:C26,C19:C22)</f>
        <v>0</v>
      </c>
      <c r="D28" s="951">
        <f>SUM(D24:D26,D19:D22)</f>
        <v>0</v>
      </c>
      <c r="E28" s="951">
        <f>SUM(E24:E26,E19:E22)</f>
        <v>0</v>
      </c>
      <c r="F28" s="564"/>
    </row>
    <row r="29" spans="1:6" s="167" customFormat="1" ht="27" customHeight="1" x14ac:dyDescent="0.25">
      <c r="A29" s="958" t="s">
        <v>406</v>
      </c>
      <c r="B29" s="945">
        <f>SUM(B23)</f>
        <v>0</v>
      </c>
      <c r="C29" s="946">
        <f>SUM(C23)</f>
        <v>0</v>
      </c>
      <c r="D29" s="951">
        <f>SUM(D23)</f>
        <v>0</v>
      </c>
      <c r="E29" s="951">
        <f>SUM(E23)</f>
        <v>0</v>
      </c>
      <c r="F29" s="564"/>
    </row>
    <row r="30" spans="1:6" s="167" customFormat="1" ht="27" customHeight="1" thickBot="1" x14ac:dyDescent="0.3">
      <c r="A30" s="959" t="s">
        <v>20</v>
      </c>
      <c r="B30" s="947">
        <f>SUM(B28:B29)</f>
        <v>0</v>
      </c>
      <c r="C30" s="948">
        <f>SUM(C28:C29)</f>
        <v>0</v>
      </c>
      <c r="D30" s="952">
        <f>SUM(D28:D29)</f>
        <v>0</v>
      </c>
      <c r="E30" s="952">
        <f>SUM(E28:E29)</f>
        <v>0</v>
      </c>
      <c r="F30" s="564"/>
    </row>
    <row r="31" spans="1:6" s="167" customFormat="1" ht="13" x14ac:dyDescent="0.25">
      <c r="A31" s="224"/>
      <c r="B31" s="642"/>
      <c r="C31" s="642"/>
      <c r="D31" s="642"/>
      <c r="E31" s="642"/>
    </row>
    <row r="32" spans="1:6" s="167" customFormat="1" x14ac:dyDescent="0.25"/>
    <row r="33" s="167" customFormat="1" x14ac:dyDescent="0.25"/>
    <row r="34" s="167" customFormat="1" x14ac:dyDescent="0.25"/>
    <row r="35" s="167" customFormat="1" x14ac:dyDescent="0.25"/>
    <row r="36" s="167" customFormat="1" x14ac:dyDescent="0.25"/>
    <row r="37" s="167" customFormat="1" x14ac:dyDescent="0.25"/>
    <row r="38" s="167" customFormat="1" x14ac:dyDescent="0.25"/>
    <row r="39" s="167" customFormat="1" x14ac:dyDescent="0.25"/>
    <row r="40" s="167" customFormat="1" x14ac:dyDescent="0.25"/>
    <row r="41" s="167" customFormat="1" x14ac:dyDescent="0.25"/>
    <row r="42" s="167" customFormat="1" x14ac:dyDescent="0.25"/>
    <row r="43" s="167" customFormat="1" x14ac:dyDescent="0.25"/>
    <row r="44" s="167" customFormat="1" x14ac:dyDescent="0.25"/>
    <row r="45" s="167" customFormat="1" x14ac:dyDescent="0.25"/>
    <row r="46" s="167" customFormat="1" x14ac:dyDescent="0.25"/>
    <row r="47" s="167" customFormat="1" x14ac:dyDescent="0.25"/>
    <row r="48" s="167" customFormat="1" x14ac:dyDescent="0.25"/>
    <row r="49" s="167" customFormat="1" x14ac:dyDescent="0.25"/>
    <row r="50" s="167" customFormat="1" x14ac:dyDescent="0.25"/>
    <row r="51" s="167" customFormat="1" x14ac:dyDescent="0.25"/>
    <row r="52" s="167" customFormat="1" x14ac:dyDescent="0.25"/>
    <row r="53" s="167" customFormat="1" x14ac:dyDescent="0.25"/>
    <row r="54" s="167" customFormat="1" x14ac:dyDescent="0.25"/>
    <row r="55" s="167" customFormat="1" x14ac:dyDescent="0.25"/>
    <row r="56" s="167" customFormat="1" x14ac:dyDescent="0.25"/>
    <row r="57" s="167" customFormat="1" x14ac:dyDescent="0.25"/>
    <row r="58" s="167" customFormat="1" x14ac:dyDescent="0.25"/>
    <row r="59" s="167" customFormat="1" x14ac:dyDescent="0.25"/>
    <row r="60" s="167" customFormat="1" x14ac:dyDescent="0.25"/>
    <row r="61" s="167" customFormat="1" x14ac:dyDescent="0.25"/>
    <row r="62" s="167" customFormat="1" x14ac:dyDescent="0.25"/>
    <row r="63" s="167" customFormat="1" x14ac:dyDescent="0.25"/>
    <row r="64" s="167" customFormat="1" x14ac:dyDescent="0.25"/>
    <row r="65" s="167" customFormat="1" x14ac:dyDescent="0.25"/>
    <row r="66" s="167" customFormat="1" x14ac:dyDescent="0.25"/>
    <row r="67" s="167" customFormat="1" x14ac:dyDescent="0.25"/>
    <row r="68" s="167" customFormat="1" x14ac:dyDescent="0.25"/>
    <row r="69" s="167" customFormat="1" x14ac:dyDescent="0.25"/>
    <row r="70" s="167" customFormat="1" x14ac:dyDescent="0.25"/>
    <row r="71" s="167" customFormat="1" x14ac:dyDescent="0.25"/>
    <row r="72" s="167" customFormat="1" x14ac:dyDescent="0.25"/>
    <row r="73" s="167" customFormat="1" x14ac:dyDescent="0.25"/>
    <row r="74" s="167" customFormat="1" x14ac:dyDescent="0.25"/>
    <row r="75" s="167" customFormat="1" x14ac:dyDescent="0.25"/>
    <row r="76" s="167" customFormat="1" x14ac:dyDescent="0.25"/>
    <row r="77" s="167" customFormat="1" x14ac:dyDescent="0.25"/>
    <row r="78" s="167" customFormat="1" x14ac:dyDescent="0.25"/>
    <row r="79" s="167" customFormat="1" x14ac:dyDescent="0.25"/>
    <row r="80" s="167" customFormat="1" x14ac:dyDescent="0.25"/>
    <row r="81" s="167" customFormat="1" x14ac:dyDescent="0.25"/>
    <row r="82" s="167" customFormat="1" x14ac:dyDescent="0.25"/>
    <row r="83" s="167" customFormat="1" x14ac:dyDescent="0.25"/>
    <row r="84" s="167" customFormat="1" x14ac:dyDescent="0.25"/>
    <row r="85" s="167" customFormat="1" x14ac:dyDescent="0.25"/>
    <row r="86" s="167" customFormat="1" x14ac:dyDescent="0.25"/>
    <row r="87" s="167" customFormat="1" x14ac:dyDescent="0.25"/>
    <row r="88" s="167" customFormat="1" x14ac:dyDescent="0.25"/>
    <row r="89" s="167" customFormat="1" x14ac:dyDescent="0.25"/>
    <row r="90" s="167" customFormat="1" x14ac:dyDescent="0.25"/>
    <row r="91" s="167" customFormat="1" x14ac:dyDescent="0.25"/>
    <row r="92" s="167" customFormat="1" x14ac:dyDescent="0.25"/>
    <row r="93" s="167" customFormat="1" x14ac:dyDescent="0.25"/>
    <row r="94" s="167" customFormat="1" x14ac:dyDescent="0.25"/>
    <row r="95" s="167" customFormat="1" x14ac:dyDescent="0.25"/>
    <row r="96" s="167" customFormat="1" x14ac:dyDescent="0.25"/>
    <row r="97" s="167" customFormat="1" x14ac:dyDescent="0.25"/>
    <row r="98" s="167" customFormat="1" x14ac:dyDescent="0.25"/>
    <row r="99" s="167" customFormat="1" x14ac:dyDescent="0.25"/>
    <row r="100" s="167" customFormat="1" x14ac:dyDescent="0.25"/>
    <row r="101" s="167" customFormat="1" x14ac:dyDescent="0.25"/>
    <row r="102" s="167" customFormat="1" x14ac:dyDescent="0.25"/>
    <row r="103" s="167" customFormat="1" x14ac:dyDescent="0.25"/>
    <row r="104" s="167" customFormat="1" x14ac:dyDescent="0.25"/>
    <row r="105" s="167" customFormat="1" x14ac:dyDescent="0.25"/>
    <row r="106" s="167" customFormat="1" x14ac:dyDescent="0.25"/>
    <row r="107" s="167" customFormat="1" x14ac:dyDescent="0.25"/>
    <row r="108" s="167" customFormat="1" x14ac:dyDescent="0.25"/>
    <row r="109" s="167" customFormat="1" x14ac:dyDescent="0.25"/>
    <row r="110" s="167" customFormat="1" x14ac:dyDescent="0.25"/>
    <row r="111" s="167" customFormat="1" x14ac:dyDescent="0.25"/>
    <row r="112" s="167" customFormat="1" x14ac:dyDescent="0.25"/>
    <row r="113" s="167" customFormat="1" x14ac:dyDescent="0.25"/>
    <row r="114" s="167" customFormat="1" x14ac:dyDescent="0.25"/>
    <row r="115" s="167" customFormat="1" x14ac:dyDescent="0.25"/>
    <row r="116" s="167" customFormat="1" x14ac:dyDescent="0.25"/>
    <row r="117" s="167" customFormat="1" x14ac:dyDescent="0.25"/>
    <row r="118" s="167" customFormat="1" x14ac:dyDescent="0.25"/>
    <row r="119" s="167" customFormat="1" x14ac:dyDescent="0.25"/>
    <row r="120" s="167" customFormat="1" x14ac:dyDescent="0.25"/>
    <row r="121" s="167" customFormat="1" x14ac:dyDescent="0.25"/>
    <row r="122" s="167" customFormat="1" x14ac:dyDescent="0.25"/>
    <row r="123" s="167" customFormat="1" x14ac:dyDescent="0.25"/>
    <row r="124" s="167" customFormat="1" x14ac:dyDescent="0.25"/>
    <row r="125" s="167" customFormat="1" x14ac:dyDescent="0.25"/>
    <row r="126" s="167" customFormat="1" x14ac:dyDescent="0.25"/>
    <row r="127" s="167" customFormat="1" x14ac:dyDescent="0.25"/>
    <row r="128" s="167" customFormat="1" x14ac:dyDescent="0.25"/>
    <row r="129" s="167" customFormat="1" x14ac:dyDescent="0.25"/>
    <row r="130" s="167" customFormat="1" x14ac:dyDescent="0.25"/>
    <row r="131" s="167" customFormat="1" x14ac:dyDescent="0.25"/>
    <row r="132" s="167" customFormat="1" x14ac:dyDescent="0.25"/>
    <row r="133" s="167" customFormat="1" x14ac:dyDescent="0.25"/>
    <row r="134" s="167" customFormat="1" x14ac:dyDescent="0.25"/>
    <row r="135" s="167" customFormat="1" x14ac:dyDescent="0.25"/>
    <row r="136" s="167" customFormat="1" x14ac:dyDescent="0.25"/>
    <row r="137" s="167" customFormat="1" x14ac:dyDescent="0.25"/>
    <row r="138" s="167" customFormat="1" x14ac:dyDescent="0.25"/>
    <row r="139" s="167" customFormat="1" x14ac:dyDescent="0.25"/>
    <row r="140" s="167" customFormat="1" x14ac:dyDescent="0.25"/>
    <row r="141" s="167" customFormat="1" x14ac:dyDescent="0.25"/>
    <row r="142" s="167" customFormat="1" x14ac:dyDescent="0.25"/>
    <row r="143" s="167" customFormat="1" x14ac:dyDescent="0.25"/>
    <row r="144" s="167" customFormat="1" x14ac:dyDescent="0.25"/>
    <row r="145" s="167" customFormat="1" x14ac:dyDescent="0.25"/>
    <row r="146" s="167" customFormat="1" x14ac:dyDescent="0.25"/>
    <row r="147" s="167" customFormat="1" x14ac:dyDescent="0.25"/>
    <row r="148" s="167" customFormat="1" x14ac:dyDescent="0.25"/>
    <row r="149" s="167" customFormat="1" x14ac:dyDescent="0.25"/>
    <row r="150" s="167" customFormat="1" x14ac:dyDescent="0.25"/>
    <row r="151" s="167" customFormat="1" x14ac:dyDescent="0.25"/>
    <row r="152" s="167" customFormat="1" x14ac:dyDescent="0.25"/>
    <row r="153" s="167" customFormat="1" x14ac:dyDescent="0.25"/>
    <row r="154" s="167" customFormat="1" x14ac:dyDescent="0.25"/>
    <row r="155" s="167" customFormat="1" x14ac:dyDescent="0.25"/>
    <row r="156" s="167" customFormat="1" x14ac:dyDescent="0.25"/>
    <row r="157" s="167" customFormat="1" x14ac:dyDescent="0.25"/>
    <row r="158" s="167" customFormat="1" x14ac:dyDescent="0.25"/>
    <row r="159" s="167" customFormat="1" x14ac:dyDescent="0.25"/>
    <row r="160" s="167" customFormat="1" x14ac:dyDescent="0.25"/>
    <row r="161" s="167" customFormat="1" x14ac:dyDescent="0.25"/>
    <row r="162" s="167" customFormat="1" x14ac:dyDescent="0.25"/>
    <row r="163" s="167" customFormat="1" x14ac:dyDescent="0.25"/>
    <row r="164" s="167" customFormat="1" x14ac:dyDescent="0.25"/>
    <row r="165" s="167" customFormat="1" x14ac:dyDescent="0.25"/>
    <row r="166" s="167" customFormat="1" x14ac:dyDescent="0.25"/>
    <row r="167" s="167" customFormat="1" x14ac:dyDescent="0.25"/>
    <row r="168" s="167" customFormat="1" x14ac:dyDescent="0.25"/>
    <row r="169" s="167" customFormat="1" x14ac:dyDescent="0.25"/>
    <row r="170" s="167" customFormat="1" x14ac:dyDescent="0.25"/>
    <row r="171" s="167" customFormat="1" x14ac:dyDescent="0.25"/>
    <row r="172" s="167" customFormat="1" x14ac:dyDescent="0.25"/>
    <row r="173" s="167" customFormat="1" x14ac:dyDescent="0.25"/>
    <row r="174" s="167" customFormat="1" x14ac:dyDescent="0.25"/>
    <row r="175" s="167" customFormat="1" x14ac:dyDescent="0.25"/>
    <row r="176" s="167" customFormat="1" x14ac:dyDescent="0.25"/>
    <row r="177" s="167" customFormat="1" x14ac:dyDescent="0.25"/>
    <row r="178" s="167" customFormat="1" x14ac:dyDescent="0.25"/>
    <row r="179" s="167" customFormat="1" x14ac:dyDescent="0.25"/>
    <row r="180" s="167" customFormat="1" x14ac:dyDescent="0.25"/>
    <row r="181" s="167" customFormat="1" x14ac:dyDescent="0.25"/>
    <row r="182" s="167" customFormat="1" x14ac:dyDescent="0.25"/>
    <row r="183" s="167" customFormat="1" x14ac:dyDescent="0.25"/>
    <row r="184" s="167" customFormat="1" x14ac:dyDescent="0.25"/>
    <row r="185" s="167" customFormat="1" x14ac:dyDescent="0.25"/>
    <row r="186" s="167" customFormat="1" x14ac:dyDescent="0.25"/>
    <row r="187" s="167" customFormat="1" x14ac:dyDescent="0.25"/>
    <row r="188" s="167" customFormat="1" x14ac:dyDescent="0.25"/>
    <row r="189" s="167" customFormat="1" x14ac:dyDescent="0.25"/>
    <row r="190" s="167" customFormat="1" x14ac:dyDescent="0.25"/>
    <row r="191" s="167" customFormat="1" x14ac:dyDescent="0.25"/>
    <row r="192" s="167" customFormat="1" x14ac:dyDescent="0.25"/>
    <row r="193" s="167" customFormat="1" x14ac:dyDescent="0.25"/>
    <row r="194" s="167" customFormat="1" x14ac:dyDescent="0.25"/>
    <row r="195" s="167" customFormat="1" x14ac:dyDescent="0.25"/>
    <row r="196" s="167" customFormat="1" x14ac:dyDescent="0.25"/>
    <row r="197" s="167" customFormat="1" x14ac:dyDescent="0.25"/>
    <row r="198" s="167" customFormat="1" x14ac:dyDescent="0.25"/>
    <row r="199" s="167" customFormat="1" x14ac:dyDescent="0.25"/>
    <row r="200" s="167" customFormat="1" x14ac:dyDescent="0.25"/>
    <row r="201" s="167" customFormat="1" x14ac:dyDescent="0.25"/>
    <row r="202" s="167" customFormat="1" x14ac:dyDescent="0.25"/>
    <row r="203" s="167" customFormat="1" x14ac:dyDescent="0.25"/>
    <row r="204" s="167" customFormat="1" x14ac:dyDescent="0.25"/>
    <row r="205" s="167" customFormat="1" x14ac:dyDescent="0.25"/>
    <row r="206" s="167" customFormat="1" x14ac:dyDescent="0.25"/>
    <row r="207" s="167" customFormat="1" x14ac:dyDescent="0.25"/>
    <row r="208" s="167" customFormat="1" x14ac:dyDescent="0.25"/>
    <row r="209" s="167" customFormat="1" x14ac:dyDescent="0.25"/>
    <row r="210" s="167" customFormat="1" x14ac:dyDescent="0.25"/>
    <row r="211" s="167" customFormat="1" x14ac:dyDescent="0.25"/>
    <row r="212" s="167" customFormat="1" x14ac:dyDescent="0.25"/>
    <row r="213" s="167" customFormat="1" x14ac:dyDescent="0.25"/>
    <row r="214" s="167" customFormat="1" x14ac:dyDescent="0.25"/>
    <row r="215" s="167" customFormat="1" x14ac:dyDescent="0.25"/>
    <row r="216" s="167" customFormat="1" x14ac:dyDescent="0.25"/>
    <row r="217" s="167" customFormat="1" x14ac:dyDescent="0.25"/>
    <row r="218" s="167" customFormat="1" x14ac:dyDescent="0.25"/>
    <row r="219" s="167" customFormat="1" x14ac:dyDescent="0.25"/>
    <row r="220" s="167" customFormat="1" x14ac:dyDescent="0.25"/>
    <row r="221" s="167" customFormat="1" x14ac:dyDescent="0.25"/>
    <row r="222" s="167" customFormat="1" x14ac:dyDescent="0.25"/>
    <row r="223" s="167" customFormat="1" x14ac:dyDescent="0.25"/>
    <row r="224" s="167" customFormat="1" x14ac:dyDescent="0.25"/>
    <row r="225" s="167" customFormat="1" x14ac:dyDescent="0.25"/>
    <row r="226" s="167" customFormat="1" x14ac:dyDescent="0.25"/>
    <row r="227" s="167" customFormat="1" x14ac:dyDescent="0.25"/>
    <row r="228" s="167" customFormat="1" x14ac:dyDescent="0.25"/>
    <row r="229" s="167" customFormat="1" x14ac:dyDescent="0.25"/>
    <row r="230" s="167" customFormat="1" x14ac:dyDescent="0.25"/>
    <row r="231" s="167" customFormat="1" x14ac:dyDescent="0.25"/>
    <row r="232" s="167" customFormat="1" x14ac:dyDescent="0.25"/>
    <row r="233" s="167" customFormat="1" x14ac:dyDescent="0.25"/>
    <row r="234" s="167" customFormat="1" x14ac:dyDescent="0.25"/>
    <row r="235" s="167" customFormat="1" x14ac:dyDescent="0.25"/>
    <row r="236" s="167" customFormat="1" x14ac:dyDescent="0.25"/>
    <row r="237" s="167" customFormat="1" x14ac:dyDescent="0.25"/>
    <row r="238" s="167" customFormat="1" x14ac:dyDescent="0.25"/>
    <row r="239" s="167" customFormat="1" x14ac:dyDescent="0.25"/>
    <row r="240" s="167" customFormat="1" x14ac:dyDescent="0.25"/>
    <row r="241" s="167" customFormat="1" x14ac:dyDescent="0.25"/>
    <row r="242" s="167" customFormat="1" x14ac:dyDescent="0.25"/>
    <row r="243" s="167" customFormat="1" x14ac:dyDescent="0.25"/>
    <row r="244" s="167" customFormat="1" x14ac:dyDescent="0.25"/>
    <row r="245" s="167" customFormat="1" x14ac:dyDescent="0.25"/>
    <row r="246" s="167" customFormat="1" x14ac:dyDescent="0.25"/>
    <row r="247" s="167" customFormat="1" x14ac:dyDescent="0.25"/>
    <row r="248" s="167" customFormat="1" x14ac:dyDescent="0.25"/>
    <row r="249" s="167" customFormat="1" x14ac:dyDescent="0.25"/>
    <row r="250" s="167" customFormat="1" x14ac:dyDescent="0.25"/>
    <row r="251" s="167" customFormat="1" x14ac:dyDescent="0.25"/>
    <row r="252" s="167" customFormat="1" x14ac:dyDescent="0.25"/>
    <row r="253" s="167" customFormat="1" x14ac:dyDescent="0.25"/>
    <row r="254" s="167" customFormat="1" x14ac:dyDescent="0.25"/>
    <row r="255" s="167" customFormat="1" x14ac:dyDescent="0.25"/>
    <row r="256" s="167" customFormat="1" x14ac:dyDescent="0.25"/>
    <row r="257" s="167" customFormat="1" x14ac:dyDescent="0.25"/>
    <row r="258" s="167" customFormat="1" x14ac:dyDescent="0.25"/>
    <row r="259" s="167" customFormat="1" x14ac:dyDescent="0.25"/>
    <row r="260" s="167" customFormat="1" x14ac:dyDescent="0.25"/>
    <row r="261" s="167" customFormat="1" x14ac:dyDescent="0.25"/>
    <row r="262" s="167" customFormat="1" x14ac:dyDescent="0.25"/>
    <row r="263" s="167" customFormat="1" x14ac:dyDescent="0.25"/>
    <row r="264" s="167" customFormat="1" x14ac:dyDescent="0.25"/>
    <row r="265" s="167" customFormat="1" x14ac:dyDescent="0.25"/>
    <row r="266" s="167" customFormat="1" x14ac:dyDescent="0.25"/>
    <row r="267" s="167" customFormat="1" x14ac:dyDescent="0.25"/>
    <row r="268" s="167" customFormat="1" x14ac:dyDescent="0.25"/>
    <row r="269" s="167" customFormat="1" x14ac:dyDescent="0.25"/>
    <row r="270" s="167" customFormat="1" x14ac:dyDescent="0.25"/>
    <row r="271" s="167" customFormat="1" x14ac:dyDescent="0.25"/>
    <row r="272" s="167" customFormat="1" x14ac:dyDescent="0.25"/>
    <row r="273" s="167" customFormat="1" x14ac:dyDescent="0.25"/>
    <row r="274" s="167" customFormat="1" x14ac:dyDescent="0.25"/>
    <row r="275" s="167" customFormat="1" x14ac:dyDescent="0.25"/>
    <row r="276" s="167" customFormat="1" x14ac:dyDescent="0.25"/>
    <row r="277" s="167" customFormat="1" x14ac:dyDescent="0.25"/>
    <row r="278" s="167" customFormat="1" x14ac:dyDescent="0.25"/>
    <row r="279" s="167" customFormat="1" x14ac:dyDescent="0.25"/>
    <row r="280" s="167" customFormat="1" x14ac:dyDescent="0.25"/>
    <row r="281" s="167" customFormat="1" x14ac:dyDescent="0.25"/>
    <row r="282" s="167" customFormat="1" x14ac:dyDescent="0.25"/>
    <row r="283" s="167" customFormat="1" x14ac:dyDescent="0.25"/>
    <row r="284" s="167" customFormat="1" x14ac:dyDescent="0.25"/>
    <row r="285" s="167" customFormat="1" x14ac:dyDescent="0.25"/>
    <row r="286" s="167" customFormat="1" x14ac:dyDescent="0.25"/>
    <row r="287" s="167" customFormat="1" x14ac:dyDescent="0.25"/>
    <row r="288" s="167" customFormat="1" x14ac:dyDescent="0.25"/>
    <row r="289" s="167" customFormat="1" x14ac:dyDescent="0.25"/>
    <row r="290" s="167" customFormat="1" x14ac:dyDescent="0.25"/>
    <row r="291" s="167" customFormat="1" x14ac:dyDescent="0.25"/>
    <row r="292" s="167" customFormat="1" x14ac:dyDescent="0.25"/>
    <row r="293" s="167" customFormat="1" x14ac:dyDescent="0.25"/>
    <row r="294" s="167" customFormat="1" x14ac:dyDescent="0.25"/>
    <row r="295" s="167" customFormat="1" x14ac:dyDescent="0.25"/>
    <row r="296" s="167" customFormat="1" x14ac:dyDescent="0.25"/>
    <row r="297" s="167" customFormat="1" x14ac:dyDescent="0.25"/>
    <row r="298" s="167" customFormat="1" x14ac:dyDescent="0.25"/>
    <row r="299" s="167" customFormat="1" x14ac:dyDescent="0.25"/>
    <row r="300" s="167" customFormat="1" x14ac:dyDescent="0.25"/>
    <row r="301" s="167" customFormat="1" x14ac:dyDescent="0.25"/>
    <row r="302" s="167" customFormat="1" x14ac:dyDescent="0.25"/>
    <row r="303" s="167" customFormat="1" x14ac:dyDescent="0.25"/>
    <row r="304" s="167" customFormat="1" x14ac:dyDescent="0.25"/>
    <row r="305" s="167" customFormat="1" x14ac:dyDescent="0.25"/>
    <row r="306" s="167" customFormat="1" x14ac:dyDescent="0.25"/>
    <row r="307" s="167" customFormat="1" x14ac:dyDescent="0.25"/>
    <row r="308" s="167" customFormat="1" x14ac:dyDescent="0.25"/>
    <row r="309" s="167" customFormat="1" x14ac:dyDescent="0.25"/>
    <row r="310" s="167" customFormat="1" x14ac:dyDescent="0.25"/>
    <row r="311" s="167" customFormat="1" x14ac:dyDescent="0.25"/>
    <row r="312" s="167" customFormat="1" x14ac:dyDescent="0.25"/>
    <row r="313" s="167" customFormat="1" x14ac:dyDescent="0.25"/>
    <row r="314" s="167" customFormat="1" x14ac:dyDescent="0.25"/>
    <row r="315" s="167" customFormat="1" x14ac:dyDescent="0.25"/>
    <row r="316" s="167" customFormat="1" x14ac:dyDescent="0.25"/>
    <row r="317" s="167" customFormat="1" x14ac:dyDescent="0.25"/>
    <row r="318" s="167" customFormat="1" x14ac:dyDescent="0.25"/>
    <row r="319" s="167" customFormat="1" x14ac:dyDescent="0.25"/>
    <row r="320" s="167" customFormat="1" x14ac:dyDescent="0.25"/>
    <row r="321" s="167" customFormat="1" x14ac:dyDescent="0.25"/>
    <row r="322" s="167" customFormat="1" x14ac:dyDescent="0.25"/>
    <row r="323" s="167" customFormat="1" x14ac:dyDescent="0.25"/>
    <row r="324" s="167" customFormat="1" x14ac:dyDescent="0.25"/>
    <row r="325" s="167" customFormat="1" x14ac:dyDescent="0.25"/>
    <row r="326" s="167" customFormat="1" x14ac:dyDescent="0.25"/>
    <row r="327" s="167" customFormat="1" x14ac:dyDescent="0.25"/>
    <row r="328" s="167" customFormat="1" x14ac:dyDescent="0.25"/>
    <row r="329" s="167" customFormat="1" x14ac:dyDescent="0.25"/>
    <row r="330" s="167" customFormat="1" x14ac:dyDescent="0.25"/>
    <row r="331" s="167" customFormat="1" x14ac:dyDescent="0.25"/>
    <row r="332" s="167" customFormat="1" x14ac:dyDescent="0.25"/>
    <row r="333" s="167" customFormat="1" x14ac:dyDescent="0.25"/>
    <row r="334" s="167" customFormat="1" x14ac:dyDescent="0.25"/>
    <row r="335" s="167" customFormat="1" x14ac:dyDescent="0.25"/>
    <row r="336" s="167" customFormat="1" x14ac:dyDescent="0.25"/>
    <row r="337" s="167" customFormat="1" x14ac:dyDescent="0.25"/>
    <row r="338" s="167" customFormat="1" x14ac:dyDescent="0.25"/>
    <row r="339" s="167" customFormat="1" x14ac:dyDescent="0.25"/>
    <row r="340" s="167" customFormat="1" x14ac:dyDescent="0.25"/>
    <row r="341" s="167" customFormat="1" x14ac:dyDescent="0.25"/>
    <row r="342" s="167" customFormat="1" x14ac:dyDescent="0.25"/>
    <row r="343" s="167" customFormat="1" x14ac:dyDescent="0.25"/>
    <row r="344" s="167" customFormat="1" x14ac:dyDescent="0.25"/>
    <row r="345" s="167" customFormat="1" x14ac:dyDescent="0.25"/>
    <row r="346" s="167" customFormat="1" x14ac:dyDescent="0.25"/>
    <row r="347" s="167" customFormat="1" x14ac:dyDescent="0.25"/>
    <row r="348" s="167" customFormat="1" x14ac:dyDescent="0.25"/>
    <row r="349" s="167" customFormat="1" x14ac:dyDescent="0.25"/>
    <row r="350" s="167" customFormat="1" x14ac:dyDescent="0.25"/>
    <row r="351" s="167" customFormat="1" x14ac:dyDescent="0.25"/>
    <row r="352" s="167" customFormat="1" x14ac:dyDescent="0.25"/>
    <row r="353" s="167" customFormat="1" x14ac:dyDescent="0.25"/>
    <row r="354" s="167" customFormat="1" x14ac:dyDescent="0.25"/>
    <row r="355" s="167" customFormat="1" x14ac:dyDescent="0.25"/>
    <row r="356" s="167" customFormat="1" x14ac:dyDescent="0.25"/>
    <row r="357" s="167" customFormat="1" x14ac:dyDescent="0.25"/>
    <row r="358" s="167" customFormat="1" x14ac:dyDescent="0.25"/>
    <row r="359" s="167" customFormat="1" x14ac:dyDescent="0.25"/>
    <row r="360" s="167" customFormat="1" x14ac:dyDescent="0.25"/>
    <row r="361" s="167" customFormat="1" x14ac:dyDescent="0.25"/>
    <row r="362" s="167" customFormat="1" x14ac:dyDescent="0.25"/>
    <row r="363" s="167" customFormat="1" x14ac:dyDescent="0.25"/>
    <row r="364" s="167" customFormat="1" x14ac:dyDescent="0.25"/>
    <row r="365" s="167" customFormat="1" x14ac:dyDescent="0.25"/>
    <row r="366" s="167" customFormat="1" x14ac:dyDescent="0.25"/>
    <row r="367" s="167" customFormat="1" x14ac:dyDescent="0.25"/>
    <row r="368" s="167" customFormat="1" x14ac:dyDescent="0.25"/>
    <row r="369" s="167" customFormat="1" x14ac:dyDescent="0.25"/>
    <row r="370" s="167" customFormat="1" x14ac:dyDescent="0.25"/>
    <row r="371" s="167" customFormat="1" x14ac:dyDescent="0.25"/>
    <row r="372" s="167" customFormat="1" x14ac:dyDescent="0.25"/>
    <row r="373" s="167" customFormat="1" x14ac:dyDescent="0.25"/>
    <row r="374" s="167" customFormat="1" x14ac:dyDescent="0.25"/>
    <row r="375" s="167" customFormat="1" x14ac:dyDescent="0.25"/>
    <row r="376" s="167" customFormat="1" x14ac:dyDescent="0.25"/>
    <row r="377" s="167" customFormat="1" x14ac:dyDescent="0.25"/>
    <row r="378" s="167" customFormat="1" x14ac:dyDescent="0.25"/>
    <row r="379" s="167" customFormat="1" x14ac:dyDescent="0.25"/>
    <row r="380" s="167" customFormat="1" x14ac:dyDescent="0.25"/>
    <row r="381" s="167" customFormat="1" x14ac:dyDescent="0.25"/>
    <row r="382" s="167" customFormat="1" x14ac:dyDescent="0.25"/>
    <row r="383" s="167" customFormat="1" x14ac:dyDescent="0.25"/>
    <row r="384" s="167" customFormat="1" x14ac:dyDescent="0.25"/>
    <row r="385" s="167" customFormat="1" x14ac:dyDescent="0.25"/>
    <row r="386" s="167" customFormat="1" x14ac:dyDescent="0.25"/>
    <row r="387" s="167" customFormat="1" x14ac:dyDescent="0.25"/>
    <row r="388" s="167" customFormat="1" x14ac:dyDescent="0.25"/>
    <row r="389" s="167" customFormat="1" x14ac:dyDescent="0.25"/>
    <row r="390" s="167" customFormat="1" x14ac:dyDescent="0.25"/>
    <row r="391" s="167" customFormat="1" x14ac:dyDescent="0.25"/>
    <row r="392" s="167" customFormat="1" x14ac:dyDescent="0.25"/>
    <row r="393" s="167" customFormat="1" x14ac:dyDescent="0.25"/>
    <row r="394" s="167" customFormat="1" x14ac:dyDescent="0.25"/>
    <row r="395" s="167" customFormat="1" x14ac:dyDescent="0.25"/>
    <row r="396" s="167" customFormat="1" x14ac:dyDescent="0.25"/>
    <row r="397" s="167" customFormat="1" x14ac:dyDescent="0.25"/>
    <row r="398" s="167" customFormat="1" x14ac:dyDescent="0.25"/>
    <row r="399" s="167" customFormat="1" x14ac:dyDescent="0.25"/>
    <row r="400" s="167" customFormat="1" x14ac:dyDescent="0.25"/>
    <row r="401" s="167" customFormat="1" x14ac:dyDescent="0.25"/>
    <row r="402" s="167" customFormat="1" x14ac:dyDescent="0.25"/>
    <row r="403" s="167" customFormat="1" x14ac:dyDescent="0.25"/>
    <row r="404" s="167" customFormat="1" x14ac:dyDescent="0.25"/>
    <row r="405" s="167" customFormat="1" x14ac:dyDescent="0.25"/>
    <row r="406" s="167" customFormat="1" x14ac:dyDescent="0.25"/>
    <row r="407" s="167" customFormat="1" x14ac:dyDescent="0.25"/>
    <row r="408" s="167" customFormat="1" x14ac:dyDescent="0.25"/>
    <row r="409" s="167" customFormat="1" x14ac:dyDescent="0.25"/>
    <row r="410" s="167" customFormat="1" x14ac:dyDescent="0.25"/>
    <row r="411" s="167" customFormat="1" x14ac:dyDescent="0.25"/>
    <row r="412" s="167" customFormat="1" x14ac:dyDescent="0.25"/>
    <row r="413" s="167" customFormat="1" x14ac:dyDescent="0.25"/>
    <row r="414" s="167" customFormat="1" x14ac:dyDescent="0.25"/>
    <row r="415" s="167" customFormat="1" x14ac:dyDescent="0.25"/>
    <row r="416" s="167" customFormat="1" x14ac:dyDescent="0.25"/>
    <row r="417" s="167" customFormat="1" x14ac:dyDescent="0.25"/>
    <row r="418" s="167" customFormat="1" x14ac:dyDescent="0.25"/>
    <row r="419" s="167" customFormat="1" x14ac:dyDescent="0.25"/>
    <row r="420" s="167" customFormat="1" x14ac:dyDescent="0.25"/>
    <row r="421" s="167" customFormat="1" x14ac:dyDescent="0.25"/>
    <row r="422" s="167" customFormat="1" x14ac:dyDescent="0.25"/>
    <row r="423" s="167" customFormat="1" x14ac:dyDescent="0.25"/>
    <row r="424" s="167" customFormat="1" x14ac:dyDescent="0.25"/>
    <row r="425" s="167" customFormat="1" x14ac:dyDescent="0.25"/>
    <row r="426" s="167" customFormat="1" x14ac:dyDescent="0.25"/>
    <row r="427" s="167" customFormat="1" x14ac:dyDescent="0.25"/>
    <row r="428" s="167" customFormat="1" x14ac:dyDescent="0.25"/>
    <row r="429" s="167" customFormat="1" x14ac:dyDescent="0.25"/>
    <row r="430" s="167" customFormat="1" x14ac:dyDescent="0.25"/>
    <row r="431" s="167" customFormat="1" x14ac:dyDescent="0.25"/>
    <row r="432" s="167" customFormat="1" x14ac:dyDescent="0.25"/>
    <row r="433" s="167" customFormat="1" x14ac:dyDescent="0.25"/>
    <row r="434" s="167" customFormat="1" x14ac:dyDescent="0.25"/>
    <row r="435" s="167" customFormat="1" x14ac:dyDescent="0.25"/>
    <row r="436" s="167" customFormat="1" x14ac:dyDescent="0.25"/>
    <row r="437" s="167" customFormat="1" x14ac:dyDescent="0.25"/>
    <row r="438" s="167" customFormat="1" x14ac:dyDescent="0.25"/>
    <row r="439" s="167" customFormat="1" x14ac:dyDescent="0.25"/>
    <row r="440" s="167" customFormat="1" x14ac:dyDescent="0.25"/>
    <row r="441" s="167" customFormat="1" x14ac:dyDescent="0.25"/>
    <row r="442" s="167" customFormat="1" x14ac:dyDescent="0.25"/>
    <row r="443" s="167" customFormat="1" x14ac:dyDescent="0.25"/>
    <row r="444" s="167" customFormat="1" x14ac:dyDescent="0.25"/>
    <row r="445" s="167" customFormat="1" x14ac:dyDescent="0.25"/>
    <row r="446" s="167" customFormat="1" x14ac:dyDescent="0.25"/>
    <row r="447" s="167" customFormat="1" x14ac:dyDescent="0.25"/>
    <row r="448" s="167" customFormat="1" x14ac:dyDescent="0.25"/>
    <row r="449" s="167" customFormat="1" x14ac:dyDescent="0.25"/>
    <row r="450" s="167" customFormat="1" x14ac:dyDescent="0.25"/>
    <row r="451" s="167" customFormat="1" x14ac:dyDescent="0.25"/>
    <row r="452" s="167" customFormat="1" x14ac:dyDescent="0.25"/>
    <row r="453" s="167" customFormat="1" x14ac:dyDescent="0.25"/>
    <row r="454" s="167" customFormat="1" x14ac:dyDescent="0.25"/>
    <row r="455" s="167" customFormat="1" x14ac:dyDescent="0.25"/>
    <row r="456" s="167" customFormat="1" x14ac:dyDescent="0.25"/>
    <row r="457" s="167" customFormat="1" x14ac:dyDescent="0.25"/>
    <row r="458" s="167" customFormat="1" x14ac:dyDescent="0.25"/>
    <row r="459" s="167" customFormat="1" x14ac:dyDescent="0.25"/>
    <row r="460" s="167" customFormat="1" x14ac:dyDescent="0.25"/>
    <row r="461" s="167" customFormat="1" x14ac:dyDescent="0.25"/>
    <row r="462" s="167" customFormat="1" x14ac:dyDescent="0.25"/>
    <row r="463" s="167" customFormat="1" x14ac:dyDescent="0.25"/>
    <row r="464" s="167" customFormat="1" x14ac:dyDescent="0.25"/>
    <row r="465" s="167" customFormat="1" x14ac:dyDescent="0.25"/>
    <row r="466" s="167" customFormat="1" x14ac:dyDescent="0.25"/>
    <row r="467" s="167" customFormat="1" x14ac:dyDescent="0.25"/>
    <row r="468" s="167" customFormat="1" x14ac:dyDescent="0.25"/>
    <row r="469" s="167" customFormat="1" x14ac:dyDescent="0.25"/>
    <row r="470" s="167" customFormat="1" x14ac:dyDescent="0.25"/>
    <row r="471" s="167" customFormat="1" x14ac:dyDescent="0.25"/>
    <row r="472" s="167" customFormat="1" x14ac:dyDescent="0.25"/>
    <row r="473" s="167" customFormat="1" x14ac:dyDescent="0.25"/>
    <row r="474" s="167" customFormat="1" x14ac:dyDescent="0.25"/>
    <row r="475" s="167" customFormat="1" x14ac:dyDescent="0.25"/>
    <row r="476" s="167" customFormat="1" x14ac:dyDescent="0.25"/>
    <row r="477" s="167" customFormat="1" x14ac:dyDescent="0.25"/>
    <row r="478" s="167" customFormat="1" x14ac:dyDescent="0.25"/>
    <row r="479" s="167" customFormat="1" x14ac:dyDescent="0.25"/>
    <row r="480" s="167" customFormat="1" x14ac:dyDescent="0.25"/>
    <row r="481" s="167" customFormat="1" x14ac:dyDescent="0.25"/>
    <row r="482" s="167" customFormat="1" x14ac:dyDescent="0.25"/>
    <row r="483" s="167" customFormat="1" x14ac:dyDescent="0.25"/>
    <row r="484" s="167" customFormat="1" x14ac:dyDescent="0.25"/>
    <row r="485" s="167" customFormat="1" x14ac:dyDescent="0.25"/>
    <row r="486" s="167" customFormat="1" x14ac:dyDescent="0.25"/>
    <row r="487" s="167" customFormat="1" x14ac:dyDescent="0.25"/>
    <row r="488" s="167" customFormat="1" x14ac:dyDescent="0.25"/>
    <row r="489" s="167" customFormat="1" x14ac:dyDescent="0.25"/>
    <row r="490" s="167" customFormat="1" x14ac:dyDescent="0.25"/>
    <row r="491" s="167" customFormat="1" x14ac:dyDescent="0.25"/>
    <row r="492" s="167" customFormat="1" x14ac:dyDescent="0.25"/>
    <row r="493" s="167" customFormat="1" x14ac:dyDescent="0.25"/>
    <row r="494" s="167" customFormat="1" x14ac:dyDescent="0.25"/>
    <row r="495" s="167" customFormat="1" x14ac:dyDescent="0.25"/>
    <row r="496" s="167" customFormat="1" x14ac:dyDescent="0.25"/>
    <row r="497" s="167" customFormat="1" x14ac:dyDescent="0.25"/>
    <row r="498" s="167" customFormat="1" x14ac:dyDescent="0.25"/>
    <row r="499" s="167" customFormat="1" x14ac:dyDescent="0.25"/>
    <row r="500" s="167" customFormat="1" x14ac:dyDescent="0.25"/>
    <row r="501" s="167" customFormat="1" x14ac:dyDescent="0.25"/>
    <row r="502" s="167" customFormat="1" x14ac:dyDescent="0.25"/>
    <row r="503" s="167" customFormat="1" x14ac:dyDescent="0.25"/>
    <row r="504" s="167" customFormat="1" x14ac:dyDescent="0.25"/>
    <row r="505" s="167" customFormat="1" x14ac:dyDescent="0.25"/>
    <row r="506" s="167" customFormat="1" x14ac:dyDescent="0.25"/>
    <row r="507" s="167" customFormat="1" x14ac:dyDescent="0.25"/>
    <row r="508" s="167" customFormat="1" x14ac:dyDescent="0.25"/>
    <row r="509" s="167" customFormat="1" x14ac:dyDescent="0.25"/>
    <row r="510" s="167" customFormat="1" x14ac:dyDescent="0.25"/>
    <row r="511" s="167" customFormat="1" x14ac:dyDescent="0.25"/>
    <row r="512" s="167" customFormat="1" x14ac:dyDescent="0.25"/>
    <row r="513" s="167" customFormat="1" x14ac:dyDescent="0.25"/>
    <row r="514" s="167" customFormat="1" x14ac:dyDescent="0.25"/>
    <row r="515" s="167" customFormat="1" x14ac:dyDescent="0.25"/>
    <row r="516" s="167" customFormat="1" x14ac:dyDescent="0.25"/>
    <row r="517" s="167" customFormat="1" x14ac:dyDescent="0.25"/>
    <row r="518" s="167" customFormat="1" x14ac:dyDescent="0.25"/>
    <row r="519" s="167" customFormat="1" x14ac:dyDescent="0.25"/>
    <row r="520" s="167" customFormat="1" x14ac:dyDescent="0.25"/>
    <row r="521" s="167" customFormat="1" x14ac:dyDescent="0.25"/>
    <row r="522" s="167" customFormat="1" x14ac:dyDescent="0.25"/>
    <row r="523" s="167" customFormat="1" x14ac:dyDescent="0.25"/>
    <row r="524" s="167" customFormat="1" x14ac:dyDescent="0.25"/>
    <row r="525" s="167" customFormat="1" x14ac:dyDescent="0.25"/>
    <row r="526" s="167" customFormat="1" x14ac:dyDescent="0.25"/>
    <row r="527" s="167" customFormat="1" x14ac:dyDescent="0.25"/>
    <row r="528" s="167" customFormat="1" x14ac:dyDescent="0.25"/>
    <row r="529" s="167" customFormat="1" x14ac:dyDescent="0.25"/>
    <row r="530" s="167" customFormat="1" x14ac:dyDescent="0.25"/>
    <row r="531" s="167" customFormat="1" x14ac:dyDescent="0.25"/>
    <row r="532" s="167" customFormat="1" x14ac:dyDescent="0.25"/>
    <row r="533" s="167" customFormat="1" x14ac:dyDescent="0.25"/>
    <row r="534" s="167" customFormat="1" x14ac:dyDescent="0.25"/>
    <row r="535" s="167" customFormat="1" x14ac:dyDescent="0.25"/>
    <row r="536" s="167" customFormat="1" x14ac:dyDescent="0.25"/>
    <row r="537" s="167" customFormat="1" x14ac:dyDescent="0.25"/>
    <row r="538" s="167" customFormat="1" x14ac:dyDescent="0.25"/>
    <row r="539" s="167" customFormat="1" x14ac:dyDescent="0.25"/>
    <row r="540" s="167" customFormat="1" x14ac:dyDescent="0.25"/>
    <row r="541" s="167" customFormat="1" x14ac:dyDescent="0.25"/>
    <row r="542" s="167" customFormat="1" x14ac:dyDescent="0.25"/>
    <row r="543" s="167" customFormat="1" x14ac:dyDescent="0.25"/>
    <row r="544" s="167" customFormat="1" x14ac:dyDescent="0.25"/>
    <row r="545" s="167" customFormat="1" x14ac:dyDescent="0.25"/>
    <row r="546" s="167" customFormat="1" x14ac:dyDescent="0.25"/>
    <row r="547" s="167" customFormat="1" x14ac:dyDescent="0.25"/>
    <row r="548" s="167" customFormat="1" x14ac:dyDescent="0.25"/>
    <row r="549" s="167" customFormat="1" x14ac:dyDescent="0.25"/>
    <row r="550" s="167" customFormat="1" x14ac:dyDescent="0.25"/>
    <row r="551" s="167" customFormat="1" x14ac:dyDescent="0.25"/>
    <row r="552" s="167" customFormat="1" x14ac:dyDescent="0.25"/>
    <row r="553" s="167" customFormat="1" x14ac:dyDescent="0.25"/>
    <row r="554" s="167" customFormat="1" x14ac:dyDescent="0.25"/>
    <row r="555" s="167" customFormat="1" x14ac:dyDescent="0.25"/>
    <row r="556" s="167" customFormat="1" x14ac:dyDescent="0.25"/>
    <row r="557" s="167" customFormat="1" x14ac:dyDescent="0.25"/>
    <row r="558" s="167" customFormat="1" x14ac:dyDescent="0.25"/>
    <row r="559" s="167" customFormat="1" x14ac:dyDescent="0.25"/>
    <row r="560" s="167" customFormat="1" x14ac:dyDescent="0.25"/>
    <row r="561" s="167" customFormat="1" x14ac:dyDescent="0.25"/>
    <row r="562" s="167" customFormat="1" x14ac:dyDescent="0.25"/>
    <row r="563" s="167" customFormat="1" x14ac:dyDescent="0.25"/>
    <row r="564" s="167" customFormat="1" x14ac:dyDescent="0.25"/>
    <row r="565" s="167" customFormat="1" x14ac:dyDescent="0.25"/>
    <row r="566" s="167" customFormat="1" x14ac:dyDescent="0.25"/>
    <row r="567" s="167" customFormat="1" x14ac:dyDescent="0.25"/>
    <row r="568" s="167" customFormat="1" x14ac:dyDescent="0.25"/>
    <row r="569" s="167" customFormat="1" x14ac:dyDescent="0.25"/>
    <row r="570" s="167" customFormat="1" x14ac:dyDescent="0.25"/>
    <row r="571" s="167" customFormat="1" x14ac:dyDescent="0.25"/>
    <row r="572" s="167" customFormat="1" x14ac:dyDescent="0.25"/>
    <row r="573" s="167" customFormat="1" x14ac:dyDescent="0.25"/>
    <row r="574" s="167" customFormat="1" x14ac:dyDescent="0.25"/>
    <row r="575" s="167" customFormat="1" x14ac:dyDescent="0.25"/>
    <row r="576" s="167" customFormat="1" x14ac:dyDescent="0.25"/>
    <row r="577" s="167" customFormat="1" x14ac:dyDescent="0.25"/>
    <row r="578" s="167" customFormat="1" x14ac:dyDescent="0.25"/>
    <row r="579" s="167" customFormat="1" x14ac:dyDescent="0.25"/>
    <row r="580" s="167" customFormat="1" x14ac:dyDescent="0.25"/>
    <row r="581" s="167" customFormat="1" x14ac:dyDescent="0.25"/>
    <row r="582" s="167" customFormat="1" x14ac:dyDescent="0.25"/>
    <row r="583" s="167" customFormat="1" x14ac:dyDescent="0.25"/>
    <row r="584" s="167" customFormat="1" x14ac:dyDescent="0.25"/>
    <row r="585" s="167" customFormat="1" x14ac:dyDescent="0.25"/>
    <row r="586" s="167" customFormat="1" x14ac:dyDescent="0.25"/>
    <row r="587" s="167" customFormat="1" x14ac:dyDescent="0.25"/>
    <row r="588" s="167" customFormat="1" x14ac:dyDescent="0.25"/>
    <row r="589" s="167" customFormat="1" x14ac:dyDescent="0.25"/>
    <row r="590" s="167" customFormat="1" x14ac:dyDescent="0.25"/>
    <row r="591" s="167" customFormat="1" x14ac:dyDescent="0.25"/>
    <row r="592" s="167" customFormat="1" x14ac:dyDescent="0.25"/>
    <row r="593" s="167" customFormat="1" x14ac:dyDescent="0.25"/>
    <row r="594" s="167" customFormat="1" x14ac:dyDescent="0.25"/>
    <row r="595" s="167" customFormat="1" x14ac:dyDescent="0.25"/>
    <row r="596" s="167" customFormat="1" x14ac:dyDescent="0.25"/>
    <row r="597" s="167" customFormat="1" x14ac:dyDescent="0.25"/>
    <row r="598" s="167" customFormat="1" x14ac:dyDescent="0.25"/>
    <row r="599" s="167" customFormat="1" x14ac:dyDescent="0.25"/>
    <row r="600" s="167" customFormat="1" x14ac:dyDescent="0.25"/>
    <row r="601" s="167" customFormat="1" x14ac:dyDescent="0.25"/>
    <row r="602" s="167" customFormat="1" x14ac:dyDescent="0.25"/>
    <row r="603" s="167" customFormat="1" x14ac:dyDescent="0.25"/>
    <row r="604" s="167" customFormat="1" x14ac:dyDescent="0.25"/>
    <row r="605" s="167" customFormat="1" x14ac:dyDescent="0.25"/>
    <row r="606" s="167" customFormat="1" x14ac:dyDescent="0.25"/>
    <row r="607" s="167" customFormat="1" x14ac:dyDescent="0.25"/>
    <row r="608" s="167" customFormat="1" x14ac:dyDescent="0.25"/>
    <row r="609" s="167" customFormat="1" x14ac:dyDescent="0.25"/>
    <row r="610" s="167" customFormat="1" x14ac:dyDescent="0.25"/>
    <row r="611" s="167" customFormat="1" x14ac:dyDescent="0.25"/>
    <row r="612" s="167" customFormat="1" x14ac:dyDescent="0.25"/>
    <row r="613" s="167" customFormat="1" x14ac:dyDescent="0.25"/>
    <row r="614" s="167" customFormat="1" x14ac:dyDescent="0.25"/>
    <row r="615" s="167" customFormat="1" x14ac:dyDescent="0.25"/>
    <row r="616" s="167" customFormat="1" x14ac:dyDescent="0.25"/>
    <row r="617" s="167" customFormat="1" x14ac:dyDescent="0.25"/>
    <row r="618" s="167" customFormat="1" x14ac:dyDescent="0.25"/>
    <row r="619" s="167" customFormat="1" x14ac:dyDescent="0.25"/>
    <row r="620" s="167" customFormat="1" x14ac:dyDescent="0.25"/>
    <row r="621" s="167" customFormat="1" x14ac:dyDescent="0.25"/>
    <row r="622" s="167" customFormat="1" x14ac:dyDescent="0.25"/>
    <row r="623" s="167" customFormat="1" x14ac:dyDescent="0.25"/>
    <row r="624" s="167" customFormat="1" x14ac:dyDescent="0.25"/>
    <row r="625" s="167" customFormat="1" x14ac:dyDescent="0.25"/>
    <row r="626" s="167" customFormat="1" x14ac:dyDescent="0.25"/>
    <row r="627" s="167" customFormat="1" x14ac:dyDescent="0.25"/>
    <row r="628" s="167" customFormat="1" x14ac:dyDescent="0.25"/>
    <row r="629" s="167" customFormat="1" x14ac:dyDescent="0.25"/>
    <row r="630" s="167" customFormat="1" x14ac:dyDescent="0.25"/>
    <row r="631" s="167" customFormat="1" x14ac:dyDescent="0.25"/>
    <row r="632" s="167" customFormat="1" x14ac:dyDescent="0.25"/>
    <row r="633" s="167" customFormat="1" x14ac:dyDescent="0.25"/>
    <row r="634" s="167" customFormat="1" x14ac:dyDescent="0.25"/>
    <row r="635" s="167" customFormat="1" x14ac:dyDescent="0.25"/>
    <row r="636" s="167" customFormat="1" x14ac:dyDescent="0.25"/>
    <row r="637" s="167" customFormat="1" x14ac:dyDescent="0.25"/>
    <row r="638" s="167" customFormat="1" x14ac:dyDescent="0.25"/>
    <row r="639" s="167" customFormat="1" x14ac:dyDescent="0.25"/>
    <row r="640" s="167" customFormat="1" x14ac:dyDescent="0.25"/>
    <row r="641" s="167" customFormat="1" x14ac:dyDescent="0.25"/>
    <row r="642" s="167" customFormat="1" x14ac:dyDescent="0.25"/>
    <row r="643" s="167" customFormat="1" x14ac:dyDescent="0.25"/>
    <row r="644" s="167" customFormat="1" x14ac:dyDescent="0.25"/>
    <row r="645" s="167" customFormat="1" x14ac:dyDescent="0.25"/>
    <row r="646" s="167" customFormat="1" x14ac:dyDescent="0.25"/>
    <row r="647" s="167" customFormat="1" x14ac:dyDescent="0.25"/>
    <row r="648" s="167" customFormat="1" x14ac:dyDescent="0.25"/>
    <row r="649" s="167" customFormat="1" x14ac:dyDescent="0.25"/>
    <row r="650" s="167" customFormat="1" x14ac:dyDescent="0.25"/>
    <row r="651" s="167" customFormat="1" x14ac:dyDescent="0.25"/>
    <row r="652" s="167" customFormat="1" x14ac:dyDescent="0.25"/>
    <row r="653" s="167" customFormat="1" x14ac:dyDescent="0.25"/>
    <row r="654" s="167" customFormat="1" x14ac:dyDescent="0.25"/>
    <row r="655" s="167" customFormat="1" x14ac:dyDescent="0.25"/>
    <row r="656" s="167" customFormat="1" x14ac:dyDescent="0.25"/>
    <row r="657" s="167" customFormat="1" x14ac:dyDescent="0.25"/>
    <row r="658" s="167" customFormat="1" x14ac:dyDescent="0.25"/>
    <row r="659" s="167" customFormat="1" x14ac:dyDescent="0.25"/>
    <row r="660" s="167" customFormat="1" x14ac:dyDescent="0.25"/>
    <row r="661" s="167" customFormat="1" x14ac:dyDescent="0.25"/>
    <row r="662" s="167" customFormat="1" x14ac:dyDescent="0.25"/>
    <row r="663" s="167" customFormat="1" x14ac:dyDescent="0.25"/>
    <row r="664" s="167" customFormat="1" x14ac:dyDescent="0.25"/>
    <row r="665" s="167" customFormat="1" x14ac:dyDescent="0.25"/>
    <row r="666" s="167" customFormat="1" x14ac:dyDescent="0.25"/>
    <row r="667" s="167" customFormat="1" x14ac:dyDescent="0.25"/>
    <row r="668" s="167" customFormat="1" x14ac:dyDescent="0.25"/>
    <row r="669" s="167" customFormat="1" x14ac:dyDescent="0.25"/>
    <row r="670" s="167" customFormat="1" x14ac:dyDescent="0.25"/>
    <row r="671" s="167" customFormat="1" x14ac:dyDescent="0.25"/>
    <row r="672" s="167" customFormat="1" x14ac:dyDescent="0.25"/>
    <row r="673" s="167" customFormat="1" x14ac:dyDescent="0.25"/>
    <row r="674" s="167" customFormat="1" x14ac:dyDescent="0.25"/>
    <row r="675" s="167" customFormat="1" x14ac:dyDescent="0.25"/>
    <row r="676" s="167" customFormat="1" x14ac:dyDescent="0.25"/>
    <row r="677" s="167" customFormat="1" x14ac:dyDescent="0.25"/>
    <row r="678" s="167" customFormat="1" x14ac:dyDescent="0.25"/>
    <row r="679" s="167" customFormat="1" x14ac:dyDescent="0.25"/>
    <row r="680" s="167" customFormat="1" x14ac:dyDescent="0.25"/>
    <row r="681" s="167" customFormat="1" x14ac:dyDescent="0.25"/>
    <row r="682" s="167" customFormat="1" x14ac:dyDescent="0.25"/>
    <row r="683" s="167" customFormat="1" x14ac:dyDescent="0.25"/>
    <row r="684" s="167" customFormat="1" x14ac:dyDescent="0.25"/>
    <row r="685" s="167" customFormat="1" x14ac:dyDescent="0.25"/>
    <row r="686" s="167" customFormat="1" x14ac:dyDescent="0.25"/>
    <row r="687" s="167" customFormat="1" x14ac:dyDescent="0.25"/>
    <row r="688" s="167" customFormat="1" x14ac:dyDescent="0.25"/>
    <row r="689" s="167" customFormat="1" x14ac:dyDescent="0.25"/>
    <row r="690" s="167" customFormat="1" x14ac:dyDescent="0.25"/>
    <row r="691" s="167" customFormat="1" x14ac:dyDescent="0.25"/>
    <row r="692" s="167" customFormat="1" x14ac:dyDescent="0.25"/>
    <row r="693" s="167" customFormat="1" x14ac:dyDescent="0.25"/>
    <row r="694" s="167" customFormat="1" x14ac:dyDescent="0.25"/>
    <row r="695" s="167" customFormat="1" x14ac:dyDescent="0.25"/>
    <row r="696" s="167" customFormat="1" x14ac:dyDescent="0.25"/>
    <row r="697" s="167" customFormat="1" x14ac:dyDescent="0.25"/>
    <row r="698" s="167" customFormat="1" x14ac:dyDescent="0.25"/>
    <row r="699" s="167" customFormat="1" x14ac:dyDescent="0.25"/>
    <row r="700" s="167" customFormat="1" x14ac:dyDescent="0.25"/>
    <row r="701" s="167" customFormat="1" x14ac:dyDescent="0.25"/>
    <row r="702" s="167" customFormat="1" x14ac:dyDescent="0.25"/>
    <row r="703" s="167" customFormat="1" x14ac:dyDescent="0.25"/>
    <row r="704" s="167" customFormat="1" x14ac:dyDescent="0.25"/>
    <row r="705" s="167" customFormat="1" x14ac:dyDescent="0.25"/>
    <row r="706" s="167" customFormat="1" x14ac:dyDescent="0.25"/>
    <row r="707" s="167" customFormat="1" x14ac:dyDescent="0.25"/>
    <row r="708" s="167" customFormat="1" x14ac:dyDescent="0.25"/>
    <row r="709" s="167" customFormat="1" x14ac:dyDescent="0.25"/>
    <row r="710" s="167" customFormat="1" x14ac:dyDescent="0.25"/>
    <row r="711" s="167" customFormat="1" x14ac:dyDescent="0.25"/>
    <row r="712" s="167" customFormat="1" x14ac:dyDescent="0.25"/>
    <row r="713" s="167" customFormat="1" x14ac:dyDescent="0.25"/>
    <row r="714" s="167" customFormat="1" x14ac:dyDescent="0.25"/>
    <row r="715" s="167" customFormat="1" x14ac:dyDescent="0.25"/>
    <row r="716" s="167" customFormat="1" x14ac:dyDescent="0.25"/>
    <row r="717" s="167" customFormat="1" x14ac:dyDescent="0.25"/>
    <row r="718" s="167" customFormat="1" x14ac:dyDescent="0.25"/>
    <row r="719" s="167" customFormat="1" x14ac:dyDescent="0.25"/>
    <row r="720" s="167" customFormat="1" x14ac:dyDescent="0.25"/>
    <row r="721" s="167" customFormat="1" x14ac:dyDescent="0.25"/>
    <row r="722" s="167" customFormat="1" x14ac:dyDescent="0.25"/>
    <row r="723" s="167" customFormat="1" x14ac:dyDescent="0.25"/>
    <row r="724" s="167" customFormat="1" x14ac:dyDescent="0.25"/>
    <row r="725" s="167" customFormat="1" x14ac:dyDescent="0.25"/>
    <row r="726" s="167" customFormat="1" x14ac:dyDescent="0.25"/>
    <row r="727" s="167" customFormat="1" x14ac:dyDescent="0.25"/>
    <row r="728" s="167" customFormat="1" x14ac:dyDescent="0.25"/>
    <row r="729" s="167" customFormat="1" x14ac:dyDescent="0.25"/>
    <row r="730" s="167" customFormat="1" x14ac:dyDescent="0.25"/>
    <row r="731" s="167" customFormat="1" x14ac:dyDescent="0.25"/>
    <row r="732" s="167" customFormat="1" x14ac:dyDescent="0.25"/>
    <row r="733" s="167" customFormat="1" x14ac:dyDescent="0.25"/>
    <row r="734" s="167" customFormat="1" x14ac:dyDescent="0.25"/>
    <row r="735" s="167" customFormat="1" x14ac:dyDescent="0.25"/>
    <row r="736" s="167" customFormat="1" x14ac:dyDescent="0.25"/>
    <row r="737" s="167" customFormat="1" x14ac:dyDescent="0.25"/>
    <row r="738" s="167" customFormat="1" x14ac:dyDescent="0.25"/>
    <row r="739" s="167" customFormat="1" x14ac:dyDescent="0.25"/>
    <row r="740" s="167" customFormat="1" x14ac:dyDescent="0.25"/>
    <row r="741" s="167" customFormat="1" x14ac:dyDescent="0.25"/>
    <row r="742" s="167" customFormat="1" x14ac:dyDescent="0.25"/>
    <row r="743" s="167" customFormat="1" x14ac:dyDescent="0.25"/>
    <row r="744" s="167" customFormat="1" x14ac:dyDescent="0.25"/>
    <row r="745" s="167" customFormat="1" x14ac:dyDescent="0.25"/>
    <row r="746" s="167" customFormat="1" x14ac:dyDescent="0.25"/>
    <row r="747" s="167" customFormat="1" x14ac:dyDescent="0.25"/>
    <row r="748" s="167" customFormat="1" x14ac:dyDescent="0.25"/>
    <row r="749" s="167" customFormat="1" x14ac:dyDescent="0.25"/>
    <row r="750" s="167" customFormat="1" x14ac:dyDescent="0.25"/>
    <row r="751" s="167" customFormat="1" x14ac:dyDescent="0.25"/>
    <row r="752" s="167" customFormat="1" x14ac:dyDescent="0.25"/>
    <row r="753" s="167" customFormat="1" x14ac:dyDescent="0.25"/>
    <row r="754" s="167" customFormat="1" x14ac:dyDescent="0.25"/>
    <row r="755" s="167" customFormat="1" x14ac:dyDescent="0.25"/>
    <row r="756" s="167" customFormat="1" x14ac:dyDescent="0.25"/>
    <row r="757" s="167" customFormat="1" x14ac:dyDescent="0.25"/>
    <row r="758" s="167" customFormat="1" x14ac:dyDescent="0.25"/>
    <row r="759" s="167" customFormat="1" x14ac:dyDescent="0.25"/>
    <row r="760" s="167" customFormat="1" x14ac:dyDescent="0.25"/>
    <row r="761" s="167" customFormat="1" x14ac:dyDescent="0.25"/>
    <row r="762" s="167" customFormat="1" x14ac:dyDescent="0.25"/>
    <row r="763" s="167" customFormat="1" x14ac:dyDescent="0.25"/>
    <row r="764" s="167" customFormat="1" x14ac:dyDescent="0.25"/>
    <row r="765" s="167" customFormat="1" x14ac:dyDescent="0.25"/>
    <row r="766" s="167" customFormat="1" x14ac:dyDescent="0.25"/>
    <row r="767" s="167" customFormat="1" x14ac:dyDescent="0.25"/>
    <row r="768" s="167" customFormat="1" x14ac:dyDescent="0.25"/>
    <row r="769" s="167" customFormat="1" x14ac:dyDescent="0.25"/>
    <row r="770" s="167" customFormat="1" x14ac:dyDescent="0.25"/>
    <row r="771" s="167" customFormat="1" x14ac:dyDescent="0.25"/>
    <row r="772" s="167" customFormat="1" x14ac:dyDescent="0.25"/>
    <row r="773" s="167" customFormat="1" x14ac:dyDescent="0.25"/>
    <row r="774" s="167" customFormat="1" x14ac:dyDescent="0.25"/>
    <row r="775" s="167" customFormat="1" x14ac:dyDescent="0.25"/>
    <row r="776" s="167" customFormat="1" x14ac:dyDescent="0.25"/>
    <row r="777" s="167" customFormat="1" x14ac:dyDescent="0.25"/>
    <row r="778" s="167" customFormat="1" x14ac:dyDescent="0.25"/>
    <row r="779" s="167" customFormat="1" x14ac:dyDescent="0.25"/>
    <row r="780" s="167" customFormat="1" x14ac:dyDescent="0.25"/>
    <row r="781" s="167" customFormat="1" x14ac:dyDescent="0.25"/>
    <row r="782" s="167" customFormat="1" x14ac:dyDescent="0.25"/>
    <row r="783" s="167" customFormat="1" x14ac:dyDescent="0.25"/>
    <row r="784" s="167" customFormat="1" x14ac:dyDescent="0.25"/>
    <row r="785" s="167" customFormat="1" x14ac:dyDescent="0.25"/>
    <row r="786" s="167" customFormat="1" x14ac:dyDescent="0.25"/>
    <row r="787" s="167" customFormat="1" x14ac:dyDescent="0.25"/>
    <row r="788" s="167" customFormat="1" x14ac:dyDescent="0.25"/>
    <row r="789" s="167" customFormat="1" x14ac:dyDescent="0.25"/>
    <row r="790" s="167" customFormat="1" x14ac:dyDescent="0.25"/>
    <row r="791" s="167" customFormat="1" x14ac:dyDescent="0.25"/>
    <row r="792" s="167" customFormat="1" x14ac:dyDescent="0.25"/>
    <row r="793" s="167" customFormat="1" x14ac:dyDescent="0.25"/>
    <row r="794" s="167" customFormat="1" x14ac:dyDescent="0.25"/>
    <row r="795" s="167" customFormat="1" x14ac:dyDescent="0.25"/>
    <row r="796" s="167" customFormat="1" x14ac:dyDescent="0.25"/>
    <row r="797" s="167" customFormat="1" x14ac:dyDescent="0.25"/>
    <row r="798" s="167" customFormat="1" x14ac:dyDescent="0.25"/>
    <row r="799" s="167" customFormat="1" x14ac:dyDescent="0.25"/>
    <row r="800" s="167" customFormat="1" x14ac:dyDescent="0.25"/>
    <row r="801" s="167" customFormat="1" x14ac:dyDescent="0.25"/>
    <row r="802" s="167" customFormat="1" x14ac:dyDescent="0.25"/>
    <row r="803" s="167" customFormat="1" x14ac:dyDescent="0.25"/>
    <row r="804" s="167" customFormat="1" x14ac:dyDescent="0.25"/>
    <row r="805" s="167" customFormat="1" x14ac:dyDescent="0.25"/>
    <row r="806" s="167" customFormat="1" x14ac:dyDescent="0.25"/>
    <row r="807" s="167" customFormat="1" x14ac:dyDescent="0.25"/>
    <row r="808" s="167" customFormat="1" x14ac:dyDescent="0.25"/>
    <row r="809" s="167" customFormat="1" x14ac:dyDescent="0.25"/>
    <row r="810" s="167" customFormat="1" x14ac:dyDescent="0.25"/>
    <row r="811" s="167" customFormat="1" x14ac:dyDescent="0.25"/>
    <row r="812" s="167" customFormat="1" x14ac:dyDescent="0.25"/>
    <row r="813" s="167" customFormat="1" x14ac:dyDescent="0.25"/>
    <row r="814" s="167" customFormat="1" x14ac:dyDescent="0.25"/>
    <row r="815" s="167" customFormat="1" x14ac:dyDescent="0.25"/>
    <row r="816" s="167" customFormat="1" x14ac:dyDescent="0.25"/>
    <row r="817" s="167" customFormat="1" x14ac:dyDescent="0.25"/>
    <row r="818" s="167" customFormat="1" x14ac:dyDescent="0.25"/>
    <row r="819" s="167" customFormat="1" x14ac:dyDescent="0.25"/>
    <row r="820" s="167" customFormat="1" x14ac:dyDescent="0.25"/>
    <row r="821" s="167" customFormat="1" x14ac:dyDescent="0.25"/>
    <row r="822" s="167" customFormat="1" x14ac:dyDescent="0.25"/>
    <row r="823" s="167" customFormat="1" x14ac:dyDescent="0.25"/>
    <row r="824" s="167" customFormat="1" x14ac:dyDescent="0.25"/>
    <row r="825" s="167" customFormat="1" x14ac:dyDescent="0.25"/>
    <row r="826" s="167" customFormat="1" x14ac:dyDescent="0.25"/>
    <row r="827" s="167" customFormat="1" x14ac:dyDescent="0.25"/>
    <row r="828" s="167" customFormat="1" x14ac:dyDescent="0.25"/>
    <row r="829" s="167" customFormat="1" x14ac:dyDescent="0.25"/>
    <row r="830" s="167" customFormat="1" x14ac:dyDescent="0.25"/>
    <row r="831" s="167" customFormat="1" x14ac:dyDescent="0.25"/>
    <row r="832" s="167" customFormat="1" x14ac:dyDescent="0.25"/>
    <row r="833" s="167" customFormat="1" x14ac:dyDescent="0.25"/>
    <row r="834" s="167" customFormat="1" x14ac:dyDescent="0.25"/>
    <row r="835" s="167" customFormat="1" x14ac:dyDescent="0.25"/>
    <row r="836" s="167" customFormat="1" x14ac:dyDescent="0.25"/>
    <row r="837" s="167" customFormat="1" x14ac:dyDescent="0.25"/>
    <row r="838" s="167" customFormat="1" x14ac:dyDescent="0.25"/>
    <row r="839" s="167" customFormat="1" x14ac:dyDescent="0.25"/>
    <row r="840" s="167" customFormat="1" x14ac:dyDescent="0.25"/>
    <row r="841" s="167" customFormat="1" x14ac:dyDescent="0.25"/>
    <row r="842" s="167" customFormat="1" x14ac:dyDescent="0.25"/>
    <row r="843" s="167" customFormat="1" x14ac:dyDescent="0.25"/>
    <row r="844" s="167" customFormat="1" x14ac:dyDescent="0.25"/>
    <row r="845" s="167" customFormat="1" x14ac:dyDescent="0.25"/>
    <row r="846" s="167" customFormat="1" x14ac:dyDescent="0.25"/>
    <row r="847" s="167" customFormat="1" x14ac:dyDescent="0.25"/>
    <row r="848" s="167" customFormat="1" x14ac:dyDescent="0.25"/>
    <row r="849" s="167" customFormat="1" x14ac:dyDescent="0.25"/>
    <row r="850" s="167" customFormat="1" x14ac:dyDescent="0.25"/>
    <row r="851" s="167" customFormat="1" x14ac:dyDescent="0.25"/>
    <row r="852" s="167" customFormat="1" x14ac:dyDescent="0.25"/>
    <row r="853" s="167" customFormat="1" x14ac:dyDescent="0.25"/>
    <row r="854" s="167" customFormat="1" x14ac:dyDescent="0.25"/>
    <row r="855" s="167" customFormat="1" x14ac:dyDescent="0.25"/>
    <row r="856" s="167" customFormat="1" x14ac:dyDescent="0.25"/>
    <row r="857" s="167" customFormat="1" x14ac:dyDescent="0.25"/>
    <row r="858" s="167" customFormat="1" x14ac:dyDescent="0.25"/>
    <row r="859" s="167" customFormat="1" x14ac:dyDescent="0.25"/>
    <row r="860" s="167" customFormat="1" x14ac:dyDescent="0.25"/>
    <row r="861" s="167" customFormat="1" x14ac:dyDescent="0.25"/>
    <row r="862" s="167" customFormat="1" x14ac:dyDescent="0.25"/>
    <row r="863" s="167" customFormat="1" x14ac:dyDescent="0.25"/>
    <row r="864" s="167" customFormat="1" x14ac:dyDescent="0.25"/>
    <row r="865" s="167" customFormat="1" x14ac:dyDescent="0.25"/>
    <row r="866" s="167" customFormat="1" x14ac:dyDescent="0.25"/>
    <row r="867" s="167" customFormat="1" x14ac:dyDescent="0.25"/>
    <row r="868" s="167" customFormat="1" x14ac:dyDescent="0.25"/>
    <row r="869" s="167" customFormat="1" x14ac:dyDescent="0.25"/>
    <row r="870" s="167" customFormat="1" x14ac:dyDescent="0.25"/>
    <row r="871" s="167" customFormat="1" x14ac:dyDescent="0.25"/>
    <row r="872" s="167" customFormat="1" x14ac:dyDescent="0.25"/>
    <row r="873" s="167" customFormat="1" x14ac:dyDescent="0.25"/>
    <row r="874" s="167" customFormat="1" x14ac:dyDescent="0.25"/>
    <row r="875" s="167" customFormat="1" x14ac:dyDescent="0.25"/>
    <row r="876" s="167" customFormat="1" x14ac:dyDescent="0.25"/>
    <row r="877" s="167" customFormat="1" x14ac:dyDescent="0.25"/>
    <row r="878" s="167" customFormat="1" x14ac:dyDescent="0.25"/>
    <row r="879" s="167" customFormat="1" x14ac:dyDescent="0.25"/>
    <row r="880" s="167" customFormat="1" x14ac:dyDescent="0.25"/>
    <row r="881" s="167" customFormat="1" x14ac:dyDescent="0.25"/>
    <row r="882" s="167" customFormat="1" x14ac:dyDescent="0.25"/>
    <row r="883" s="167" customFormat="1" x14ac:dyDescent="0.25"/>
    <row r="884" s="167" customFormat="1" x14ac:dyDescent="0.25"/>
    <row r="885" s="167" customFormat="1" x14ac:dyDescent="0.25"/>
    <row r="886" s="167" customFormat="1" x14ac:dyDescent="0.25"/>
    <row r="887" s="167" customFormat="1" x14ac:dyDescent="0.25"/>
    <row r="888" s="167" customFormat="1" x14ac:dyDescent="0.25"/>
    <row r="889" s="167" customFormat="1" x14ac:dyDescent="0.25"/>
    <row r="890" s="167" customFormat="1" x14ac:dyDescent="0.25"/>
    <row r="891" s="167" customFormat="1" x14ac:dyDescent="0.25"/>
    <row r="892" s="167" customFormat="1" x14ac:dyDescent="0.25"/>
    <row r="893" s="167" customFormat="1" x14ac:dyDescent="0.25"/>
    <row r="894" s="167" customFormat="1" x14ac:dyDescent="0.25"/>
    <row r="895" s="167" customFormat="1" x14ac:dyDescent="0.25"/>
    <row r="896" s="167" customFormat="1" x14ac:dyDescent="0.25"/>
    <row r="897" s="167" customFormat="1" x14ac:dyDescent="0.25"/>
    <row r="898" s="167" customFormat="1" x14ac:dyDescent="0.25"/>
    <row r="899" s="167" customFormat="1" x14ac:dyDescent="0.25"/>
    <row r="900" s="167" customFormat="1" x14ac:dyDescent="0.25"/>
    <row r="901" s="167" customFormat="1" x14ac:dyDescent="0.25"/>
    <row r="902" s="167" customFormat="1" x14ac:dyDescent="0.25"/>
  </sheetData>
  <sheetProtection algorithmName="SHA-512" hashValue="LHjEMXIuLksEj4tK1Z2iKWfu5IehX25FnFiS7QAE64ZlKvpvwouciW0UHoIz5TwEBUw3nZr2d2Msiohwe3Q+ZQ==" saltValue="0AYgHmGtAC/PoH4GCVXBGA==" spinCount="100000" sheet="1" objects="1" scenarios="1"/>
  <customSheetViews>
    <customSheetView guid="{C8C7977F-B6BF-432B-A1A7-559450D521AF}" scale="83">
      <selection activeCell="B37" sqref="B37"/>
      <pageMargins left="0.75" right="0.75" top="1" bottom="1" header="0.5" footer="0.5"/>
      <pageSetup paperSize="9" orientation="portrait" r:id="rId1"/>
      <headerFooter alignWithMargins="0"/>
    </customSheetView>
  </customSheetViews>
  <mergeCells count="6">
    <mergeCell ref="A9:D9"/>
    <mergeCell ref="A12:D12"/>
    <mergeCell ref="A1:E1"/>
    <mergeCell ref="B16:C16"/>
    <mergeCell ref="D17:D18"/>
    <mergeCell ref="E17:E18"/>
  </mergeCells>
  <conditionalFormatting sqref="C17:C30 D16:E30">
    <cfRule type="expression" dxfId="56" priority="2">
      <formula>$E$6="ex-ante"</formula>
    </cfRule>
  </conditionalFormatting>
  <conditionalFormatting sqref="A23:E25 A29:E29">
    <cfRule type="expression" dxfId="55" priority="1">
      <formula>$A$12="gas"</formula>
    </cfRule>
  </conditionalFormatting>
  <pageMargins left="0.74803149606299213" right="0.74803149606299213" top="0.98425196850393704" bottom="0.98425196850393704" header="0.51181102362204722" footer="0.51181102362204722"/>
  <pageSetup paperSize="8" orientation="portrait" r:id="rId2"/>
  <headerFooter alignWithMargins="0"/>
  <colBreaks count="1" manualBreakCount="1">
    <brk id="6" max="1048575" man="1"/>
  </colBreaks>
  <ignoredErrors>
    <ignoredError sqref="C30 B28:C29 B3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V244"/>
  <sheetViews>
    <sheetView topLeftCell="A43" zoomScale="85" zoomScaleNormal="85" workbookViewId="0">
      <selection activeCell="D49" sqref="D49"/>
    </sheetView>
  </sheetViews>
  <sheetFormatPr defaultColWidth="8.81640625" defaultRowHeight="13" x14ac:dyDescent="0.25"/>
  <cols>
    <col min="1" max="1" width="3.453125" style="167" customWidth="1"/>
    <col min="2" max="2" width="60.453125" style="581" customWidth="1"/>
    <col min="3" max="3" width="18" style="220" customWidth="1"/>
    <col min="4" max="4" width="26.1796875" style="167" customWidth="1"/>
    <col min="5" max="5" width="26.1796875" style="212" customWidth="1"/>
    <col min="6" max="6" width="12.81640625" style="220" customWidth="1"/>
    <col min="7" max="7" width="2.54296875" style="167" customWidth="1"/>
    <col min="8" max="8" width="26.453125" style="220" customWidth="1"/>
    <col min="9" max="9" width="8.81640625" style="224"/>
    <col min="10" max="16384" width="8.81640625" style="167"/>
  </cols>
  <sheetData>
    <row r="1" spans="1:22" ht="23.15" customHeight="1" thickBot="1" x14ac:dyDescent="0.3">
      <c r="A1" s="1160" t="s">
        <v>201</v>
      </c>
      <c r="B1" s="1161"/>
      <c r="C1" s="1161"/>
      <c r="D1" s="1161"/>
      <c r="E1" s="1161"/>
      <c r="F1" s="1161"/>
      <c r="G1" s="1161"/>
      <c r="H1" s="1162"/>
      <c r="I1" s="580"/>
      <c r="J1" s="296"/>
      <c r="K1" s="296"/>
      <c r="L1" s="296"/>
      <c r="M1" s="296"/>
      <c r="N1" s="209"/>
      <c r="O1" s="209" t="str">
        <f>+TITELBLAD!B16</f>
        <v>Rapportering over boekjaar:</v>
      </c>
      <c r="P1" s="209"/>
      <c r="Q1" s="209"/>
      <c r="R1" s="209">
        <f>+TITELBLAD!E16</f>
        <v>2021</v>
      </c>
      <c r="S1" s="209" t="str">
        <f>+TITELBLAD!F16</f>
        <v>ex-ante</v>
      </c>
      <c r="T1" s="209" t="str">
        <f>+R1&amp;S1</f>
        <v>2021ex-ante</v>
      </c>
      <c r="U1" s="209"/>
      <c r="V1" s="296"/>
    </row>
    <row r="2" spans="1:22" x14ac:dyDescent="0.25">
      <c r="I2" s="580"/>
      <c r="J2" s="296"/>
      <c r="K2" s="296"/>
      <c r="L2" s="296"/>
      <c r="M2" s="296"/>
      <c r="N2" s="209"/>
      <c r="O2" s="209"/>
      <c r="P2" s="209"/>
      <c r="Q2" s="209"/>
      <c r="R2" s="209"/>
      <c r="S2" s="209"/>
      <c r="T2" s="209"/>
      <c r="U2" s="209"/>
      <c r="V2" s="296"/>
    </row>
    <row r="3" spans="1:22" x14ac:dyDescent="0.25">
      <c r="B3" s="582" t="s">
        <v>37</v>
      </c>
      <c r="F3" s="167"/>
      <c r="H3" s="167"/>
      <c r="I3" s="583"/>
      <c r="J3" s="296"/>
      <c r="K3" s="296"/>
      <c r="L3" s="296"/>
      <c r="M3" s="296"/>
      <c r="N3" s="209"/>
      <c r="O3" s="209"/>
      <c r="P3" s="209"/>
      <c r="Q3" s="209"/>
      <c r="R3" s="209"/>
      <c r="S3" s="209"/>
      <c r="T3" s="209"/>
      <c r="U3" s="209"/>
      <c r="V3" s="296"/>
    </row>
    <row r="4" spans="1:22" x14ac:dyDescent="0.25">
      <c r="B4" s="224" t="s">
        <v>96</v>
      </c>
      <c r="F4" s="167"/>
      <c r="H4" s="167"/>
      <c r="I4" s="583"/>
      <c r="J4" s="296"/>
      <c r="K4" s="296"/>
      <c r="L4" s="296"/>
      <c r="M4" s="296"/>
      <c r="N4" s="209"/>
      <c r="O4" s="209"/>
      <c r="P4" s="209"/>
      <c r="Q4" s="209"/>
      <c r="R4" s="209"/>
      <c r="S4" s="209"/>
      <c r="T4" s="209"/>
      <c r="U4" s="209"/>
      <c r="V4" s="296"/>
    </row>
    <row r="5" spans="1:22" x14ac:dyDescent="0.25">
      <c r="B5" s="494"/>
      <c r="F5" s="167"/>
      <c r="H5" s="167"/>
      <c r="I5" s="583"/>
      <c r="J5" s="296"/>
      <c r="K5" s="296"/>
      <c r="L5" s="296"/>
      <c r="M5" s="296"/>
      <c r="N5" s="209"/>
      <c r="O5" s="209"/>
      <c r="P5" s="209"/>
      <c r="Q5" s="209"/>
      <c r="R5" s="209"/>
      <c r="S5" s="209"/>
      <c r="T5" s="209"/>
      <c r="U5" s="209"/>
      <c r="V5" s="296"/>
    </row>
    <row r="6" spans="1:22" x14ac:dyDescent="0.25">
      <c r="B6" s="358" t="s">
        <v>202</v>
      </c>
      <c r="F6" s="167"/>
      <c r="H6" s="167"/>
      <c r="I6" s="583"/>
      <c r="J6" s="296"/>
      <c r="K6" s="296"/>
      <c r="L6" s="296"/>
      <c r="M6" s="296"/>
      <c r="N6" s="209"/>
      <c r="O6" s="209"/>
      <c r="P6" s="209"/>
      <c r="Q6" s="209"/>
      <c r="R6" s="209"/>
      <c r="S6" s="209"/>
      <c r="T6" s="209"/>
      <c r="U6" s="209"/>
      <c r="V6" s="296"/>
    </row>
    <row r="7" spans="1:22" x14ac:dyDescent="0.25">
      <c r="B7" s="224" t="s">
        <v>203</v>
      </c>
      <c r="E7" s="167"/>
      <c r="F7" s="167"/>
      <c r="H7" s="167"/>
      <c r="I7" s="583"/>
      <c r="J7" s="296"/>
      <c r="K7" s="296"/>
      <c r="L7" s="296"/>
      <c r="M7" s="296"/>
      <c r="N7" s="296"/>
      <c r="O7" s="296"/>
      <c r="P7" s="296"/>
      <c r="Q7" s="296"/>
      <c r="R7" s="296"/>
      <c r="S7" s="296"/>
      <c r="T7" s="296"/>
      <c r="U7" s="209"/>
      <c r="V7" s="296"/>
    </row>
    <row r="8" spans="1:22" x14ac:dyDescent="0.25">
      <c r="B8" s="494"/>
      <c r="E8" s="167"/>
      <c r="F8" s="167"/>
      <c r="H8" s="167"/>
      <c r="I8" s="583"/>
      <c r="J8" s="296"/>
      <c r="K8" s="296"/>
      <c r="L8" s="296"/>
      <c r="M8" s="296"/>
      <c r="N8" s="296"/>
      <c r="O8" s="296"/>
      <c r="P8" s="296"/>
      <c r="Q8" s="296"/>
      <c r="R8" s="296"/>
      <c r="S8" s="296"/>
      <c r="T8" s="296"/>
      <c r="U8" s="296"/>
      <c r="V8" s="296"/>
    </row>
    <row r="9" spans="1:22" x14ac:dyDescent="0.25">
      <c r="F9" s="167"/>
      <c r="H9" s="167"/>
      <c r="I9" s="583"/>
      <c r="J9" s="296"/>
      <c r="K9" s="296"/>
      <c r="L9" s="296"/>
      <c r="M9" s="296"/>
      <c r="N9" s="296"/>
      <c r="O9" s="296"/>
      <c r="P9" s="296"/>
      <c r="Q9" s="296"/>
      <c r="R9" s="296"/>
      <c r="S9" s="296"/>
      <c r="T9" s="296"/>
      <c r="U9" s="296"/>
      <c r="V9" s="296"/>
    </row>
    <row r="10" spans="1:22" x14ac:dyDescent="0.25">
      <c r="D10" s="166" t="s">
        <v>0</v>
      </c>
      <c r="E10" s="166" t="s">
        <v>1</v>
      </c>
      <c r="I10" s="580"/>
      <c r="J10" s="296"/>
      <c r="K10" s="296"/>
      <c r="L10" s="296"/>
      <c r="M10" s="296"/>
      <c r="N10" s="296"/>
      <c r="O10" s="296"/>
      <c r="P10" s="296"/>
      <c r="Q10" s="296"/>
      <c r="R10" s="296"/>
      <c r="S10" s="296"/>
      <c r="T10" s="296"/>
      <c r="U10" s="296"/>
      <c r="V10" s="296"/>
    </row>
    <row r="11" spans="1:22" x14ac:dyDescent="0.25">
      <c r="D11" s="657" t="s">
        <v>2</v>
      </c>
      <c r="E11" s="657" t="s">
        <v>2</v>
      </c>
      <c r="I11" s="580"/>
      <c r="J11" s="296"/>
      <c r="K11" s="296"/>
      <c r="L11" s="296"/>
      <c r="M11" s="296"/>
      <c r="N11" s="296"/>
      <c r="O11" s="296"/>
      <c r="P11" s="296"/>
      <c r="Q11" s="296"/>
      <c r="R11" s="296"/>
      <c r="S11" s="296"/>
      <c r="T11" s="296"/>
      <c r="U11" s="296"/>
      <c r="V11" s="296"/>
    </row>
    <row r="12" spans="1:22" x14ac:dyDescent="0.25">
      <c r="D12" s="657">
        <f>'T2 - Overzicht'!D6</f>
        <v>2021</v>
      </c>
      <c r="E12" s="657">
        <f>$D$12</f>
        <v>2021</v>
      </c>
      <c r="I12" s="580"/>
      <c r="J12" s="296"/>
      <c r="K12" s="296"/>
      <c r="L12" s="296"/>
      <c r="M12" s="296"/>
      <c r="N12" s="296"/>
      <c r="O12" s="296"/>
      <c r="P12" s="296"/>
      <c r="Q12" s="296"/>
      <c r="R12" s="296"/>
      <c r="S12" s="296"/>
      <c r="T12" s="296"/>
      <c r="U12" s="296"/>
      <c r="V12" s="296"/>
    </row>
    <row r="13" spans="1:22" x14ac:dyDescent="0.25">
      <c r="D13" s="657" t="str">
        <f>+TITELBLAD!$C$7</f>
        <v>NAAM DNB</v>
      </c>
      <c r="E13" s="657" t="str">
        <f>+TITELBLAD!$C$7</f>
        <v>NAAM DNB</v>
      </c>
      <c r="I13" s="580"/>
      <c r="J13" s="296"/>
      <c r="K13" s="296"/>
      <c r="L13" s="296"/>
      <c r="M13" s="296"/>
      <c r="N13" s="296"/>
      <c r="O13" s="296"/>
      <c r="P13" s="296"/>
      <c r="Q13" s="296"/>
      <c r="R13" s="296"/>
      <c r="S13" s="296"/>
      <c r="T13" s="296"/>
      <c r="U13" s="296"/>
      <c r="V13" s="296"/>
    </row>
    <row r="14" spans="1:22" x14ac:dyDescent="0.25">
      <c r="D14" s="657" t="str">
        <f>TITELBLAD!$C$10</f>
        <v>elektriciteit</v>
      </c>
      <c r="E14" s="657" t="str">
        <f>TITELBLAD!$C$10</f>
        <v>elektriciteit</v>
      </c>
      <c r="I14" s="580"/>
      <c r="J14" s="296"/>
      <c r="K14" s="296"/>
      <c r="L14" s="296"/>
      <c r="M14" s="296"/>
      <c r="N14" s="296"/>
      <c r="O14" s="296"/>
      <c r="P14" s="296"/>
      <c r="Q14" s="296"/>
      <c r="R14" s="296"/>
      <c r="S14" s="296"/>
      <c r="T14" s="296"/>
      <c r="U14" s="296"/>
      <c r="V14" s="296"/>
    </row>
    <row r="15" spans="1:22" x14ac:dyDescent="0.25">
      <c r="D15" s="658"/>
      <c r="E15" s="658"/>
      <c r="I15" s="580"/>
      <c r="J15" s="296"/>
      <c r="K15" s="296"/>
      <c r="L15" s="296"/>
      <c r="M15" s="296"/>
      <c r="N15" s="296"/>
      <c r="O15" s="296"/>
      <c r="P15" s="296"/>
      <c r="Q15" s="296"/>
      <c r="R15" s="296"/>
      <c r="S15" s="296"/>
      <c r="T15" s="296"/>
      <c r="U15" s="296"/>
      <c r="V15" s="296"/>
    </row>
    <row r="16" spans="1:22" ht="13" customHeight="1" x14ac:dyDescent="0.25">
      <c r="B16" s="1188" t="s">
        <v>103</v>
      </c>
      <c r="C16" s="1191" t="s">
        <v>401</v>
      </c>
      <c r="D16" s="1194"/>
      <c r="E16" s="1198"/>
      <c r="F16" s="1195" t="s">
        <v>104</v>
      </c>
      <c r="H16" s="1195" t="s">
        <v>140</v>
      </c>
      <c r="I16" s="580"/>
      <c r="J16" s="296"/>
      <c r="K16" s="296"/>
      <c r="L16" s="296"/>
      <c r="M16" s="296"/>
      <c r="N16" s="296"/>
      <c r="O16" s="296"/>
      <c r="P16" s="296"/>
      <c r="Q16" s="296"/>
      <c r="R16" s="296"/>
      <c r="S16" s="296"/>
      <c r="T16" s="296"/>
      <c r="U16" s="296"/>
      <c r="V16" s="296"/>
    </row>
    <row r="17" spans="1:22" x14ac:dyDescent="0.25">
      <c r="B17" s="1189"/>
      <c r="C17" s="1192"/>
      <c r="D17" s="1194"/>
      <c r="E17" s="1199"/>
      <c r="F17" s="1196"/>
      <c r="H17" s="1196"/>
      <c r="L17" s="296"/>
      <c r="M17" s="296"/>
      <c r="N17" s="296"/>
      <c r="O17" s="296"/>
      <c r="P17" s="296"/>
      <c r="Q17" s="296"/>
      <c r="R17" s="296"/>
      <c r="S17" s="296"/>
      <c r="T17" s="296"/>
      <c r="U17" s="296"/>
      <c r="V17" s="296"/>
    </row>
    <row r="18" spans="1:22" x14ac:dyDescent="0.25">
      <c r="B18" s="1190"/>
      <c r="C18" s="1193"/>
      <c r="D18" s="1194"/>
      <c r="E18" s="1200"/>
      <c r="F18" s="1197"/>
      <c r="H18" s="1197"/>
      <c r="L18" s="296"/>
      <c r="M18" s="296"/>
      <c r="N18" s="296"/>
      <c r="O18" s="296"/>
      <c r="P18" s="296"/>
      <c r="Q18" s="296"/>
      <c r="R18" s="296"/>
      <c r="S18" s="296"/>
      <c r="T18" s="296"/>
      <c r="U18" s="296"/>
      <c r="V18" s="296"/>
    </row>
    <row r="19" spans="1:22" s="661" customFormat="1" x14ac:dyDescent="0.25">
      <c r="B19" s="960"/>
      <c r="C19" s="663"/>
      <c r="F19" s="663"/>
      <c r="H19" s="663"/>
      <c r="I19" s="664"/>
      <c r="L19" s="669"/>
      <c r="M19" s="669"/>
      <c r="N19" s="669"/>
      <c r="O19" s="669"/>
      <c r="P19" s="669"/>
      <c r="Q19" s="669"/>
      <c r="R19" s="669"/>
      <c r="S19" s="669"/>
      <c r="T19" s="669"/>
      <c r="U19" s="669"/>
      <c r="V19" s="669"/>
    </row>
    <row r="20" spans="1:22" s="661" customFormat="1" x14ac:dyDescent="0.25">
      <c r="B20" s="960"/>
      <c r="C20" s="663"/>
      <c r="F20" s="663"/>
      <c r="H20" s="663"/>
      <c r="I20" s="664"/>
      <c r="L20" s="669"/>
      <c r="M20" s="669"/>
      <c r="N20" s="669"/>
      <c r="O20" s="669"/>
      <c r="P20" s="669"/>
      <c r="Q20" s="669"/>
      <c r="R20" s="669"/>
      <c r="S20" s="669"/>
      <c r="T20" s="669"/>
      <c r="U20" s="669"/>
      <c r="V20" s="669"/>
    </row>
    <row r="21" spans="1:22" s="661" customFormat="1" ht="17.5" customHeight="1" x14ac:dyDescent="0.25">
      <c r="B21" s="961" t="s">
        <v>257</v>
      </c>
      <c r="C21" s="962"/>
      <c r="D21" s="963"/>
      <c r="E21" s="963"/>
      <c r="F21" s="962"/>
      <c r="G21" s="963"/>
      <c r="H21" s="964"/>
      <c r="I21" s="664"/>
      <c r="L21" s="669"/>
      <c r="M21" s="669"/>
      <c r="N21" s="669"/>
      <c r="O21" s="669"/>
      <c r="P21" s="669"/>
      <c r="Q21" s="669"/>
      <c r="R21" s="669"/>
      <c r="S21" s="669"/>
      <c r="T21" s="669"/>
      <c r="U21" s="669"/>
      <c r="V21" s="669"/>
    </row>
    <row r="22" spans="1:22" s="661" customFormat="1" x14ac:dyDescent="0.25">
      <c r="B22" s="960"/>
      <c r="C22" s="663"/>
      <c r="F22" s="663"/>
      <c r="H22" s="663"/>
      <c r="I22" s="664"/>
      <c r="L22" s="669"/>
      <c r="M22" s="669"/>
      <c r="N22" s="669"/>
      <c r="O22" s="669"/>
      <c r="P22" s="669"/>
      <c r="Q22" s="669"/>
      <c r="R22" s="669"/>
      <c r="S22" s="669"/>
      <c r="T22" s="669"/>
      <c r="U22" s="669"/>
      <c r="V22" s="669"/>
    </row>
    <row r="23" spans="1:22" ht="55.5" customHeight="1" x14ac:dyDescent="0.25">
      <c r="A23" s="167">
        <v>1</v>
      </c>
      <c r="B23" s="180" t="s">
        <v>121</v>
      </c>
      <c r="C23" s="2" t="s">
        <v>102</v>
      </c>
      <c r="D23" s="197"/>
      <c r="E23" s="197"/>
      <c r="F23" s="193"/>
      <c r="H23" s="193"/>
      <c r="L23" s="296"/>
      <c r="M23" s="296"/>
      <c r="N23" s="296"/>
      <c r="O23" s="296"/>
      <c r="P23" s="296"/>
      <c r="Q23" s="296"/>
      <c r="R23" s="296"/>
      <c r="S23" s="296"/>
      <c r="T23" s="296"/>
      <c r="U23" s="296"/>
      <c r="V23" s="296"/>
    </row>
    <row r="24" spans="1:22" ht="28" customHeight="1" x14ac:dyDescent="0.25">
      <c r="B24" s="175" t="s">
        <v>107</v>
      </c>
      <c r="C24" s="206"/>
      <c r="D24" s="189">
        <f>-T4B!G224</f>
        <v>0</v>
      </c>
      <c r="E24" s="189">
        <f>+D24</f>
        <v>0</v>
      </c>
      <c r="F24" s="195" t="s">
        <v>4</v>
      </c>
      <c r="H24" s="195"/>
    </row>
    <row r="25" spans="1:22" x14ac:dyDescent="0.25">
      <c r="L25" s="296"/>
      <c r="M25" s="296"/>
      <c r="N25" s="296"/>
      <c r="O25" s="296"/>
      <c r="P25" s="296"/>
      <c r="Q25" s="296"/>
      <c r="R25" s="296"/>
      <c r="S25" s="296"/>
      <c r="T25" s="296"/>
      <c r="U25" s="296"/>
      <c r="V25" s="296"/>
    </row>
    <row r="26" spans="1:22" ht="72.75" customHeight="1" x14ac:dyDescent="0.25">
      <c r="A26" s="167">
        <f>+A23+1</f>
        <v>2</v>
      </c>
      <c r="B26" s="180" t="s">
        <v>369</v>
      </c>
      <c r="C26" s="2" t="s">
        <v>117</v>
      </c>
      <c r="D26" s="197"/>
      <c r="E26" s="197"/>
      <c r="F26" s="193"/>
      <c r="H26" s="193"/>
    </row>
    <row r="27" spans="1:22" ht="28" customHeight="1" x14ac:dyDescent="0.25">
      <c r="B27" s="175" t="s">
        <v>107</v>
      </c>
      <c r="C27" s="160"/>
      <c r="D27" s="189">
        <f>-T5B!G224</f>
        <v>0</v>
      </c>
      <c r="E27" s="189">
        <f>+D27</f>
        <v>0</v>
      </c>
      <c r="F27" s="195" t="s">
        <v>4</v>
      </c>
      <c r="H27" s="195"/>
    </row>
    <row r="28" spans="1:22" x14ac:dyDescent="0.25">
      <c r="L28" s="296"/>
      <c r="M28" s="296"/>
      <c r="N28" s="296"/>
      <c r="O28" s="296"/>
      <c r="P28" s="296"/>
      <c r="Q28" s="296"/>
      <c r="R28" s="296"/>
      <c r="S28" s="296"/>
      <c r="T28" s="296"/>
      <c r="U28" s="296"/>
      <c r="V28" s="296"/>
    </row>
    <row r="29" spans="1:22" ht="59.25" customHeight="1" x14ac:dyDescent="0.25">
      <c r="A29" s="167">
        <f>A26+1</f>
        <v>3</v>
      </c>
      <c r="B29" s="180" t="s">
        <v>125</v>
      </c>
      <c r="C29" s="2" t="s">
        <v>135</v>
      </c>
      <c r="D29" s="197"/>
      <c r="E29" s="193"/>
      <c r="F29" s="193"/>
      <c r="H29" s="193"/>
    </row>
    <row r="30" spans="1:22" ht="28" customHeight="1" x14ac:dyDescent="0.25">
      <c r="B30" s="175" t="s">
        <v>107</v>
      </c>
      <c r="C30" s="194"/>
      <c r="D30" s="215">
        <f>-T6B!G192</f>
        <v>0</v>
      </c>
      <c r="E30" s="189">
        <f>+D30</f>
        <v>0</v>
      </c>
      <c r="F30" s="193" t="s">
        <v>4</v>
      </c>
      <c r="H30" s="193"/>
    </row>
    <row r="31" spans="1:22" s="301" customFormat="1" x14ac:dyDescent="0.25">
      <c r="B31" s="586"/>
      <c r="C31" s="587"/>
      <c r="D31" s="587"/>
      <c r="E31" s="205"/>
      <c r="F31" s="205"/>
      <c r="G31" s="167"/>
      <c r="H31" s="205"/>
      <c r="I31" s="224"/>
      <c r="J31" s="167"/>
    </row>
    <row r="32" spans="1:22" ht="59.25" customHeight="1" x14ac:dyDescent="0.25">
      <c r="A32" s="167">
        <f>+A29+1</f>
        <v>4</v>
      </c>
      <c r="B32" s="180" t="s">
        <v>138</v>
      </c>
      <c r="C32" s="161" t="s">
        <v>63</v>
      </c>
      <c r="D32" s="197"/>
      <c r="E32" s="193"/>
      <c r="F32" s="193"/>
      <c r="H32" s="193"/>
    </row>
    <row r="33" spans="1:10" ht="28" customHeight="1" x14ac:dyDescent="0.25">
      <c r="B33" s="175" t="s">
        <v>107</v>
      </c>
      <c r="C33" s="192"/>
      <c r="D33" s="208">
        <f>-VLOOKUP(D12,'T7'!A109:B112,2,FALSE)</f>
        <v>0</v>
      </c>
      <c r="E33" s="189">
        <f>+D33</f>
        <v>0</v>
      </c>
      <c r="F33" s="193" t="s">
        <v>4</v>
      </c>
      <c r="G33" s="176"/>
      <c r="H33" s="193"/>
    </row>
    <row r="34" spans="1:10" s="301" customFormat="1" x14ac:dyDescent="0.25">
      <c r="B34" s="586"/>
      <c r="C34" s="587"/>
      <c r="D34" s="587"/>
      <c r="E34" s="587"/>
      <c r="F34" s="205"/>
      <c r="G34" s="167"/>
      <c r="H34" s="205"/>
      <c r="I34" s="224"/>
      <c r="J34" s="167"/>
    </row>
    <row r="35" spans="1:10" ht="31.5" customHeight="1" x14ac:dyDescent="0.25">
      <c r="A35" s="167">
        <f>+A32+1</f>
        <v>5</v>
      </c>
      <c r="B35" s="180" t="s">
        <v>206</v>
      </c>
      <c r="C35" s="579" t="s">
        <v>64</v>
      </c>
      <c r="D35" s="197"/>
      <c r="E35" s="197"/>
      <c r="F35" s="193"/>
      <c r="H35" s="193"/>
    </row>
    <row r="36" spans="1:10" ht="28" customHeight="1" x14ac:dyDescent="0.25">
      <c r="B36" s="175" t="s">
        <v>107</v>
      </c>
      <c r="C36" s="194"/>
      <c r="D36" s="189">
        <f>-VLOOKUP(D12,'T8'!A68:B71,2,FALSE)</f>
        <v>0</v>
      </c>
      <c r="E36" s="189">
        <f>+D36</f>
        <v>0</v>
      </c>
      <c r="F36" s="193" t="s">
        <v>4</v>
      </c>
      <c r="H36" s="193"/>
    </row>
    <row r="37" spans="1:10" x14ac:dyDescent="0.25">
      <c r="B37" s="123"/>
      <c r="C37" s="611"/>
      <c r="D37" s="590"/>
      <c r="E37" s="590"/>
      <c r="F37" s="222"/>
      <c r="H37" s="222"/>
    </row>
    <row r="38" spans="1:10" ht="31" customHeight="1" x14ac:dyDescent="0.25">
      <c r="A38" s="167">
        <f>+A35+1</f>
        <v>6</v>
      </c>
      <c r="B38" s="612" t="s">
        <v>420</v>
      </c>
      <c r="C38" s="613"/>
      <c r="D38" s="651">
        <f>D39*D46</f>
        <v>0</v>
      </c>
      <c r="E38" s="651">
        <f>E39*E46</f>
        <v>0</v>
      </c>
      <c r="F38" s="193" t="s">
        <v>4</v>
      </c>
      <c r="H38" s="614"/>
    </row>
    <row r="39" spans="1:10" ht="48" customHeight="1" x14ac:dyDescent="0.25">
      <c r="B39" s="615" t="str">
        <f>"Gemiddelde voorraad GSC en WKC (boekhoudkundige waarde) voor boekjaar "&amp;D12</f>
        <v>Gemiddelde voorraad GSC en WKC (boekhoudkundige waarde) voor boekjaar 2021</v>
      </c>
      <c r="C39" s="616"/>
      <c r="D39" s="617">
        <f>+AVERAGE(D40,D43)</f>
        <v>0</v>
      </c>
      <c r="E39" s="617">
        <f>+AVERAGE(E40,E43)</f>
        <v>0</v>
      </c>
      <c r="F39" s="167"/>
      <c r="H39" s="614"/>
    </row>
    <row r="40" spans="1:10" ht="36.75" customHeight="1" x14ac:dyDescent="0.25">
      <c r="B40" s="175" t="str">
        <f>"Beginvoorraad GSC en WKC (01/01/"&amp;D12&amp;")"</f>
        <v>Beginvoorraad GSC en WKC (01/01/2021)</v>
      </c>
      <c r="C40" s="594"/>
      <c r="D40" s="208">
        <f>+SUM(D41:D42)</f>
        <v>0</v>
      </c>
      <c r="E40" s="208">
        <f>+SUM(E41:E42)</f>
        <v>0</v>
      </c>
      <c r="F40" s="167"/>
      <c r="H40" s="614"/>
    </row>
    <row r="41" spans="1:10" ht="36.75" customHeight="1" x14ac:dyDescent="0.25">
      <c r="B41" s="721" t="str">
        <f>"Beginvoorraad GSC (01/01/"&amp;D12&amp;")"</f>
        <v>Beginvoorraad GSC (01/01/2021)</v>
      </c>
      <c r="C41" s="592"/>
      <c r="D41" s="196">
        <v>0</v>
      </c>
      <c r="E41" s="196">
        <v>0</v>
      </c>
      <c r="F41" s="167"/>
      <c r="H41" s="614" t="s">
        <v>35</v>
      </c>
    </row>
    <row r="42" spans="1:10" ht="36.75" customHeight="1" x14ac:dyDescent="0.25">
      <c r="B42" s="721" t="str">
        <f>"Beginvoorraad WKC (01/01/"&amp;D12&amp;")"</f>
        <v>Beginvoorraad WKC (01/01/2021)</v>
      </c>
      <c r="C42" s="592"/>
      <c r="D42" s="196">
        <v>0</v>
      </c>
      <c r="E42" s="196">
        <v>0</v>
      </c>
      <c r="F42" s="167"/>
      <c r="H42" s="614" t="s">
        <v>35</v>
      </c>
    </row>
    <row r="43" spans="1:10" ht="33.65" customHeight="1" x14ac:dyDescent="0.25">
      <c r="B43" s="175" t="str">
        <f>"Eindvoorraad GSC en WKC (31/12/"&amp;D12&amp;")"</f>
        <v>Eindvoorraad GSC en WKC (31/12/2021)</v>
      </c>
      <c r="C43" s="594"/>
      <c r="D43" s="208">
        <f>+SUM(D44:D45)</f>
        <v>0</v>
      </c>
      <c r="E43" s="208">
        <f>+SUM(E44:E45)</f>
        <v>0</v>
      </c>
      <c r="F43" s="167"/>
      <c r="H43" s="614"/>
    </row>
    <row r="44" spans="1:10" ht="36.75" customHeight="1" x14ac:dyDescent="0.25">
      <c r="B44" s="721" t="str">
        <f>"Eindvoorraad GSC (31/12/"&amp;D12&amp;")"</f>
        <v>Eindvoorraad GSC (31/12/2021)</v>
      </c>
      <c r="C44" s="592"/>
      <c r="D44" s="196">
        <v>0</v>
      </c>
      <c r="E44" s="196">
        <v>0</v>
      </c>
      <c r="F44" s="167"/>
      <c r="H44" s="614" t="s">
        <v>35</v>
      </c>
    </row>
    <row r="45" spans="1:10" ht="36.75" customHeight="1" x14ac:dyDescent="0.25">
      <c r="B45" s="721" t="str">
        <f>"Eindvoorraad WKC (31/12/"&amp;D12&amp;")"</f>
        <v>Eindvoorraad WKC (31/12/2021)</v>
      </c>
      <c r="C45" s="592"/>
      <c r="D45" s="196">
        <v>0</v>
      </c>
      <c r="E45" s="196">
        <v>0</v>
      </c>
      <c r="F45" s="167"/>
      <c r="H45" s="614" t="s">
        <v>35</v>
      </c>
    </row>
    <row r="46" spans="1:10" ht="29.25" customHeight="1" x14ac:dyDescent="0.25">
      <c r="B46" s="191" t="str">
        <f>"Kapitaalkostvergoeding voor boekjaar "&amp;D12&amp;" (in te vullen door de VREG)"</f>
        <v>Kapitaalkostvergoeding voor boekjaar 2021 (in te vullen door de VREG)</v>
      </c>
      <c r="C46" s="168"/>
      <c r="D46" s="985">
        <v>0</v>
      </c>
      <c r="E46" s="985">
        <v>0</v>
      </c>
      <c r="F46" s="167"/>
      <c r="H46" s="614"/>
    </row>
    <row r="47" spans="1:10" x14ac:dyDescent="0.25">
      <c r="B47" s="123"/>
      <c r="C47" s="611"/>
      <c r="D47" s="590"/>
      <c r="E47" s="590"/>
      <c r="F47" s="222"/>
      <c r="H47" s="167"/>
    </row>
    <row r="48" spans="1:10" ht="32.25" customHeight="1" x14ac:dyDescent="0.25">
      <c r="A48" s="167">
        <f>+A38+1</f>
        <v>7</v>
      </c>
      <c r="B48" s="180" t="s">
        <v>147</v>
      </c>
      <c r="C48" s="618"/>
      <c r="D48" s="651">
        <f>+D49*D50</f>
        <v>0</v>
      </c>
      <c r="E48" s="651">
        <f>+E49*E50</f>
        <v>0</v>
      </c>
      <c r="F48" s="193" t="s">
        <v>4</v>
      </c>
      <c r="H48" s="614"/>
    </row>
    <row r="49" spans="1:8" ht="48.75" customHeight="1" x14ac:dyDescent="0.25">
      <c r="B49" s="191" t="str">
        <f>"Gecumuleerd regulatoir saldo exogene kosten m.b.t. distributie bij het begin van het boekjaar (01/01/"&amp;R1&amp;") (positieve waarde voor tekort, en omgekeerd)"</f>
        <v>Gecumuleerd regulatoir saldo exogene kosten m.b.t. distributie bij het begin van het boekjaar (01/01/2021) (positieve waarde voor tekort, en omgekeerd)</v>
      </c>
      <c r="C49" s="2"/>
      <c r="D49" s="650">
        <f>+VLOOKUP($R$1-1,T4A!$B$63:$N$67,13,FALSE)-INDEX(T4A!$H$63:$L$67,MATCH('T3'!$R$1-1,T4A!$B$63:$B$67,0),MATCH('T3'!$R$1-1,T4A!$H$57:$L$57,0))</f>
        <v>0</v>
      </c>
      <c r="E49" s="617">
        <f>IF($S$1="ex-ante",0,IF($S$1="ex-post",VLOOKUP(R1-1,T4B!$A$212:$R$216,18,FALSE),0))</f>
        <v>0</v>
      </c>
      <c r="F49" s="167"/>
      <c r="H49" s="614"/>
    </row>
    <row r="50" spans="1:8" ht="33" customHeight="1" x14ac:dyDescent="0.25">
      <c r="B50" s="191" t="str">
        <f>"Kapitaalkostvergoeding voor boekjaar "&amp;R1&amp;" (in te vullen door de VREG)"</f>
        <v>Kapitaalkostvergoeding voor boekjaar 2021 (in te vullen door de VREG)</v>
      </c>
      <c r="C50" s="585"/>
      <c r="D50" s="985">
        <v>0</v>
      </c>
      <c r="E50" s="985">
        <v>0</v>
      </c>
      <c r="F50" s="167"/>
      <c r="H50" s="614"/>
    </row>
    <row r="51" spans="1:8" x14ac:dyDescent="0.25">
      <c r="B51" s="123"/>
      <c r="C51" s="611"/>
      <c r="D51" s="590"/>
      <c r="E51" s="590"/>
      <c r="F51" s="222"/>
      <c r="H51" s="167"/>
    </row>
    <row r="52" spans="1:8" ht="36.65" customHeight="1" x14ac:dyDescent="0.25">
      <c r="A52" s="167">
        <f>A48+1</f>
        <v>8</v>
      </c>
      <c r="B52" s="180" t="s">
        <v>370</v>
      </c>
      <c r="C52" s="613"/>
      <c r="D52" s="651">
        <f>D53*D56</f>
        <v>0</v>
      </c>
      <c r="E52" s="651">
        <f>+E53*E56</f>
        <v>0</v>
      </c>
      <c r="F52" s="193" t="s">
        <v>4</v>
      </c>
      <c r="H52" s="614"/>
    </row>
    <row r="53" spans="1:8" ht="51" customHeight="1" x14ac:dyDescent="0.25">
      <c r="B53" s="191" t="str">
        <f>"Gemiddeld regulatoir saldo volumerisico endogeen budget voor boekjaar "&amp;D12&amp;" (positieve waarde voor tekort, en omgekeerd)"</f>
        <v>Gemiddeld regulatoir saldo volumerisico endogeen budget voor boekjaar 2021 (positieve waarde voor tekort, en omgekeerd)</v>
      </c>
      <c r="C53" s="616"/>
      <c r="D53" s="617">
        <f>AVERAGE(D54:D55)</f>
        <v>0</v>
      </c>
      <c r="E53" s="617">
        <f>AVERAGE(E54:E55)</f>
        <v>0</v>
      </c>
      <c r="F53" s="167"/>
      <c r="H53" s="614"/>
    </row>
    <row r="54" spans="1:8" ht="46" customHeight="1" x14ac:dyDescent="0.25">
      <c r="B54" s="175" t="str">
        <f>"Regulatoir saldo volumerisico endogeen budget bij het begin van het boekjaar (01/01/"&amp;D12&amp;") (positieve waarde voor tekort, en omgekeerd)"</f>
        <v>Regulatoir saldo volumerisico endogeen budget bij het begin van het boekjaar (01/01/2021) (positieve waarde voor tekort, en omgekeerd)</v>
      </c>
      <c r="C54" s="2"/>
      <c r="D54" s="650">
        <f>+VLOOKUP($R$1-1,T5A!$B$95:$N$99,13,FALSE)-INDEX(T5A!$H$95:$L$99,MATCH('T3'!$R$1-1,T5A!$B$95:$B$99,0),MATCH('T3'!$R$1-1,T5A!$H$89:$L$89,0))</f>
        <v>0</v>
      </c>
      <c r="E54" s="617">
        <f>IF($S$1="ex-ante",0,IF($S$1="ex-post",VLOOKUP($R$1-1,T5B!$A$212:$R$216,18,FALSE),0))</f>
        <v>0</v>
      </c>
      <c r="F54" s="167"/>
      <c r="H54" s="614"/>
    </row>
    <row r="55" spans="1:8" ht="46" customHeight="1" x14ac:dyDescent="0.25">
      <c r="B55" s="175" t="str">
        <f>"Regulatoir saldo volumerisico endogeen budget op het einde van het boekjaar (31/12/"&amp;D12&amp;") (positieve waarde voor tekort, en omgekeerd)"</f>
        <v>Regulatoir saldo volumerisico endogeen budget op het einde van het boekjaar (31/12/2021) (positieve waarde voor tekort, en omgekeerd)</v>
      </c>
      <c r="C55" s="2"/>
      <c r="D55" s="650">
        <f>+VLOOKUP($R$1,T5A!$B$95:$N$99,13,FALSE)-INDEX(T5A!$H$95:$L$99,MATCH('T3'!$R$1,T5A!$B$95:$B$99,0),MATCH('T3'!$R$1,T5A!$H$89:$L$89,0))-INDEX(T5A!$H$95:$L$99,MATCH('T3'!$R$1,T5A!$B$95:$B$99,0),MATCH('T3'!$R$1-1,T5A!$H$89:$L$89,0))</f>
        <v>0</v>
      </c>
      <c r="E55" s="617">
        <f>IF($S$1="ex-ante",0,IF($S$1="ex-post",VLOOKUP($R$1,T5B!$A$212:$R$216,18,FALSE),0))</f>
        <v>0</v>
      </c>
      <c r="F55" s="167"/>
      <c r="H55" s="614"/>
    </row>
    <row r="56" spans="1:8" ht="32.25" customHeight="1" x14ac:dyDescent="0.25">
      <c r="B56" s="191" t="str">
        <f>"Kapitaalkostvergoeding voor boekjaar "&amp;D12&amp;" (in te vullen door de VREG)"</f>
        <v>Kapitaalkostvergoeding voor boekjaar 2021 (in te vullen door de VREG)</v>
      </c>
      <c r="C56" s="585"/>
      <c r="D56" s="181">
        <f>+$D$50</f>
        <v>0</v>
      </c>
      <c r="E56" s="181">
        <f>+$E$50</f>
        <v>0</v>
      </c>
      <c r="F56" s="167"/>
      <c r="H56" s="614"/>
    </row>
    <row r="57" spans="1:8" x14ac:dyDescent="0.25">
      <c r="B57" s="123"/>
      <c r="C57" s="610"/>
      <c r="D57" s="622"/>
      <c r="E57" s="622"/>
      <c r="F57" s="222"/>
      <c r="H57" s="167"/>
    </row>
    <row r="58" spans="1:8" ht="42" customHeight="1" x14ac:dyDescent="0.25">
      <c r="A58" s="167">
        <f>+A52+1</f>
        <v>9</v>
      </c>
      <c r="B58" s="180" t="s">
        <v>233</v>
      </c>
      <c r="C58" s="613"/>
      <c r="D58" s="651">
        <f>D59*D62</f>
        <v>0</v>
      </c>
      <c r="E58" s="651">
        <f>+E59*E62</f>
        <v>0</v>
      </c>
      <c r="F58" s="193" t="s">
        <v>4</v>
      </c>
      <c r="H58" s="614"/>
    </row>
    <row r="59" spans="1:8" ht="51" customHeight="1" x14ac:dyDescent="0.25">
      <c r="B59" s="191" t="str">
        <f>"Gemiddeld regulatoir saldo herindexering van het budget voor endogene kosten voor boekjaar "&amp;D12&amp;" (positieve waarde voor tekort, en omgekeerd)"</f>
        <v>Gemiddeld regulatoir saldo herindexering van het budget voor endogene kosten voor boekjaar 2021 (positieve waarde voor tekort, en omgekeerd)</v>
      </c>
      <c r="C59" s="616"/>
      <c r="D59" s="617">
        <f>AVERAGE(D60:D61)</f>
        <v>0</v>
      </c>
      <c r="E59" s="617">
        <f>AVERAGE(E60:E61)</f>
        <v>0</v>
      </c>
      <c r="F59" s="167"/>
      <c r="H59" s="614"/>
    </row>
    <row r="60" spans="1:8" ht="46.5" customHeight="1" x14ac:dyDescent="0.25">
      <c r="B60" s="175" t="str">
        <f>"Regulatoir saldo herindexering van het budget voor endogene kosten bij het begin van het boekjaar (01/01/"&amp;D12&amp;") (positieve waarde voor tekort, en omgekeerd)"</f>
        <v>Regulatoir saldo herindexering van het budget voor endogene kosten bij het begin van het boekjaar (01/01/2021) (positieve waarde voor tekort, en omgekeerd)</v>
      </c>
      <c r="C60" s="2"/>
      <c r="D60" s="650">
        <f>+VLOOKUP($R$1-1,T6A!$B$116:$L$120,11,FALSE)</f>
        <v>0</v>
      </c>
      <c r="E60" s="617">
        <f>IF($S$1="ex-ante",0,IF($S$1="ex-post",VLOOKUP($R$1-1,T6B!$A$180:$P$184,16,FALSE),0))</f>
        <v>0</v>
      </c>
      <c r="F60" s="167"/>
      <c r="H60" s="614"/>
    </row>
    <row r="61" spans="1:8" ht="45" customHeight="1" x14ac:dyDescent="0.25">
      <c r="B61" s="175" t="str">
        <f>"Regulatoir saldo herindexering van het budget voor endogene kosten op het einde van het boekjaar (31/12/"&amp;D12&amp;") (positieve waarde voor tekort, en omgekeerd)"</f>
        <v>Regulatoir saldo herindexering van het budget voor endogene kosten op het einde van het boekjaar (31/12/2021) (positieve waarde voor tekort, en omgekeerd)</v>
      </c>
      <c r="C61" s="2"/>
      <c r="D61" s="650">
        <f>+VLOOKUP($R$1,T6A!$B$116:$L$120,11,FALSE)-INDEX(T6A!$F$116:$J$120,MATCH('T3'!$R$1,T6A!$B$116:$B$120,0),MATCH('T3'!$R$1,T6A!$F$112:$J$112,0))</f>
        <v>0</v>
      </c>
      <c r="E61" s="617">
        <f>IF($S$1="ex-ante",0,IF($S$1="ex-post",VLOOKUP($R$1,T6B!$A$180:$P$184,16,FALSE),0))</f>
        <v>0</v>
      </c>
      <c r="F61" s="167"/>
      <c r="H61" s="614"/>
    </row>
    <row r="62" spans="1:8" ht="32.25" customHeight="1" x14ac:dyDescent="0.25">
      <c r="B62" s="191" t="str">
        <f>"Kapitaalkostvergoeding voor boekjaar "&amp;D12&amp;" (in te vullen door de VREG)"</f>
        <v>Kapitaalkostvergoeding voor boekjaar 2021 (in te vullen door de VREG)</v>
      </c>
      <c r="C62" s="585"/>
      <c r="D62" s="181">
        <f>+$D$50</f>
        <v>0</v>
      </c>
      <c r="E62" s="181">
        <f>+$E$50</f>
        <v>0</v>
      </c>
      <c r="F62" s="167"/>
      <c r="H62" s="614"/>
    </row>
    <row r="63" spans="1:8" x14ac:dyDescent="0.25">
      <c r="B63" s="123"/>
      <c r="C63" s="610"/>
      <c r="D63" s="622"/>
      <c r="E63" s="622"/>
      <c r="F63" s="222"/>
      <c r="H63" s="167"/>
    </row>
    <row r="64" spans="1:8" ht="36" customHeight="1" x14ac:dyDescent="0.25">
      <c r="A64" s="167">
        <f>+A58+1</f>
        <v>10</v>
      </c>
      <c r="B64" s="180" t="s">
        <v>234</v>
      </c>
      <c r="C64" s="613"/>
      <c r="D64" s="651">
        <f>D65*D68</f>
        <v>0</v>
      </c>
      <c r="E64" s="651">
        <f>+E65*E68</f>
        <v>0</v>
      </c>
      <c r="F64" s="193" t="s">
        <v>4</v>
      </c>
      <c r="H64" s="614"/>
    </row>
    <row r="65" spans="1:22" ht="44.25" customHeight="1" x14ac:dyDescent="0.25">
      <c r="B65" s="191" t="str">
        <f>"Gemiddeld regulatoir saldo vennootschapsbelasting voor boekjaar "&amp;D12&amp;" (positieve waarde voor tekort, en omgekeerd)"</f>
        <v>Gemiddeld regulatoir saldo vennootschapsbelasting voor boekjaar 2021 (positieve waarde voor tekort, en omgekeerd)</v>
      </c>
      <c r="C65" s="616"/>
      <c r="D65" s="617">
        <f>AVERAGE(D66:D67)</f>
        <v>0</v>
      </c>
      <c r="E65" s="617">
        <f>AVERAGE(E66:E67)</f>
        <v>0</v>
      </c>
      <c r="F65" s="167"/>
      <c r="H65" s="614"/>
    </row>
    <row r="66" spans="1:22" ht="46.5" customHeight="1" x14ac:dyDescent="0.25">
      <c r="B66" s="175" t="str">
        <f>"Regulatoir saldo vennootschapsbelasting bij het begin van het boekjaar (01/01/"&amp;D12&amp;") (positieve waarde voor tekort, en omgekeerd)"</f>
        <v>Regulatoir saldo vennootschapsbelasting bij het begin van het boekjaar (01/01/2021) (positieve waarde voor tekort, en omgekeerd)</v>
      </c>
      <c r="C66" s="2"/>
      <c r="D66" s="650">
        <f>+VLOOKUP($R$1-1,'T7'!$B$54:$L$58,11,FALSE)-INDEX('T7'!$F$54:$J$58,MATCH('T3'!$R$1-1,'T7'!$B$54:$B$58,0),MATCH('T3'!$R$1-1,'T7'!$F$50:$J$50,0))</f>
        <v>0</v>
      </c>
      <c r="E66" s="617">
        <f>IF($S$1="ex-ante",0,IF($S$1="ex-post",VLOOKUP($R$1-1,'T7'!$B$54:$L$58,11,FALSE),0))</f>
        <v>0</v>
      </c>
      <c r="F66" s="167"/>
      <c r="H66" s="614"/>
    </row>
    <row r="67" spans="1:22" ht="45" customHeight="1" x14ac:dyDescent="0.25">
      <c r="B67" s="175" t="str">
        <f>"Regulatoir saldo vennootschapsbelasting op het einde van het boekjaar (31/12/"&amp;D12&amp;") (positieve waarde voor tekort, en omgekeerd)"</f>
        <v>Regulatoir saldo vennootschapsbelasting op het einde van het boekjaar (31/12/2021) (positieve waarde voor tekort, en omgekeerd)</v>
      </c>
      <c r="C67" s="2"/>
      <c r="D67" s="650">
        <f>+VLOOKUP($R$1,'T7'!$B$54:$L$58,11,FALSE)-INDEX('T7'!$F$54:$J$58,MATCH('T3'!$R$1,'T7'!$B$54:$B$58,0),MATCH('T3'!$R$1,'T7'!$F$50:$J$50,0))-INDEX('T7'!$F$54:$J$58,MATCH('T3'!$R$1,'T7'!$B$54:$B$58,0),MATCH('T3'!$R$1-1,'T7'!$F$50:$J$50,0))</f>
        <v>0</v>
      </c>
      <c r="E67" s="617">
        <f>IF($S$1="ex-ante",0,IF($S$1="ex-post",VLOOKUP($R$1,'T7'!$B$54:$L$58,11,FALSE),0))</f>
        <v>0</v>
      </c>
      <c r="F67" s="167"/>
      <c r="H67" s="614"/>
    </row>
    <row r="68" spans="1:22" ht="32.25" customHeight="1" x14ac:dyDescent="0.25">
      <c r="B68" s="191" t="str">
        <f>"Kapitaalkostvergoeding voor boekjaar "&amp;D12&amp;" (in te vullen door de VREG)"</f>
        <v>Kapitaalkostvergoeding voor boekjaar 2021 (in te vullen door de VREG)</v>
      </c>
      <c r="C68" s="585"/>
      <c r="D68" s="181">
        <f>+$D$50</f>
        <v>0</v>
      </c>
      <c r="E68" s="181">
        <f>+$E$50</f>
        <v>0</v>
      </c>
      <c r="F68" s="167"/>
      <c r="H68" s="614"/>
    </row>
    <row r="69" spans="1:22" x14ac:dyDescent="0.25">
      <c r="B69" s="123"/>
      <c r="C69" s="610"/>
      <c r="D69" s="622"/>
      <c r="E69" s="622"/>
      <c r="F69" s="222"/>
      <c r="H69" s="167"/>
    </row>
    <row r="70" spans="1:22" ht="36" customHeight="1" x14ac:dyDescent="0.25">
      <c r="A70" s="167">
        <f>+A64+1</f>
        <v>11</v>
      </c>
      <c r="B70" s="180" t="s">
        <v>235</v>
      </c>
      <c r="C70" s="613"/>
      <c r="D70" s="651">
        <f>D71*D74</f>
        <v>0</v>
      </c>
      <c r="E70" s="651">
        <f>+E71*E74</f>
        <v>0</v>
      </c>
      <c r="F70" s="193" t="s">
        <v>4</v>
      </c>
      <c r="H70" s="614"/>
    </row>
    <row r="71" spans="1:22" ht="44.25" customHeight="1" x14ac:dyDescent="0.25">
      <c r="B71" s="191" t="str">
        <f>"Gemiddeld regulatoir saldo herwaarderingsmeerwaarden voor boekjaar "&amp;D12&amp;" (positieve waarde voor tekort, en omgekeerd)"</f>
        <v>Gemiddeld regulatoir saldo herwaarderingsmeerwaarden voor boekjaar 2021 (positieve waarde voor tekort, en omgekeerd)</v>
      </c>
      <c r="C71" s="616"/>
      <c r="D71" s="617">
        <f>AVERAGE(D72:D73)</f>
        <v>0</v>
      </c>
      <c r="E71" s="617">
        <f>AVERAGE(E72:E73)</f>
        <v>0</v>
      </c>
      <c r="F71" s="167"/>
      <c r="H71" s="614"/>
    </row>
    <row r="72" spans="1:22" ht="46.5" customHeight="1" x14ac:dyDescent="0.25">
      <c r="B72" s="175" t="str">
        <f>"Regulatoir saldo herwaarderingsmeerwaarden bij het begin van het boekjaar (01/01/"&amp;D12&amp;") (positieve waarde voor tekort, en omgekeerd)"</f>
        <v>Regulatoir saldo herwaarderingsmeerwaarden bij het begin van het boekjaar (01/01/2021) (positieve waarde voor tekort, en omgekeerd)</v>
      </c>
      <c r="C72" s="649"/>
      <c r="D72" s="650">
        <f>+IF($R$1=2021,0,VLOOKUP($R$1-1,'T8'!$B$43:$H$46,7,FALSE)-INDEX('T8'!$C$43:$F$46,MATCH('T3'!$R$1-1,'T8'!$B$43:$B$46,0),MATCH('T3'!$R$1-1,'T8'!$C$42:$F$42,0)))</f>
        <v>0</v>
      </c>
      <c r="E72" s="617">
        <f>IF($T$1="2021ex-post",0,IF($S$1="ex-ante",0,IF($S$1="ex-post",VLOOKUP($R$1-1,'T8'!$B$43:$H$46,7,FALSE),0)))</f>
        <v>0</v>
      </c>
      <c r="F72" s="167"/>
      <c r="H72" s="614"/>
    </row>
    <row r="73" spans="1:22" ht="45" customHeight="1" x14ac:dyDescent="0.25">
      <c r="B73" s="175" t="str">
        <f>"Regulatoir saldo herwaarderingsmeerwaarden op het einde van het boekjaar (31/12/"&amp;D12&amp;") (positieve waarde voor tekort, en omgekeerd)"</f>
        <v>Regulatoir saldo herwaarderingsmeerwaarden op het einde van het boekjaar (31/12/2021) (positieve waarde voor tekort, en omgekeerd)</v>
      </c>
      <c r="C73" s="649"/>
      <c r="D73" s="650">
        <f>+VLOOKUP($R$1,'T8'!$B$43:$H$46,7,FALSE)-INDEX('T8'!$C$43:$F$46,MATCH('T3'!$R$1,'T8'!$B$43:$B$46,0),MATCH('T3'!$R$1,'T8'!$C$42:$F$42,0))-IF($R$1=2021,0,INDEX('T8'!$C$43:$F$46,MATCH('T3'!$R$1,'T8'!$B$43:$B$46,0),MATCH('T3'!$R$1-1,'T8'!$C$42:$F$42,0)))</f>
        <v>0</v>
      </c>
      <c r="E73" s="617">
        <f>IF($S$1="ex-ante",0,IF($S$1="ex-post",VLOOKUP($R$1,'T8'!$B$43:$H$46,7,FALSE),0))</f>
        <v>0</v>
      </c>
      <c r="F73" s="167"/>
      <c r="H73" s="614"/>
    </row>
    <row r="74" spans="1:22" ht="32.25" customHeight="1" x14ac:dyDescent="0.25">
      <c r="B74" s="191" t="str">
        <f>"Kapitaalkostvergoeding voor boekjaar "&amp;D12&amp;" (in te vullen door de VREG)"</f>
        <v>Kapitaalkostvergoeding voor boekjaar 2021 (in te vullen door de VREG)</v>
      </c>
      <c r="C74" s="585"/>
      <c r="D74" s="181">
        <f>+$D$50</f>
        <v>0</v>
      </c>
      <c r="E74" s="181">
        <f>+$E$50</f>
        <v>0</v>
      </c>
      <c r="F74" s="167"/>
      <c r="H74" s="614"/>
    </row>
    <row r="75" spans="1:22" s="661" customFormat="1" x14ac:dyDescent="0.25">
      <c r="B75" s="960"/>
      <c r="C75" s="663"/>
      <c r="F75" s="663"/>
      <c r="H75" s="663"/>
      <c r="I75" s="664"/>
      <c r="L75" s="669"/>
      <c r="M75" s="669"/>
      <c r="N75" s="669"/>
      <c r="O75" s="669"/>
      <c r="P75" s="669"/>
      <c r="Q75" s="669"/>
      <c r="R75" s="669"/>
      <c r="S75" s="669"/>
      <c r="T75" s="669"/>
      <c r="U75" s="669"/>
      <c r="V75" s="669"/>
    </row>
    <row r="76" spans="1:22" s="661" customFormat="1" x14ac:dyDescent="0.25">
      <c r="B76" s="960"/>
      <c r="C76" s="663"/>
      <c r="F76" s="663"/>
      <c r="H76" s="663"/>
      <c r="I76" s="664"/>
      <c r="L76" s="669"/>
      <c r="M76" s="669"/>
      <c r="N76" s="669"/>
      <c r="O76" s="669"/>
      <c r="P76" s="669"/>
      <c r="Q76" s="669"/>
      <c r="R76" s="669"/>
      <c r="S76" s="669"/>
      <c r="T76" s="669"/>
      <c r="U76" s="669"/>
      <c r="V76" s="669"/>
    </row>
    <row r="77" spans="1:22" s="661" customFormat="1" ht="17.5" customHeight="1" x14ac:dyDescent="0.25">
      <c r="B77" s="961" t="s">
        <v>407</v>
      </c>
      <c r="C77" s="962"/>
      <c r="D77" s="963"/>
      <c r="E77" s="963"/>
      <c r="F77" s="962"/>
      <c r="G77" s="963"/>
      <c r="H77" s="964"/>
      <c r="I77" s="664"/>
      <c r="L77" s="669"/>
      <c r="M77" s="669"/>
      <c r="N77" s="669"/>
      <c r="O77" s="669"/>
      <c r="P77" s="669"/>
      <c r="Q77" s="669"/>
      <c r="R77" s="669"/>
      <c r="S77" s="669"/>
      <c r="T77" s="669"/>
      <c r="U77" s="669"/>
      <c r="V77" s="669"/>
    </row>
    <row r="78" spans="1:22" x14ac:dyDescent="0.25">
      <c r="L78" s="296"/>
      <c r="M78" s="296"/>
      <c r="N78" s="296"/>
      <c r="O78" s="296"/>
      <c r="P78" s="296"/>
      <c r="Q78" s="296"/>
      <c r="R78" s="296"/>
      <c r="S78" s="296"/>
      <c r="T78" s="296"/>
      <c r="U78" s="296"/>
      <c r="V78" s="296"/>
    </row>
    <row r="79" spans="1:22" ht="55.5" customHeight="1" x14ac:dyDescent="0.25">
      <c r="A79" s="167">
        <f>+A70+1</f>
        <v>12</v>
      </c>
      <c r="B79" s="180" t="s">
        <v>121</v>
      </c>
      <c r="C79" s="2" t="s">
        <v>102</v>
      </c>
      <c r="D79" s="197"/>
      <c r="E79" s="197"/>
      <c r="F79" s="193"/>
      <c r="H79" s="193"/>
      <c r="L79" s="296"/>
      <c r="M79" s="296"/>
      <c r="N79" s="296"/>
      <c r="O79" s="296"/>
      <c r="P79" s="296"/>
      <c r="Q79" s="296"/>
      <c r="R79" s="296"/>
      <c r="S79" s="296"/>
      <c r="T79" s="296"/>
      <c r="U79" s="296"/>
      <c r="V79" s="296"/>
    </row>
    <row r="80" spans="1:22" ht="28" customHeight="1" x14ac:dyDescent="0.25">
      <c r="B80" s="175" t="s">
        <v>108</v>
      </c>
      <c r="C80" s="160"/>
      <c r="D80" s="189">
        <f>-T4B!G225</f>
        <v>0</v>
      </c>
      <c r="E80" s="189">
        <f>+D80</f>
        <v>0</v>
      </c>
      <c r="F80" s="195" t="s">
        <v>4</v>
      </c>
      <c r="H80" s="195"/>
    </row>
    <row r="81" spans="1:22" x14ac:dyDescent="0.25">
      <c r="L81" s="296"/>
      <c r="M81" s="296"/>
      <c r="N81" s="296"/>
      <c r="O81" s="296"/>
      <c r="P81" s="296"/>
      <c r="Q81" s="296"/>
      <c r="R81" s="296"/>
      <c r="S81" s="296"/>
      <c r="T81" s="296"/>
      <c r="U81" s="296"/>
      <c r="V81" s="296"/>
    </row>
    <row r="82" spans="1:22" ht="72.75" customHeight="1" x14ac:dyDescent="0.25">
      <c r="A82" s="167">
        <f>+A79+1</f>
        <v>13</v>
      </c>
      <c r="B82" s="180" t="s">
        <v>369</v>
      </c>
      <c r="C82" s="2" t="s">
        <v>117</v>
      </c>
      <c r="D82" s="197"/>
      <c r="E82" s="197"/>
      <c r="F82" s="193"/>
      <c r="H82" s="193"/>
    </row>
    <row r="83" spans="1:22" ht="28" customHeight="1" x14ac:dyDescent="0.25">
      <c r="B83" s="175" t="s">
        <v>108</v>
      </c>
      <c r="C83" s="160"/>
      <c r="D83" s="189">
        <f>-T5B!G225</f>
        <v>0</v>
      </c>
      <c r="E83" s="189">
        <f>+D83</f>
        <v>0</v>
      </c>
      <c r="F83" s="195" t="s">
        <v>4</v>
      </c>
      <c r="H83" s="195"/>
    </row>
    <row r="84" spans="1:22" x14ac:dyDescent="0.25">
      <c r="L84" s="296"/>
      <c r="M84" s="296"/>
      <c r="N84" s="296"/>
      <c r="O84" s="296"/>
      <c r="P84" s="296"/>
      <c r="Q84" s="296"/>
      <c r="R84" s="296"/>
      <c r="S84" s="296"/>
      <c r="T84" s="296"/>
      <c r="U84" s="296"/>
      <c r="V84" s="296"/>
    </row>
    <row r="85" spans="1:22" ht="59.25" customHeight="1" x14ac:dyDescent="0.25">
      <c r="A85" s="167">
        <f>A82+1</f>
        <v>14</v>
      </c>
      <c r="B85" s="180" t="s">
        <v>125</v>
      </c>
      <c r="C85" s="2" t="s">
        <v>135</v>
      </c>
      <c r="D85" s="197"/>
      <c r="E85" s="193"/>
      <c r="F85" s="193"/>
      <c r="H85" s="193"/>
    </row>
    <row r="86" spans="1:22" ht="28" customHeight="1" x14ac:dyDescent="0.25">
      <c r="B86" s="175" t="s">
        <v>108</v>
      </c>
      <c r="C86" s="194"/>
      <c r="D86" s="215">
        <f>-T6B!G193</f>
        <v>0</v>
      </c>
      <c r="E86" s="189">
        <f>+D86</f>
        <v>0</v>
      </c>
      <c r="F86" s="193" t="s">
        <v>4</v>
      </c>
      <c r="H86" s="193"/>
    </row>
    <row r="87" spans="1:22" s="661" customFormat="1" x14ac:dyDescent="0.25">
      <c r="B87" s="960"/>
      <c r="C87" s="663"/>
      <c r="F87" s="663"/>
      <c r="H87" s="663"/>
      <c r="I87" s="664"/>
      <c r="L87" s="669"/>
      <c r="M87" s="669"/>
      <c r="N87" s="669"/>
      <c r="O87" s="669"/>
      <c r="P87" s="669"/>
      <c r="Q87" s="669"/>
      <c r="R87" s="669"/>
      <c r="S87" s="669"/>
      <c r="T87" s="669"/>
      <c r="U87" s="669"/>
      <c r="V87" s="669"/>
    </row>
    <row r="88" spans="1:22" s="661" customFormat="1" x14ac:dyDescent="0.25">
      <c r="B88" s="960"/>
      <c r="C88" s="663"/>
      <c r="F88" s="663"/>
      <c r="H88" s="663"/>
      <c r="I88" s="664"/>
      <c r="L88" s="669"/>
      <c r="M88" s="669"/>
      <c r="N88" s="669"/>
      <c r="O88" s="669"/>
      <c r="P88" s="669"/>
      <c r="Q88" s="669"/>
      <c r="R88" s="669"/>
      <c r="S88" s="669"/>
      <c r="T88" s="669"/>
      <c r="U88" s="669"/>
      <c r="V88" s="669"/>
    </row>
    <row r="89" spans="1:22" s="661" customFormat="1" ht="17.5" customHeight="1" x14ac:dyDescent="0.25">
      <c r="B89" s="961" t="s">
        <v>408</v>
      </c>
      <c r="C89" s="962"/>
      <c r="D89" s="963"/>
      <c r="E89" s="963"/>
      <c r="F89" s="962"/>
      <c r="G89" s="963"/>
      <c r="H89" s="964"/>
      <c r="I89" s="664"/>
      <c r="L89" s="669"/>
      <c r="M89" s="669"/>
      <c r="N89" s="669"/>
      <c r="O89" s="669"/>
      <c r="P89" s="669"/>
      <c r="Q89" s="669"/>
      <c r="R89" s="669"/>
      <c r="S89" s="669"/>
      <c r="T89" s="669"/>
      <c r="U89" s="669"/>
      <c r="V89" s="669"/>
    </row>
    <row r="90" spans="1:22" s="661" customFormat="1" x14ac:dyDescent="0.25">
      <c r="B90" s="960"/>
      <c r="C90" s="663"/>
      <c r="F90" s="663"/>
      <c r="H90" s="663"/>
      <c r="I90" s="664"/>
      <c r="L90" s="669"/>
      <c r="M90" s="669"/>
      <c r="N90" s="669"/>
      <c r="O90" s="669"/>
      <c r="P90" s="669"/>
      <c r="Q90" s="669"/>
      <c r="R90" s="669"/>
      <c r="S90" s="669"/>
      <c r="T90" s="669"/>
      <c r="U90" s="669"/>
      <c r="V90" s="669"/>
    </row>
    <row r="91" spans="1:22" s="661" customFormat="1" x14ac:dyDescent="0.25">
      <c r="B91" s="960"/>
      <c r="C91" s="663"/>
      <c r="F91" s="663"/>
      <c r="H91" s="663"/>
      <c r="I91" s="664"/>
      <c r="L91" s="669"/>
      <c r="M91" s="669"/>
      <c r="N91" s="669"/>
      <c r="O91" s="669"/>
      <c r="P91" s="669"/>
      <c r="Q91" s="669"/>
      <c r="R91" s="669"/>
      <c r="S91" s="669"/>
      <c r="T91" s="669"/>
      <c r="U91" s="669"/>
      <c r="V91" s="669"/>
    </row>
    <row r="92" spans="1:22" s="661" customFormat="1" ht="17.5" customHeight="1" x14ac:dyDescent="0.25">
      <c r="B92" s="961" t="s">
        <v>409</v>
      </c>
      <c r="C92" s="962"/>
      <c r="D92" s="963"/>
      <c r="E92" s="963"/>
      <c r="F92" s="962"/>
      <c r="G92" s="963"/>
      <c r="H92" s="964"/>
      <c r="I92" s="664"/>
      <c r="L92" s="669"/>
      <c r="M92" s="669"/>
      <c r="N92" s="669"/>
      <c r="O92" s="669"/>
      <c r="P92" s="669"/>
      <c r="Q92" s="669"/>
      <c r="R92" s="669"/>
      <c r="S92" s="669"/>
      <c r="T92" s="669"/>
      <c r="U92" s="669"/>
      <c r="V92" s="669"/>
    </row>
    <row r="93" spans="1:22" x14ac:dyDescent="0.25">
      <c r="L93" s="296"/>
      <c r="M93" s="296"/>
      <c r="N93" s="296"/>
      <c r="O93" s="296"/>
      <c r="P93" s="296"/>
      <c r="Q93" s="296"/>
      <c r="R93" s="296"/>
      <c r="S93" s="296"/>
      <c r="T93" s="296"/>
      <c r="U93" s="296"/>
      <c r="V93" s="296"/>
    </row>
    <row r="94" spans="1:22" ht="55.5" customHeight="1" x14ac:dyDescent="0.25">
      <c r="A94" s="167">
        <f>+A85+1</f>
        <v>15</v>
      </c>
      <c r="B94" s="180" t="s">
        <v>121</v>
      </c>
      <c r="C94" s="2" t="s">
        <v>102</v>
      </c>
      <c r="D94" s="197"/>
      <c r="E94" s="197"/>
      <c r="F94" s="193"/>
      <c r="H94" s="193"/>
      <c r="L94" s="296"/>
      <c r="M94" s="296"/>
      <c r="N94" s="296"/>
      <c r="O94" s="296"/>
      <c r="P94" s="296"/>
      <c r="Q94" s="296"/>
      <c r="R94" s="296"/>
      <c r="S94" s="296"/>
      <c r="T94" s="296"/>
      <c r="U94" s="296"/>
      <c r="V94" s="296"/>
    </row>
    <row r="95" spans="1:22" ht="28" customHeight="1" x14ac:dyDescent="0.25">
      <c r="B95" s="175" t="s">
        <v>109</v>
      </c>
      <c r="C95" s="160"/>
      <c r="D95" s="189">
        <f>-T4B!G226</f>
        <v>0</v>
      </c>
      <c r="E95" s="189">
        <f>+D95</f>
        <v>0</v>
      </c>
      <c r="F95" s="195" t="s">
        <v>4</v>
      </c>
      <c r="H95" s="195"/>
    </row>
    <row r="96" spans="1:22" x14ac:dyDescent="0.25">
      <c r="L96" s="296"/>
      <c r="M96" s="296"/>
      <c r="N96" s="296"/>
      <c r="O96" s="296"/>
      <c r="P96" s="296"/>
      <c r="Q96" s="296"/>
      <c r="R96" s="296"/>
      <c r="S96" s="296"/>
      <c r="T96" s="296"/>
      <c r="U96" s="296"/>
      <c r="V96" s="296"/>
    </row>
    <row r="97" spans="1:22" ht="72.75" customHeight="1" x14ac:dyDescent="0.25">
      <c r="A97" s="167">
        <f>+A94+1</f>
        <v>16</v>
      </c>
      <c r="B97" s="180" t="s">
        <v>369</v>
      </c>
      <c r="C97" s="2" t="s">
        <v>117</v>
      </c>
      <c r="D97" s="197"/>
      <c r="E97" s="197"/>
      <c r="F97" s="193"/>
      <c r="H97" s="193"/>
    </row>
    <row r="98" spans="1:22" ht="28" customHeight="1" x14ac:dyDescent="0.25">
      <c r="B98" s="175" t="s">
        <v>109</v>
      </c>
      <c r="C98" s="160"/>
      <c r="D98" s="189">
        <f>-T5B!G226</f>
        <v>0</v>
      </c>
      <c r="E98" s="189">
        <f>+D98</f>
        <v>0</v>
      </c>
      <c r="F98" s="195" t="s">
        <v>4</v>
      </c>
      <c r="H98" s="195"/>
    </row>
    <row r="99" spans="1:22" x14ac:dyDescent="0.25">
      <c r="L99" s="296"/>
      <c r="M99" s="296"/>
      <c r="N99" s="296"/>
      <c r="O99" s="296"/>
      <c r="P99" s="296"/>
      <c r="Q99" s="296"/>
      <c r="R99" s="296"/>
      <c r="S99" s="296"/>
      <c r="T99" s="296"/>
      <c r="U99" s="296"/>
      <c r="V99" s="296"/>
    </row>
    <row r="100" spans="1:22" ht="59.25" customHeight="1" x14ac:dyDescent="0.25">
      <c r="A100" s="167">
        <f>A97+1</f>
        <v>17</v>
      </c>
      <c r="B100" s="180" t="s">
        <v>125</v>
      </c>
      <c r="C100" s="2" t="s">
        <v>135</v>
      </c>
      <c r="D100" s="197"/>
      <c r="E100" s="193"/>
      <c r="F100" s="193"/>
      <c r="H100" s="193"/>
    </row>
    <row r="101" spans="1:22" ht="28" customHeight="1" x14ac:dyDescent="0.25">
      <c r="B101" s="175" t="s">
        <v>109</v>
      </c>
      <c r="C101" s="194"/>
      <c r="D101" s="215">
        <f>-T6B!G194</f>
        <v>0</v>
      </c>
      <c r="E101" s="189">
        <f>+D101</f>
        <v>0</v>
      </c>
      <c r="F101" s="193" t="s">
        <v>4</v>
      </c>
      <c r="H101" s="193"/>
    </row>
    <row r="102" spans="1:22" x14ac:dyDescent="0.25">
      <c r="B102" s="588"/>
      <c r="C102" s="589"/>
      <c r="D102" s="590"/>
      <c r="E102" s="590"/>
      <c r="F102" s="222"/>
      <c r="H102" s="222"/>
    </row>
    <row r="103" spans="1:22" ht="29.25" customHeight="1" x14ac:dyDescent="0.25">
      <c r="A103" s="167">
        <f>+A100+1</f>
        <v>18</v>
      </c>
      <c r="B103" s="180" t="s">
        <v>232</v>
      </c>
      <c r="C103" s="591"/>
      <c r="D103" s="207">
        <f>SUM(D104:D106)</f>
        <v>0</v>
      </c>
      <c r="E103" s="197">
        <f>SUM(E104:E106)</f>
        <v>0</v>
      </c>
      <c r="F103" s="193" t="s">
        <v>4</v>
      </c>
      <c r="H103" s="193"/>
    </row>
    <row r="104" spans="1:22" ht="29.25" customHeight="1" x14ac:dyDescent="0.25">
      <c r="B104" s="652" t="s">
        <v>207</v>
      </c>
      <c r="C104" s="592"/>
      <c r="D104" s="593">
        <v>0</v>
      </c>
      <c r="E104" s="593">
        <v>0</v>
      </c>
      <c r="F104" s="193"/>
      <c r="H104" s="193" t="s">
        <v>35</v>
      </c>
    </row>
    <row r="105" spans="1:22" ht="29.25" customHeight="1" x14ac:dyDescent="0.25">
      <c r="B105" s="652" t="s">
        <v>208</v>
      </c>
      <c r="C105" s="592"/>
      <c r="D105" s="593">
        <v>0</v>
      </c>
      <c r="E105" s="593">
        <v>0</v>
      </c>
      <c r="F105" s="193"/>
      <c r="H105" s="193" t="s">
        <v>35</v>
      </c>
    </row>
    <row r="106" spans="1:22" ht="29.25" customHeight="1" x14ac:dyDescent="0.25">
      <c r="B106" s="652" t="s">
        <v>209</v>
      </c>
      <c r="C106" s="592"/>
      <c r="D106" s="593">
        <v>0</v>
      </c>
      <c r="E106" s="593">
        <v>0</v>
      </c>
      <c r="F106" s="193"/>
      <c r="H106" s="193" t="s">
        <v>35</v>
      </c>
    </row>
    <row r="107" spans="1:22" ht="36.75" customHeight="1" x14ac:dyDescent="0.25">
      <c r="B107" s="180" t="s">
        <v>106</v>
      </c>
      <c r="C107" s="594"/>
      <c r="D107" s="207">
        <f>SUM(D108:D110)</f>
        <v>0</v>
      </c>
      <c r="E107" s="197">
        <f>SUM(E108:E110)</f>
        <v>0</v>
      </c>
      <c r="F107" s="193" t="s">
        <v>8</v>
      </c>
      <c r="H107" s="193"/>
    </row>
    <row r="108" spans="1:22" ht="29.25" customHeight="1" x14ac:dyDescent="0.25">
      <c r="B108" s="652" t="s">
        <v>223</v>
      </c>
      <c r="C108" s="592"/>
      <c r="D108" s="593">
        <v>0</v>
      </c>
      <c r="E108" s="593">
        <v>0</v>
      </c>
      <c r="F108" s="193"/>
      <c r="H108" s="193" t="s">
        <v>35</v>
      </c>
    </row>
    <row r="109" spans="1:22" ht="29.25" customHeight="1" x14ac:dyDescent="0.25">
      <c r="B109" s="652" t="s">
        <v>224</v>
      </c>
      <c r="C109" s="592"/>
      <c r="D109" s="593">
        <v>0</v>
      </c>
      <c r="E109" s="593">
        <v>0</v>
      </c>
      <c r="F109" s="193"/>
      <c r="H109" s="193" t="s">
        <v>35</v>
      </c>
    </row>
    <row r="110" spans="1:22" ht="45" customHeight="1" x14ac:dyDescent="0.25">
      <c r="B110" s="652" t="s">
        <v>225</v>
      </c>
      <c r="C110" s="592"/>
      <c r="D110" s="593">
        <v>0</v>
      </c>
      <c r="E110" s="593">
        <v>0</v>
      </c>
      <c r="F110" s="193"/>
      <c r="H110" s="193" t="s">
        <v>35</v>
      </c>
    </row>
    <row r="111" spans="1:22" s="301" customFormat="1" x14ac:dyDescent="0.25">
      <c r="B111" s="595"/>
      <c r="C111" s="596"/>
      <c r="D111" s="597"/>
      <c r="E111" s="597"/>
      <c r="F111" s="222"/>
      <c r="H111" s="222"/>
      <c r="I111" s="226"/>
    </row>
    <row r="112" spans="1:22" ht="33.75" customHeight="1" x14ac:dyDescent="0.25">
      <c r="A112" s="167">
        <f>A103+1</f>
        <v>19</v>
      </c>
      <c r="B112" s="598" t="s">
        <v>419</v>
      </c>
      <c r="C112" s="591"/>
      <c r="D112" s="599"/>
      <c r="E112" s="600"/>
      <c r="F112" s="601"/>
      <c r="H112" s="193"/>
    </row>
    <row r="113" spans="1:9" ht="17.5" customHeight="1" x14ac:dyDescent="0.25">
      <c r="B113" s="652" t="s">
        <v>5</v>
      </c>
      <c r="C113" s="592"/>
      <c r="D113" s="593">
        <v>0</v>
      </c>
      <c r="E113" s="593">
        <v>0</v>
      </c>
      <c r="F113" s="193" t="s">
        <v>4</v>
      </c>
      <c r="H113" s="193" t="s">
        <v>35</v>
      </c>
    </row>
    <row r="114" spans="1:9" ht="17.5" customHeight="1" x14ac:dyDescent="0.25">
      <c r="B114" s="652" t="s">
        <v>6</v>
      </c>
      <c r="C114" s="592"/>
      <c r="D114" s="593">
        <v>0</v>
      </c>
      <c r="E114" s="593">
        <v>0</v>
      </c>
      <c r="F114" s="193" t="s">
        <v>4</v>
      </c>
      <c r="H114" s="193" t="s">
        <v>35</v>
      </c>
    </row>
    <row r="115" spans="1:9" x14ac:dyDescent="0.25">
      <c r="B115" s="602"/>
      <c r="C115" s="603"/>
      <c r="D115" s="604"/>
      <c r="E115" s="604"/>
      <c r="F115" s="605"/>
      <c r="H115" s="222"/>
    </row>
    <row r="116" spans="1:9" ht="19" customHeight="1" x14ac:dyDescent="0.25">
      <c r="A116" s="167">
        <f>+A112+1</f>
        <v>20</v>
      </c>
      <c r="B116" s="606" t="s">
        <v>7</v>
      </c>
      <c r="C116" s="594"/>
      <c r="D116" s="607">
        <f>SUM(D117:D118)</f>
        <v>0</v>
      </c>
      <c r="E116" s="607">
        <f>SUM(E117:E118)</f>
        <v>0</v>
      </c>
      <c r="F116" s="193" t="s">
        <v>8</v>
      </c>
      <c r="H116" s="193"/>
    </row>
    <row r="117" spans="1:9" ht="19" customHeight="1" x14ac:dyDescent="0.25">
      <c r="B117" s="652" t="s">
        <v>221</v>
      </c>
      <c r="C117" s="592"/>
      <c r="D117" s="593">
        <v>0</v>
      </c>
      <c r="E117" s="593">
        <v>0</v>
      </c>
      <c r="F117" s="193"/>
      <c r="H117" s="193" t="s">
        <v>35</v>
      </c>
    </row>
    <row r="118" spans="1:9" ht="19" customHeight="1" x14ac:dyDescent="0.25">
      <c r="B118" s="652" t="s">
        <v>222</v>
      </c>
      <c r="C118" s="592"/>
      <c r="D118" s="593">
        <v>0</v>
      </c>
      <c r="E118" s="593">
        <v>0</v>
      </c>
      <c r="F118" s="193"/>
      <c r="H118" s="193" t="s">
        <v>35</v>
      </c>
    </row>
    <row r="119" spans="1:9" ht="19" customHeight="1" x14ac:dyDescent="0.25">
      <c r="B119" s="606" t="s">
        <v>9</v>
      </c>
      <c r="C119" s="594"/>
      <c r="D119" s="607">
        <f>SUM(D120:D121)</f>
        <v>0</v>
      </c>
      <c r="E119" s="607">
        <f>SUM(E120:E121)</f>
        <v>0</v>
      </c>
      <c r="F119" s="193" t="s">
        <v>8</v>
      </c>
      <c r="H119" s="193"/>
    </row>
    <row r="120" spans="1:9" ht="19" customHeight="1" x14ac:dyDescent="0.25">
      <c r="B120" s="652" t="s">
        <v>221</v>
      </c>
      <c r="C120" s="592"/>
      <c r="D120" s="593">
        <v>0</v>
      </c>
      <c r="E120" s="593">
        <v>0</v>
      </c>
      <c r="F120" s="193"/>
      <c r="H120" s="193" t="s">
        <v>35</v>
      </c>
    </row>
    <row r="121" spans="1:9" ht="19" customHeight="1" x14ac:dyDescent="0.25">
      <c r="B121" s="652" t="s">
        <v>222</v>
      </c>
      <c r="C121" s="592"/>
      <c r="D121" s="593">
        <v>0</v>
      </c>
      <c r="E121" s="593">
        <v>0</v>
      </c>
      <c r="F121" s="193"/>
      <c r="H121" s="193" t="s">
        <v>35</v>
      </c>
    </row>
    <row r="122" spans="1:9" x14ac:dyDescent="0.25">
      <c r="B122" s="602"/>
      <c r="C122" s="603"/>
      <c r="D122" s="604"/>
      <c r="E122" s="604"/>
      <c r="F122" s="205"/>
      <c r="H122" s="222"/>
    </row>
    <row r="123" spans="1:9" ht="33.75" customHeight="1" x14ac:dyDescent="0.25">
      <c r="A123" s="167">
        <f>+A116+1</f>
        <v>21</v>
      </c>
      <c r="B123" s="608" t="s">
        <v>421</v>
      </c>
      <c r="C123" s="592"/>
      <c r="D123" s="196">
        <v>0</v>
      </c>
      <c r="E123" s="196">
        <v>0</v>
      </c>
      <c r="F123" s="193" t="s">
        <v>4</v>
      </c>
      <c r="H123" s="193" t="s">
        <v>35</v>
      </c>
    </row>
    <row r="124" spans="1:9" x14ac:dyDescent="0.25">
      <c r="B124" s="586"/>
      <c r="C124" s="204"/>
      <c r="D124" s="604"/>
      <c r="E124" s="604"/>
      <c r="F124" s="205"/>
      <c r="H124" s="222"/>
    </row>
    <row r="125" spans="1:9" ht="32.25" customHeight="1" x14ac:dyDescent="0.25">
      <c r="A125" s="167">
        <f>A123+1</f>
        <v>22</v>
      </c>
      <c r="B125" s="608" t="s">
        <v>422</v>
      </c>
      <c r="C125" s="592"/>
      <c r="D125" s="196">
        <v>0</v>
      </c>
      <c r="E125" s="196">
        <v>0</v>
      </c>
      <c r="F125" s="193" t="s">
        <v>4</v>
      </c>
      <c r="H125" s="193" t="s">
        <v>35</v>
      </c>
      <c r="I125" s="227"/>
    </row>
    <row r="126" spans="1:9" x14ac:dyDescent="0.25">
      <c r="A126" s="301"/>
      <c r="B126" s="123"/>
      <c r="C126" s="609"/>
      <c r="D126" s="590"/>
      <c r="E126" s="590"/>
      <c r="F126" s="222"/>
      <c r="H126" s="222"/>
    </row>
    <row r="127" spans="1:9" ht="61.5" customHeight="1" x14ac:dyDescent="0.25">
      <c r="A127" s="167">
        <f>A125+1</f>
        <v>23</v>
      </c>
      <c r="B127" s="598" t="s">
        <v>423</v>
      </c>
      <c r="C127" s="594"/>
      <c r="D127" s="207"/>
      <c r="E127" s="197"/>
      <c r="F127" s="193"/>
      <c r="H127" s="193"/>
      <c r="I127" s="227"/>
    </row>
    <row r="128" spans="1:9" ht="15.65" customHeight="1" x14ac:dyDescent="0.25">
      <c r="B128" s="652" t="s">
        <v>210</v>
      </c>
      <c r="C128" s="592"/>
      <c r="D128" s="593">
        <v>0</v>
      </c>
      <c r="E128" s="593">
        <v>0</v>
      </c>
      <c r="F128" s="193" t="s">
        <v>4</v>
      </c>
      <c r="H128" s="193" t="s">
        <v>35</v>
      </c>
    </row>
    <row r="129" spans="1:22" ht="15.65" customHeight="1" x14ac:dyDescent="0.25">
      <c r="B129" s="652" t="s">
        <v>211</v>
      </c>
      <c r="C129" s="592"/>
      <c r="D129" s="593">
        <v>0</v>
      </c>
      <c r="E129" s="593">
        <v>0</v>
      </c>
      <c r="F129" s="193" t="s">
        <v>4</v>
      </c>
      <c r="H129" s="193" t="s">
        <v>35</v>
      </c>
    </row>
    <row r="130" spans="1:22" x14ac:dyDescent="0.25">
      <c r="A130" s="301"/>
      <c r="B130" s="123"/>
      <c r="C130" s="609"/>
      <c r="D130" s="590"/>
      <c r="E130" s="590"/>
      <c r="F130" s="222"/>
      <c r="H130" s="222"/>
    </row>
    <row r="131" spans="1:22" ht="36.65" customHeight="1" x14ac:dyDescent="0.25">
      <c r="A131" s="167">
        <f>+A127+1</f>
        <v>24</v>
      </c>
      <c r="B131" s="180" t="s">
        <v>226</v>
      </c>
      <c r="C131" s="594"/>
      <c r="D131" s="207"/>
      <c r="E131" s="197"/>
      <c r="F131" s="193"/>
      <c r="H131" s="193"/>
      <c r="I131" s="227"/>
    </row>
    <row r="132" spans="1:22" ht="20.149999999999999" customHeight="1" x14ac:dyDescent="0.25">
      <c r="B132" s="652" t="s">
        <v>227</v>
      </c>
      <c r="C132" s="592"/>
      <c r="D132" s="593">
        <v>0</v>
      </c>
      <c r="E132" s="593">
        <v>0</v>
      </c>
      <c r="F132" s="193" t="s">
        <v>8</v>
      </c>
      <c r="H132" s="193" t="s">
        <v>35</v>
      </c>
    </row>
    <row r="133" spans="1:22" ht="20.149999999999999" customHeight="1" x14ac:dyDescent="0.25">
      <c r="B133" s="652" t="s">
        <v>228</v>
      </c>
      <c r="C133" s="592"/>
      <c r="D133" s="593">
        <v>0</v>
      </c>
      <c r="E133" s="593">
        <v>0</v>
      </c>
      <c r="F133" s="193" t="s">
        <v>8</v>
      </c>
      <c r="H133" s="193" t="s">
        <v>35</v>
      </c>
    </row>
    <row r="134" spans="1:22" x14ac:dyDescent="0.25">
      <c r="A134" s="301"/>
      <c r="B134" s="123"/>
      <c r="C134" s="609"/>
      <c r="D134" s="590"/>
      <c r="E134" s="590"/>
      <c r="F134" s="222"/>
      <c r="H134" s="222"/>
    </row>
    <row r="135" spans="1:22" ht="27.65" customHeight="1" x14ac:dyDescent="0.25">
      <c r="A135" s="167">
        <f>+A131+1</f>
        <v>25</v>
      </c>
      <c r="B135" s="180" t="s">
        <v>229</v>
      </c>
      <c r="C135" s="594"/>
      <c r="D135" s="207"/>
      <c r="E135" s="197"/>
      <c r="F135" s="193"/>
      <c r="H135" s="193"/>
      <c r="I135" s="227"/>
    </row>
    <row r="136" spans="1:22" ht="20.149999999999999" customHeight="1" x14ac:dyDescent="0.25">
      <c r="B136" s="652" t="s">
        <v>227</v>
      </c>
      <c r="C136" s="592"/>
      <c r="D136" s="593">
        <v>0</v>
      </c>
      <c r="E136" s="593">
        <v>0</v>
      </c>
      <c r="F136" s="193" t="s">
        <v>4</v>
      </c>
      <c r="H136" s="193" t="s">
        <v>35</v>
      </c>
    </row>
    <row r="137" spans="1:22" ht="20.149999999999999" customHeight="1" x14ac:dyDescent="0.25">
      <c r="B137" s="652" t="s">
        <v>228</v>
      </c>
      <c r="C137" s="592"/>
      <c r="D137" s="593">
        <v>0</v>
      </c>
      <c r="E137" s="593">
        <v>0</v>
      </c>
      <c r="F137" s="193" t="s">
        <v>4</v>
      </c>
      <c r="H137" s="193" t="s">
        <v>35</v>
      </c>
    </row>
    <row r="138" spans="1:22" x14ac:dyDescent="0.25">
      <c r="B138" s="602"/>
      <c r="C138" s="603"/>
      <c r="D138" s="604"/>
      <c r="E138" s="604"/>
      <c r="F138" s="205"/>
      <c r="H138" s="222"/>
    </row>
    <row r="139" spans="1:22" ht="33.75" customHeight="1" x14ac:dyDescent="0.25">
      <c r="A139" s="167">
        <f>+A135+1</f>
        <v>26</v>
      </c>
      <c r="B139" s="612" t="s">
        <v>230</v>
      </c>
      <c r="C139" s="592"/>
      <c r="D139" s="196">
        <v>0</v>
      </c>
      <c r="E139" s="196">
        <v>0</v>
      </c>
      <c r="F139" s="193" t="s">
        <v>4</v>
      </c>
      <c r="H139" s="193" t="s">
        <v>35</v>
      </c>
    </row>
    <row r="140" spans="1:22" s="661" customFormat="1" x14ac:dyDescent="0.25">
      <c r="B140" s="960"/>
      <c r="C140" s="663"/>
      <c r="F140" s="663"/>
      <c r="H140" s="663"/>
      <c r="I140" s="664"/>
      <c r="L140" s="669"/>
      <c r="M140" s="669"/>
      <c r="N140" s="669"/>
      <c r="O140" s="669"/>
      <c r="P140" s="669"/>
      <c r="Q140" s="669"/>
      <c r="R140" s="669"/>
      <c r="S140" s="669"/>
      <c r="T140" s="669"/>
      <c r="U140" s="669"/>
      <c r="V140" s="669"/>
    </row>
    <row r="141" spans="1:22" s="661" customFormat="1" x14ac:dyDescent="0.25">
      <c r="B141" s="960"/>
      <c r="C141" s="663"/>
      <c r="F141" s="663"/>
      <c r="H141" s="663"/>
      <c r="I141" s="664"/>
      <c r="L141" s="669"/>
      <c r="M141" s="669"/>
      <c r="N141" s="669"/>
      <c r="O141" s="669"/>
      <c r="P141" s="669"/>
      <c r="Q141" s="669"/>
      <c r="R141" s="669"/>
      <c r="S141" s="669"/>
      <c r="T141" s="669"/>
      <c r="U141" s="669"/>
      <c r="V141" s="669"/>
    </row>
    <row r="142" spans="1:22" s="661" customFormat="1" ht="17.5" customHeight="1" x14ac:dyDescent="0.25">
      <c r="B142" s="961" t="s">
        <v>410</v>
      </c>
      <c r="C142" s="962"/>
      <c r="D142" s="963"/>
      <c r="E142" s="963"/>
      <c r="F142" s="962"/>
      <c r="G142" s="963"/>
      <c r="H142" s="964"/>
      <c r="I142" s="664"/>
      <c r="L142" s="669"/>
      <c r="M142" s="669"/>
      <c r="N142" s="669"/>
      <c r="O142" s="669"/>
      <c r="P142" s="669"/>
      <c r="Q142" s="669"/>
      <c r="R142" s="669"/>
      <c r="S142" s="669"/>
      <c r="T142" s="669"/>
      <c r="U142" s="669"/>
      <c r="V142" s="669"/>
    </row>
    <row r="143" spans="1:22" s="661" customFormat="1" x14ac:dyDescent="0.25">
      <c r="B143" s="960"/>
      <c r="C143" s="663"/>
      <c r="F143" s="663"/>
      <c r="H143" s="663"/>
      <c r="I143" s="664"/>
      <c r="L143" s="669"/>
      <c r="M143" s="669"/>
      <c r="N143" s="669"/>
      <c r="O143" s="669"/>
      <c r="P143" s="669"/>
      <c r="Q143" s="669"/>
      <c r="R143" s="669"/>
      <c r="S143" s="669"/>
      <c r="T143" s="669"/>
      <c r="U143" s="669"/>
      <c r="V143" s="669"/>
    </row>
    <row r="144" spans="1:22" s="661" customFormat="1" x14ac:dyDescent="0.25">
      <c r="B144" s="960"/>
      <c r="C144" s="663"/>
      <c r="F144" s="663"/>
      <c r="H144" s="663"/>
      <c r="I144" s="664"/>
      <c r="L144" s="669"/>
      <c r="M144" s="669"/>
      <c r="N144" s="669"/>
      <c r="O144" s="669"/>
      <c r="P144" s="669"/>
      <c r="Q144" s="669"/>
      <c r="R144" s="669"/>
      <c r="S144" s="669"/>
      <c r="T144" s="669"/>
      <c r="U144" s="669"/>
      <c r="V144" s="669"/>
    </row>
    <row r="145" spans="1:22" s="661" customFormat="1" ht="17.5" customHeight="1" x14ac:dyDescent="0.25">
      <c r="B145" s="961" t="s">
        <v>411</v>
      </c>
      <c r="C145" s="962"/>
      <c r="D145" s="963"/>
      <c r="E145" s="963"/>
      <c r="F145" s="962"/>
      <c r="G145" s="963"/>
      <c r="H145" s="964"/>
      <c r="I145" s="664"/>
      <c r="L145" s="669"/>
      <c r="M145" s="669"/>
      <c r="N145" s="669"/>
      <c r="O145" s="669"/>
      <c r="P145" s="669"/>
      <c r="Q145" s="669"/>
      <c r="R145" s="669"/>
      <c r="S145" s="669"/>
      <c r="T145" s="669"/>
      <c r="U145" s="669"/>
      <c r="V145" s="669"/>
    </row>
    <row r="146" spans="1:22" x14ac:dyDescent="0.25">
      <c r="L146" s="296"/>
      <c r="M146" s="296"/>
      <c r="N146" s="296"/>
      <c r="O146" s="296"/>
      <c r="P146" s="296"/>
      <c r="Q146" s="296"/>
      <c r="R146" s="296"/>
      <c r="S146" s="296"/>
      <c r="T146" s="296"/>
      <c r="U146" s="296"/>
      <c r="V146" s="296"/>
    </row>
    <row r="147" spans="1:22" ht="55.5" customHeight="1" x14ac:dyDescent="0.25">
      <c r="A147" s="167">
        <f>+A139+1</f>
        <v>27</v>
      </c>
      <c r="B147" s="180" t="s">
        <v>121</v>
      </c>
      <c r="C147" s="2" t="s">
        <v>102</v>
      </c>
      <c r="D147" s="197"/>
      <c r="E147" s="197"/>
      <c r="F147" s="193"/>
      <c r="H147" s="193"/>
      <c r="L147" s="296"/>
      <c r="M147" s="296"/>
      <c r="N147" s="296"/>
      <c r="O147" s="296"/>
      <c r="P147" s="296"/>
      <c r="Q147" s="296"/>
      <c r="R147" s="296"/>
      <c r="S147" s="296"/>
      <c r="T147" s="296"/>
      <c r="U147" s="296"/>
      <c r="V147" s="296"/>
    </row>
    <row r="148" spans="1:22" ht="28" customHeight="1" x14ac:dyDescent="0.25">
      <c r="B148" s="175" t="s">
        <v>111</v>
      </c>
      <c r="C148" s="160"/>
      <c r="D148" s="189">
        <f>-T4B!G227</f>
        <v>0</v>
      </c>
      <c r="E148" s="189">
        <f>+D148</f>
        <v>0</v>
      </c>
      <c r="F148" s="195" t="s">
        <v>4</v>
      </c>
      <c r="H148" s="195"/>
    </row>
    <row r="149" spans="1:22" x14ac:dyDescent="0.25">
      <c r="L149" s="296"/>
      <c r="M149" s="296"/>
      <c r="N149" s="296"/>
      <c r="O149" s="296"/>
      <c r="P149" s="296"/>
      <c r="Q149" s="296"/>
      <c r="R149" s="296"/>
      <c r="S149" s="296"/>
      <c r="T149" s="296"/>
      <c r="U149" s="296"/>
      <c r="V149" s="296"/>
    </row>
    <row r="150" spans="1:22" ht="72.75" customHeight="1" x14ac:dyDescent="0.25">
      <c r="A150" s="167">
        <f>+A147+1</f>
        <v>28</v>
      </c>
      <c r="B150" s="180" t="s">
        <v>369</v>
      </c>
      <c r="C150" s="2" t="s">
        <v>117</v>
      </c>
      <c r="D150" s="197"/>
      <c r="E150" s="197"/>
      <c r="F150" s="193"/>
      <c r="H150" s="193"/>
    </row>
    <row r="151" spans="1:22" ht="28" customHeight="1" x14ac:dyDescent="0.25">
      <c r="B151" s="175" t="s">
        <v>111</v>
      </c>
      <c r="C151" s="160"/>
      <c r="D151" s="189">
        <f>-T5B!G227</f>
        <v>0</v>
      </c>
      <c r="E151" s="189">
        <f>+D151</f>
        <v>0</v>
      </c>
      <c r="F151" s="195" t="s">
        <v>4</v>
      </c>
      <c r="H151" s="195"/>
    </row>
    <row r="152" spans="1:22" x14ac:dyDescent="0.25">
      <c r="L152" s="296"/>
      <c r="M152" s="296"/>
      <c r="N152" s="296"/>
      <c r="O152" s="296"/>
      <c r="P152" s="296"/>
      <c r="Q152" s="296"/>
      <c r="R152" s="296"/>
      <c r="S152" s="296"/>
      <c r="T152" s="296"/>
      <c r="U152" s="296"/>
      <c r="V152" s="296"/>
    </row>
    <row r="153" spans="1:22" ht="59.25" customHeight="1" x14ac:dyDescent="0.25">
      <c r="A153" s="167">
        <f>A150+1</f>
        <v>29</v>
      </c>
      <c r="B153" s="180" t="s">
        <v>125</v>
      </c>
      <c r="C153" s="2" t="s">
        <v>135</v>
      </c>
      <c r="D153" s="197"/>
      <c r="E153" s="193"/>
      <c r="F153" s="193"/>
      <c r="H153" s="193"/>
    </row>
    <row r="154" spans="1:22" ht="28" customHeight="1" x14ac:dyDescent="0.25">
      <c r="B154" s="175" t="s">
        <v>111</v>
      </c>
      <c r="C154" s="194"/>
      <c r="D154" s="215">
        <f>-T6B!G195</f>
        <v>0</v>
      </c>
      <c r="E154" s="189">
        <f>+D154</f>
        <v>0</v>
      </c>
      <c r="F154" s="193" t="s">
        <v>4</v>
      </c>
      <c r="H154" s="193"/>
    </row>
    <row r="155" spans="1:22" s="661" customFormat="1" x14ac:dyDescent="0.25">
      <c r="B155" s="960"/>
      <c r="C155" s="663"/>
      <c r="F155" s="663"/>
      <c r="H155" s="663"/>
      <c r="I155" s="664"/>
      <c r="L155" s="669"/>
      <c r="M155" s="669"/>
      <c r="N155" s="669"/>
      <c r="O155" s="669"/>
      <c r="P155" s="669"/>
      <c r="Q155" s="669"/>
      <c r="R155" s="669"/>
      <c r="S155" s="669"/>
      <c r="T155" s="669"/>
      <c r="U155" s="669"/>
      <c r="V155" s="669"/>
    </row>
    <row r="156" spans="1:22" s="661" customFormat="1" x14ac:dyDescent="0.25">
      <c r="B156" s="960"/>
      <c r="C156" s="663"/>
      <c r="F156" s="663"/>
      <c r="H156" s="663"/>
      <c r="I156" s="664"/>
      <c r="L156" s="669"/>
      <c r="M156" s="669"/>
      <c r="N156" s="669"/>
      <c r="O156" s="669"/>
      <c r="P156" s="669"/>
      <c r="Q156" s="669"/>
      <c r="R156" s="669"/>
      <c r="S156" s="669"/>
      <c r="T156" s="669"/>
      <c r="U156" s="669"/>
      <c r="V156" s="669"/>
    </row>
    <row r="157" spans="1:22" s="661" customFormat="1" ht="17.5" customHeight="1" x14ac:dyDescent="0.25">
      <c r="B157" s="1186" t="s">
        <v>424</v>
      </c>
      <c r="C157" s="1187"/>
      <c r="D157" s="963"/>
      <c r="E157" s="963"/>
      <c r="F157" s="962"/>
      <c r="G157" s="963"/>
      <c r="H157" s="964"/>
      <c r="I157" s="664"/>
      <c r="L157" s="669"/>
      <c r="M157" s="669"/>
      <c r="N157" s="669"/>
      <c r="O157" s="669"/>
      <c r="P157" s="669"/>
      <c r="Q157" s="669"/>
      <c r="R157" s="669"/>
      <c r="S157" s="669"/>
      <c r="T157" s="669"/>
      <c r="U157" s="669"/>
      <c r="V157" s="669"/>
    </row>
    <row r="158" spans="1:22" x14ac:dyDescent="0.25">
      <c r="L158" s="296"/>
      <c r="M158" s="296"/>
      <c r="N158" s="296"/>
      <c r="O158" s="296"/>
      <c r="P158" s="296"/>
      <c r="Q158" s="296"/>
      <c r="R158" s="296"/>
      <c r="S158" s="296"/>
      <c r="T158" s="296"/>
      <c r="U158" s="296"/>
      <c r="V158" s="296"/>
    </row>
    <row r="159" spans="1:22" ht="55.5" customHeight="1" x14ac:dyDescent="0.25">
      <c r="A159" s="167">
        <f>+A153+1</f>
        <v>30</v>
      </c>
      <c r="B159" s="180" t="s">
        <v>121</v>
      </c>
      <c r="C159" s="2" t="s">
        <v>102</v>
      </c>
      <c r="D159" s="197"/>
      <c r="E159" s="197"/>
      <c r="F159" s="193"/>
      <c r="H159" s="193"/>
      <c r="L159" s="296"/>
      <c r="M159" s="296"/>
      <c r="N159" s="296"/>
      <c r="O159" s="296"/>
      <c r="P159" s="296"/>
      <c r="Q159" s="296"/>
      <c r="R159" s="296"/>
      <c r="S159" s="296"/>
      <c r="T159" s="296"/>
      <c r="U159" s="296"/>
      <c r="V159" s="296"/>
    </row>
    <row r="160" spans="1:22" ht="28" customHeight="1" x14ac:dyDescent="0.25">
      <c r="B160" s="175" t="s">
        <v>112</v>
      </c>
      <c r="C160" s="160"/>
      <c r="D160" s="189">
        <f>-T4B!G228</f>
        <v>0</v>
      </c>
      <c r="E160" s="189">
        <f t="shared" ref="E160" si="0">+D160</f>
        <v>0</v>
      </c>
      <c r="F160" s="195" t="s">
        <v>4</v>
      </c>
      <c r="H160" s="195"/>
    </row>
    <row r="161" spans="1:22" x14ac:dyDescent="0.25">
      <c r="L161" s="296"/>
      <c r="M161" s="296"/>
      <c r="N161" s="296"/>
      <c r="O161" s="296"/>
      <c r="P161" s="296"/>
      <c r="Q161" s="296"/>
      <c r="R161" s="296"/>
      <c r="S161" s="296"/>
      <c r="T161" s="296"/>
      <c r="U161" s="296"/>
      <c r="V161" s="296"/>
    </row>
    <row r="162" spans="1:22" ht="72.650000000000006" customHeight="1" x14ac:dyDescent="0.25">
      <c r="A162" s="167">
        <f>+A159+1</f>
        <v>31</v>
      </c>
      <c r="B162" s="180" t="s">
        <v>369</v>
      </c>
      <c r="C162" s="2" t="s">
        <v>117</v>
      </c>
      <c r="D162" s="197"/>
      <c r="E162" s="197"/>
      <c r="F162" s="193"/>
      <c r="H162" s="193"/>
    </row>
    <row r="163" spans="1:22" ht="28" customHeight="1" x14ac:dyDescent="0.25">
      <c r="B163" s="175" t="s">
        <v>112</v>
      </c>
      <c r="C163" s="160"/>
      <c r="D163" s="189">
        <f>-T5B!G228</f>
        <v>0</v>
      </c>
      <c r="E163" s="189">
        <f t="shared" ref="E163" si="1">+D163</f>
        <v>0</v>
      </c>
      <c r="F163" s="195" t="s">
        <v>4</v>
      </c>
      <c r="H163" s="195"/>
    </row>
    <row r="164" spans="1:22" x14ac:dyDescent="0.25">
      <c r="L164" s="296"/>
      <c r="M164" s="296"/>
      <c r="N164" s="296"/>
      <c r="O164" s="296"/>
      <c r="P164" s="296"/>
      <c r="Q164" s="296"/>
      <c r="R164" s="296"/>
      <c r="S164" s="296"/>
      <c r="T164" s="296"/>
      <c r="U164" s="296"/>
      <c r="V164" s="296"/>
    </row>
    <row r="165" spans="1:22" ht="59.25" customHeight="1" x14ac:dyDescent="0.25">
      <c r="A165" s="167">
        <f>A162+1</f>
        <v>32</v>
      </c>
      <c r="B165" s="180" t="s">
        <v>125</v>
      </c>
      <c r="C165" s="2" t="s">
        <v>135</v>
      </c>
      <c r="D165" s="197"/>
      <c r="E165" s="193"/>
      <c r="F165" s="193"/>
      <c r="H165" s="193"/>
    </row>
    <row r="166" spans="1:22" ht="28" customHeight="1" x14ac:dyDescent="0.25">
      <c r="B166" s="175" t="s">
        <v>112</v>
      </c>
      <c r="C166" s="194"/>
      <c r="D166" s="215">
        <f>-T6B!G196</f>
        <v>0</v>
      </c>
      <c r="E166" s="189">
        <f t="shared" ref="E166" si="2">+D166</f>
        <v>0</v>
      </c>
      <c r="F166" s="193" t="s">
        <v>4</v>
      </c>
      <c r="H166" s="193"/>
    </row>
    <row r="167" spans="1:22" x14ac:dyDescent="0.25">
      <c r="B167" s="123"/>
      <c r="C167" s="611"/>
      <c r="D167" s="622"/>
      <c r="E167" s="622"/>
      <c r="F167" s="222"/>
      <c r="H167" s="167"/>
    </row>
    <row r="168" spans="1:22" ht="19.5" customHeight="1" x14ac:dyDescent="0.25">
      <c r="A168" s="167">
        <f>+A165+1</f>
        <v>33</v>
      </c>
      <c r="B168" s="180" t="s">
        <v>31</v>
      </c>
      <c r="C168" s="2"/>
      <c r="D168" s="197">
        <f>SUM(D169:D171)</f>
        <v>0</v>
      </c>
      <c r="E168" s="197">
        <f>SUM(E169:E171)</f>
        <v>0</v>
      </c>
      <c r="F168" s="193" t="s">
        <v>4</v>
      </c>
      <c r="H168" s="614"/>
    </row>
    <row r="169" spans="1:22" s="661" customFormat="1" ht="27.65" customHeight="1" x14ac:dyDescent="0.25">
      <c r="B169" s="966" t="s">
        <v>42</v>
      </c>
      <c r="C169" s="967"/>
      <c r="D169" s="593">
        <v>0</v>
      </c>
      <c r="E169" s="593">
        <v>0</v>
      </c>
      <c r="F169" s="968"/>
      <c r="H169" s="968" t="s">
        <v>35</v>
      </c>
      <c r="I169" s="664"/>
    </row>
    <row r="170" spans="1:22" s="661" customFormat="1" ht="27.65" customHeight="1" x14ac:dyDescent="0.25">
      <c r="B170" s="966" t="s">
        <v>290</v>
      </c>
      <c r="C170" s="967"/>
      <c r="D170" s="593">
        <v>0</v>
      </c>
      <c r="E170" s="593">
        <v>0</v>
      </c>
      <c r="F170" s="968"/>
      <c r="H170" s="968" t="s">
        <v>35</v>
      </c>
      <c r="I170" s="664"/>
    </row>
    <row r="171" spans="1:22" s="661" customFormat="1" ht="27.65" customHeight="1" x14ac:dyDescent="0.25">
      <c r="B171" s="966" t="s">
        <v>291</v>
      </c>
      <c r="C171" s="967"/>
      <c r="D171" s="593">
        <v>0</v>
      </c>
      <c r="E171" s="593">
        <v>0</v>
      </c>
      <c r="F171" s="968"/>
      <c r="H171" s="968" t="s">
        <v>35</v>
      </c>
      <c r="I171" s="664"/>
    </row>
    <row r="172" spans="1:22" s="661" customFormat="1" x14ac:dyDescent="0.25">
      <c r="B172" s="960"/>
      <c r="C172" s="663"/>
      <c r="F172" s="663"/>
      <c r="H172" s="663"/>
      <c r="I172" s="664"/>
      <c r="L172" s="669"/>
      <c r="M172" s="669"/>
      <c r="N172" s="669"/>
      <c r="O172" s="669"/>
      <c r="P172" s="669"/>
      <c r="Q172" s="669"/>
      <c r="R172" s="669"/>
      <c r="S172" s="669"/>
      <c r="T172" s="669"/>
      <c r="U172" s="669"/>
      <c r="V172" s="669"/>
    </row>
    <row r="173" spans="1:22" s="661" customFormat="1" x14ac:dyDescent="0.25">
      <c r="B173" s="960"/>
      <c r="C173" s="663"/>
      <c r="F173" s="663"/>
      <c r="H173" s="663"/>
      <c r="I173" s="664"/>
      <c r="L173" s="669"/>
      <c r="M173" s="669"/>
      <c r="N173" s="669"/>
      <c r="O173" s="669"/>
      <c r="P173" s="669"/>
      <c r="Q173" s="669"/>
      <c r="R173" s="669"/>
      <c r="S173" s="669"/>
      <c r="T173" s="669"/>
      <c r="U173" s="669"/>
      <c r="V173" s="669"/>
    </row>
    <row r="174" spans="1:22" s="661" customFormat="1" ht="17.5" customHeight="1" x14ac:dyDescent="0.25">
      <c r="B174" s="961" t="s">
        <v>412</v>
      </c>
      <c r="C174" s="962"/>
      <c r="D174" s="963"/>
      <c r="E174" s="963"/>
      <c r="F174" s="962"/>
      <c r="G174" s="963"/>
      <c r="H174" s="964"/>
      <c r="I174" s="664"/>
      <c r="L174" s="669"/>
      <c r="M174" s="669"/>
      <c r="N174" s="669"/>
      <c r="O174" s="669"/>
      <c r="P174" s="669"/>
      <c r="Q174" s="669"/>
      <c r="R174" s="669"/>
      <c r="S174" s="669"/>
      <c r="T174" s="669"/>
      <c r="U174" s="669"/>
      <c r="V174" s="669"/>
    </row>
    <row r="175" spans="1:22" x14ac:dyDescent="0.25">
      <c r="L175" s="296"/>
      <c r="M175" s="296"/>
      <c r="N175" s="296"/>
      <c r="O175" s="296"/>
      <c r="P175" s="296"/>
      <c r="Q175" s="296"/>
      <c r="R175" s="296"/>
      <c r="S175" s="296"/>
      <c r="T175" s="296"/>
      <c r="U175" s="296"/>
      <c r="V175" s="296"/>
    </row>
    <row r="176" spans="1:22" ht="49.5" customHeight="1" x14ac:dyDescent="0.25">
      <c r="A176" s="167">
        <f>+A168+1</f>
        <v>34</v>
      </c>
      <c r="B176" s="180" t="s">
        <v>122</v>
      </c>
      <c r="C176" s="2" t="s">
        <v>149</v>
      </c>
      <c r="D176" s="207">
        <f>-IF($R$1=2021,VLOOKUP(D12,T4C!A104:B104,2,FALSE),0)</f>
        <v>0</v>
      </c>
      <c r="E176" s="197">
        <f>+D176</f>
        <v>0</v>
      </c>
      <c r="F176" s="193" t="s">
        <v>4</v>
      </c>
      <c r="H176" s="193"/>
    </row>
    <row r="177" spans="1:22" x14ac:dyDescent="0.25">
      <c r="L177" s="296"/>
      <c r="M177" s="296"/>
      <c r="N177" s="296"/>
      <c r="O177" s="296"/>
      <c r="P177" s="296"/>
      <c r="Q177" s="296"/>
      <c r="R177" s="296"/>
      <c r="S177" s="296"/>
      <c r="T177" s="296"/>
      <c r="U177" s="296"/>
      <c r="V177" s="296"/>
    </row>
    <row r="178" spans="1:22" ht="32.25" customHeight="1" x14ac:dyDescent="0.25">
      <c r="A178" s="167">
        <f>+A176+1</f>
        <v>35</v>
      </c>
      <c r="B178" s="180" t="s">
        <v>148</v>
      </c>
      <c r="C178" s="619"/>
      <c r="D178" s="651">
        <f>+D179*D180</f>
        <v>0</v>
      </c>
      <c r="E178" s="651">
        <f>+E179*E180</f>
        <v>0</v>
      </c>
      <c r="F178" s="193" t="s">
        <v>4</v>
      </c>
      <c r="H178" s="614"/>
    </row>
    <row r="179" spans="1:22" ht="42" customHeight="1" x14ac:dyDescent="0.25">
      <c r="B179" s="191" t="str">
        <f>"Gecumuleerd regulatoir saldo exogene kosten m.b.t. transmissie bij het begin van het boekjaar (01/01/"&amp;R1&amp;") (positieve waarde voor tekort, en omgekeerd)"</f>
        <v>Gecumuleerd regulatoir saldo exogene kosten m.b.t. transmissie bij het begin van het boekjaar (01/01/2021) (positieve waarde voor tekort, en omgekeerd)</v>
      </c>
      <c r="C179" s="2"/>
      <c r="D179" s="617">
        <f>+VLOOKUP($R$1-1,T4C!$B$51:$K$57,10,FALSE)-INDEX(T4C!$H$56:$I$57,MATCH('T3'!$R$1-1,T4C!$B$56:$B$57,0),MATCH('T3'!$R$1-1,T4C!$H$50:$I$50,0))</f>
        <v>0</v>
      </c>
      <c r="E179" s="617">
        <f>IF($S$1="ex-ante",0,IF($S$1="ex-post",VLOOKUP($R$1-1,T4C!$B$56:$K$57,10,FALSE),0))</f>
        <v>0</v>
      </c>
      <c r="F179" s="620"/>
      <c r="H179" s="614"/>
    </row>
    <row r="180" spans="1:22" ht="33" customHeight="1" x14ac:dyDescent="0.25">
      <c r="B180" s="191" t="str">
        <f>"Kapitaalkostvergoeding voor boekjaar "&amp;R1&amp;" (in te vullen door de VREG)"</f>
        <v>Kapitaalkostvergoeding voor boekjaar 2021 (in te vullen door de VREG)</v>
      </c>
      <c r="C180" s="621"/>
      <c r="D180" s="181">
        <f>+D50</f>
        <v>0</v>
      </c>
      <c r="E180" s="181">
        <f>+E50</f>
        <v>0</v>
      </c>
      <c r="F180" s="620"/>
      <c r="H180" s="614"/>
    </row>
    <row r="182" spans="1:22" ht="40.5" customHeight="1" x14ac:dyDescent="0.25">
      <c r="A182" s="167">
        <f>+A178+1</f>
        <v>36</v>
      </c>
      <c r="B182" s="598" t="s">
        <v>150</v>
      </c>
      <c r="C182" s="594"/>
      <c r="D182" s="207">
        <f>SUM(D183:D198)</f>
        <v>0</v>
      </c>
      <c r="E182" s="207">
        <f>SUM(E183:E198)</f>
        <v>0</v>
      </c>
      <c r="F182" s="193" t="s">
        <v>4</v>
      </c>
      <c r="H182" s="193" t="s">
        <v>35</v>
      </c>
    </row>
    <row r="183" spans="1:22" ht="27.65" customHeight="1" x14ac:dyDescent="0.25">
      <c r="B183" s="652" t="s">
        <v>415</v>
      </c>
      <c r="C183" s="592"/>
      <c r="D183" s="196">
        <v>0</v>
      </c>
      <c r="E183" s="196">
        <v>0</v>
      </c>
      <c r="F183" s="193"/>
      <c r="H183" s="193"/>
    </row>
    <row r="184" spans="1:22" ht="27.65" customHeight="1" x14ac:dyDescent="0.25">
      <c r="B184" s="652" t="s">
        <v>416</v>
      </c>
      <c r="C184" s="592"/>
      <c r="D184" s="196">
        <v>0</v>
      </c>
      <c r="E184" s="196">
        <v>0</v>
      </c>
      <c r="F184" s="193"/>
      <c r="H184" s="193"/>
    </row>
    <row r="185" spans="1:22" ht="27.65" customHeight="1" x14ac:dyDescent="0.25">
      <c r="B185" s="652" t="s">
        <v>417</v>
      </c>
      <c r="C185" s="592"/>
      <c r="D185" s="196">
        <v>0</v>
      </c>
      <c r="E185" s="196">
        <v>0</v>
      </c>
      <c r="F185" s="193"/>
      <c r="H185" s="193"/>
    </row>
    <row r="186" spans="1:22" ht="27.65" customHeight="1" x14ac:dyDescent="0.25">
      <c r="B186" s="652" t="s">
        <v>418</v>
      </c>
      <c r="C186" s="592"/>
      <c r="D186" s="196">
        <v>0</v>
      </c>
      <c r="E186" s="196">
        <v>0</v>
      </c>
      <c r="F186" s="193"/>
      <c r="H186" s="193"/>
    </row>
    <row r="187" spans="1:22" ht="20.5" customHeight="1" x14ac:dyDescent="0.25">
      <c r="B187" s="652" t="s">
        <v>212</v>
      </c>
      <c r="C187" s="592"/>
      <c r="D187" s="196">
        <v>0</v>
      </c>
      <c r="E187" s="196">
        <v>0</v>
      </c>
      <c r="F187" s="193"/>
      <c r="H187" s="193"/>
    </row>
    <row r="188" spans="1:22" ht="20.5" customHeight="1" x14ac:dyDescent="0.25">
      <c r="B188" s="652" t="s">
        <v>371</v>
      </c>
      <c r="C188" s="592"/>
      <c r="D188" s="196">
        <v>0</v>
      </c>
      <c r="E188" s="196">
        <v>0</v>
      </c>
      <c r="F188" s="193"/>
      <c r="H188" s="193"/>
    </row>
    <row r="189" spans="1:22" ht="20.5" customHeight="1" x14ac:dyDescent="0.25">
      <c r="B189" s="652" t="s">
        <v>213</v>
      </c>
      <c r="C189" s="592"/>
      <c r="D189" s="196">
        <v>0</v>
      </c>
      <c r="E189" s="196">
        <v>0</v>
      </c>
      <c r="F189" s="193"/>
      <c r="H189" s="193"/>
    </row>
    <row r="190" spans="1:22" ht="20.5" customHeight="1" x14ac:dyDescent="0.25">
      <c r="B190" s="652" t="s">
        <v>214</v>
      </c>
      <c r="C190" s="592"/>
      <c r="D190" s="196">
        <v>0</v>
      </c>
      <c r="E190" s="196">
        <v>0</v>
      </c>
      <c r="F190" s="193"/>
      <c r="H190" s="193"/>
    </row>
    <row r="191" spans="1:22" ht="20.5" customHeight="1" x14ac:dyDescent="0.25">
      <c r="B191" s="652" t="s">
        <v>215</v>
      </c>
      <c r="C191" s="592"/>
      <c r="D191" s="196">
        <v>0</v>
      </c>
      <c r="E191" s="196">
        <v>0</v>
      </c>
      <c r="F191" s="193"/>
      <c r="H191" s="193"/>
    </row>
    <row r="192" spans="1:22" ht="20.5" customHeight="1" x14ac:dyDescent="0.25">
      <c r="B192" s="652" t="s">
        <v>216</v>
      </c>
      <c r="C192" s="592"/>
      <c r="D192" s="196">
        <v>0</v>
      </c>
      <c r="E192" s="196">
        <v>0</v>
      </c>
      <c r="F192" s="193"/>
      <c r="H192" s="193"/>
    </row>
    <row r="193" spans="1:8" ht="20.5" customHeight="1" x14ac:dyDescent="0.25">
      <c r="B193" s="652" t="s">
        <v>217</v>
      </c>
      <c r="C193" s="592"/>
      <c r="D193" s="196">
        <v>0</v>
      </c>
      <c r="E193" s="196">
        <v>0</v>
      </c>
      <c r="F193" s="193"/>
      <c r="H193" s="193"/>
    </row>
    <row r="194" spans="1:8" ht="20.5" customHeight="1" x14ac:dyDescent="0.25">
      <c r="B194" s="652" t="s">
        <v>218</v>
      </c>
      <c r="C194" s="592"/>
      <c r="D194" s="196">
        <v>0</v>
      </c>
      <c r="E194" s="196">
        <v>0</v>
      </c>
      <c r="F194" s="193"/>
      <c r="H194" s="193"/>
    </row>
    <row r="195" spans="1:8" ht="20.5" customHeight="1" x14ac:dyDescent="0.25">
      <c r="B195" s="652" t="s">
        <v>219</v>
      </c>
      <c r="C195" s="592"/>
      <c r="D195" s="196">
        <v>0</v>
      </c>
      <c r="E195" s="196">
        <v>0</v>
      </c>
      <c r="F195" s="193"/>
      <c r="H195" s="193"/>
    </row>
    <row r="196" spans="1:8" ht="20.5" customHeight="1" x14ac:dyDescent="0.25">
      <c r="B196" s="652" t="s">
        <v>220</v>
      </c>
      <c r="C196" s="592"/>
      <c r="D196" s="196">
        <v>0</v>
      </c>
      <c r="E196" s="196">
        <v>0</v>
      </c>
      <c r="F196" s="193"/>
      <c r="H196" s="193"/>
    </row>
    <row r="197" spans="1:8" ht="20.5" customHeight="1" x14ac:dyDescent="0.25">
      <c r="B197" s="592"/>
      <c r="C197" s="592"/>
      <c r="D197" s="196"/>
      <c r="E197" s="196"/>
      <c r="F197" s="193"/>
      <c r="H197" s="193"/>
    </row>
    <row r="198" spans="1:8" ht="20.5" customHeight="1" x14ac:dyDescent="0.25">
      <c r="B198" s="592"/>
      <c r="C198" s="592"/>
      <c r="D198" s="196"/>
      <c r="E198" s="196"/>
      <c r="F198" s="193"/>
      <c r="H198" s="193"/>
    </row>
    <row r="199" spans="1:8" ht="48" customHeight="1" x14ac:dyDescent="0.25">
      <c r="A199" s="167">
        <f>+A182+1</f>
        <v>37</v>
      </c>
      <c r="B199" s="180" t="s">
        <v>151</v>
      </c>
      <c r="C199" s="594"/>
      <c r="D199" s="196">
        <v>0</v>
      </c>
      <c r="E199" s="196">
        <v>0</v>
      </c>
      <c r="F199" s="193" t="s">
        <v>4</v>
      </c>
      <c r="H199" s="193" t="s">
        <v>35</v>
      </c>
    </row>
    <row r="200" spans="1:8" ht="42" customHeight="1" x14ac:dyDescent="0.25">
      <c r="A200" s="167">
        <f>+A199+1</f>
        <v>38</v>
      </c>
      <c r="B200" s="180" t="s">
        <v>152</v>
      </c>
      <c r="C200" s="594"/>
      <c r="D200" s="196">
        <v>0</v>
      </c>
      <c r="E200" s="965"/>
      <c r="F200" s="193" t="s">
        <v>8</v>
      </c>
      <c r="H200" s="193" t="s">
        <v>35</v>
      </c>
    </row>
    <row r="201" spans="1:8" x14ac:dyDescent="0.25">
      <c r="B201" s="123"/>
      <c r="C201" s="611"/>
      <c r="D201" s="622"/>
      <c r="E201" s="622"/>
      <c r="F201" s="222"/>
      <c r="H201" s="222"/>
    </row>
    <row r="202" spans="1:8" x14ac:dyDescent="0.25">
      <c r="B202" s="123"/>
      <c r="C202" s="611"/>
      <c r="D202" s="622"/>
      <c r="E202" s="622"/>
      <c r="F202" s="222"/>
      <c r="H202" s="222"/>
    </row>
    <row r="203" spans="1:8" x14ac:dyDescent="0.25">
      <c r="B203" s="123"/>
      <c r="C203" s="611"/>
      <c r="D203" s="622"/>
      <c r="E203" s="622"/>
      <c r="F203" s="222"/>
      <c r="H203" s="222"/>
    </row>
    <row r="204" spans="1:8" x14ac:dyDescent="0.25">
      <c r="B204" s="123"/>
      <c r="C204" s="611"/>
      <c r="D204" s="623" t="s">
        <v>0</v>
      </c>
      <c r="E204" s="623" t="s">
        <v>1</v>
      </c>
      <c r="F204" s="222"/>
      <c r="H204" s="222"/>
    </row>
    <row r="205" spans="1:8" x14ac:dyDescent="0.25">
      <c r="B205" s="624"/>
      <c r="C205" s="625"/>
      <c r="D205" s="626">
        <f>D12</f>
        <v>2021</v>
      </c>
      <c r="E205" s="626">
        <f t="shared" ref="E205:E207" si="3">E12</f>
        <v>2021</v>
      </c>
      <c r="F205" s="627"/>
      <c r="G205" s="220"/>
      <c r="H205" s="627"/>
    </row>
    <row r="206" spans="1:8" x14ac:dyDescent="0.25">
      <c r="B206" s="628"/>
      <c r="C206" s="629"/>
      <c r="D206" s="630" t="str">
        <f>D13</f>
        <v>NAAM DNB</v>
      </c>
      <c r="E206" s="630" t="str">
        <f t="shared" si="3"/>
        <v>NAAM DNB</v>
      </c>
      <c r="F206" s="627"/>
      <c r="G206" s="222"/>
      <c r="H206" s="627"/>
    </row>
    <row r="207" spans="1:8" x14ac:dyDescent="0.25">
      <c r="B207" s="631"/>
      <c r="C207" s="584"/>
      <c r="D207" s="632" t="str">
        <f>D14</f>
        <v>elektriciteit</v>
      </c>
      <c r="E207" s="632" t="str">
        <f t="shared" si="3"/>
        <v>elektriciteit</v>
      </c>
      <c r="F207" s="627"/>
      <c r="G207" s="220"/>
      <c r="H207" s="627"/>
    </row>
    <row r="208" spans="1:8" ht="32.25" customHeight="1" x14ac:dyDescent="0.25">
      <c r="B208" s="633" t="s">
        <v>69</v>
      </c>
      <c r="C208" s="625"/>
      <c r="D208" s="634">
        <f>SUM(D24,D27,D30,D33,D36,D38,D48,D52,D58,D64,D70)</f>
        <v>0</v>
      </c>
      <c r="E208" s="634">
        <f>SUM(E24,E27,E30,E33,E36,E38,E48,E52,E58,E64,E70)</f>
        <v>0</v>
      </c>
      <c r="F208" s="627"/>
      <c r="G208" s="220"/>
      <c r="H208" s="627"/>
    </row>
    <row r="209" spans="2:8" ht="21" customHeight="1" x14ac:dyDescent="0.25">
      <c r="B209" s="633" t="s">
        <v>70</v>
      </c>
      <c r="C209" s="625"/>
      <c r="D209" s="634">
        <f>SUM(D80,D83,D86)</f>
        <v>0</v>
      </c>
      <c r="E209" s="634">
        <f>SUM(E80,E83,E86)</f>
        <v>0</v>
      </c>
      <c r="F209" s="627"/>
      <c r="G209" s="220"/>
      <c r="H209" s="627"/>
    </row>
    <row r="210" spans="2:8" ht="31.5" customHeight="1" x14ac:dyDescent="0.25">
      <c r="B210" s="633" t="s">
        <v>193</v>
      </c>
      <c r="C210" s="625"/>
      <c r="D210" s="971"/>
      <c r="E210" s="971"/>
      <c r="F210" s="627"/>
      <c r="G210" s="220"/>
      <c r="H210" s="627"/>
    </row>
    <row r="211" spans="2:8" ht="33" customHeight="1" x14ac:dyDescent="0.25">
      <c r="B211" s="635" t="s">
        <v>71</v>
      </c>
      <c r="C211" s="591"/>
      <c r="D211" s="634">
        <f>SUM(D95,D98,D101,D103,D113:D114,D123,D125,D128:D129,D136:D137,D139)-SUM(D107,D116,D119,D132:D133)</f>
        <v>0</v>
      </c>
      <c r="E211" s="634">
        <f>SUM(E95,E98,E101,E103,E113:E114,E123,E125,E128:E129,E136:E137,E139)-SUM(E107,E116,E119,E132:E133)</f>
        <v>0</v>
      </c>
      <c r="F211" s="622"/>
      <c r="H211" s="622"/>
    </row>
    <row r="212" spans="2:8" ht="32.25" customHeight="1" x14ac:dyDescent="0.25">
      <c r="B212" s="636" t="s">
        <v>194</v>
      </c>
      <c r="C212" s="637"/>
      <c r="D212" s="634">
        <f>SUM(D176,D182,D199,D178)-D200</f>
        <v>0</v>
      </c>
      <c r="E212" s="634">
        <f>SUM(E176,E182,E199,E178)</f>
        <v>0</v>
      </c>
      <c r="F212" s="622"/>
      <c r="H212" s="622"/>
    </row>
    <row r="213" spans="2:8" ht="32.25" customHeight="1" x14ac:dyDescent="0.25">
      <c r="B213" s="635" t="s">
        <v>72</v>
      </c>
      <c r="C213" s="591"/>
      <c r="D213" s="971"/>
      <c r="E213" s="971"/>
      <c r="F213" s="622"/>
      <c r="H213" s="622"/>
    </row>
    <row r="214" spans="2:8" ht="32.25" customHeight="1" x14ac:dyDescent="0.25">
      <c r="B214" s="635" t="s">
        <v>73</v>
      </c>
      <c r="C214" s="591"/>
      <c r="D214" s="634">
        <f>SUM(D148,D151,D154)</f>
        <v>0</v>
      </c>
      <c r="E214" s="634">
        <f>SUM(E148,E151,E154)</f>
        <v>0</v>
      </c>
      <c r="F214" s="622"/>
      <c r="H214" s="622"/>
    </row>
    <row r="215" spans="2:8" ht="31.5" customHeight="1" x14ac:dyDescent="0.25">
      <c r="B215" s="635" t="s">
        <v>74</v>
      </c>
      <c r="C215" s="591"/>
      <c r="D215" s="634">
        <f>+SUM(D160,D163,D166,D168)</f>
        <v>0</v>
      </c>
      <c r="E215" s="634">
        <f>+SUM(E160,E163,E166,E168)</f>
        <v>0</v>
      </c>
      <c r="F215" s="622"/>
      <c r="G215" s="220"/>
      <c r="H215" s="622"/>
    </row>
    <row r="216" spans="2:8" ht="13.5" customHeight="1" x14ac:dyDescent="0.25">
      <c r="B216" s="635"/>
      <c r="C216" s="591"/>
      <c r="D216" s="638"/>
      <c r="E216" s="639"/>
      <c r="F216" s="622"/>
      <c r="G216" s="220"/>
      <c r="H216" s="622"/>
    </row>
    <row r="217" spans="2:8" ht="32.25" customHeight="1" x14ac:dyDescent="0.25">
      <c r="B217" s="183" t="s">
        <v>141</v>
      </c>
      <c r="C217" s="591"/>
      <c r="D217" s="184">
        <f>SUM(D213:D215,D208:D211)</f>
        <v>0</v>
      </c>
      <c r="E217" s="640">
        <f>SUM(E208:E211,E213:E215)</f>
        <v>0</v>
      </c>
      <c r="F217" s="641"/>
      <c r="G217" s="220"/>
      <c r="H217" s="641"/>
    </row>
    <row r="218" spans="2:8" ht="32.25" customHeight="1" x14ac:dyDescent="0.25">
      <c r="B218" s="183" t="s">
        <v>142</v>
      </c>
      <c r="C218" s="591"/>
      <c r="D218" s="184">
        <f>SUM(D212)</f>
        <v>0</v>
      </c>
      <c r="E218" s="640">
        <f>SUM(E212)</f>
        <v>0</v>
      </c>
      <c r="F218" s="641"/>
      <c r="G218" s="220"/>
      <c r="H218" s="641"/>
    </row>
    <row r="219" spans="2:8" ht="32.25" customHeight="1" x14ac:dyDescent="0.25">
      <c r="B219" s="183" t="s">
        <v>143</v>
      </c>
      <c r="C219" s="591"/>
      <c r="D219" s="184">
        <f>+SUM(D217:D218)</f>
        <v>0</v>
      </c>
      <c r="E219" s="184">
        <f>SUM(E217:E218)</f>
        <v>0</v>
      </c>
      <c r="F219" s="641"/>
      <c r="G219" s="220"/>
      <c r="H219" s="641"/>
    </row>
    <row r="220" spans="2:8" x14ac:dyDescent="0.25">
      <c r="E220" s="642"/>
    </row>
    <row r="222" spans="2:8" ht="30" customHeight="1" x14ac:dyDescent="0.25">
      <c r="B222" s="200" t="s">
        <v>231</v>
      </c>
      <c r="C222" s="203"/>
      <c r="D222" s="201"/>
      <c r="E222" s="202">
        <f>SUM(E223,E231)</f>
        <v>0</v>
      </c>
      <c r="F222" s="564"/>
      <c r="G222" s="212"/>
      <c r="H222" s="167"/>
    </row>
    <row r="223" spans="2:8" ht="27" customHeight="1" x14ac:dyDescent="0.25">
      <c r="B223" s="200" t="s">
        <v>98</v>
      </c>
      <c r="C223" s="203" t="s">
        <v>292</v>
      </c>
      <c r="D223" s="201"/>
      <c r="E223" s="202">
        <f>SUM(E224:E230)</f>
        <v>0</v>
      </c>
      <c r="F223" s="564"/>
      <c r="G223" s="212"/>
      <c r="H223" s="167"/>
    </row>
    <row r="224" spans="2:8" ht="18.75" customHeight="1" x14ac:dyDescent="0.25">
      <c r="B224" s="191" t="s">
        <v>107</v>
      </c>
      <c r="C224" s="203"/>
      <c r="D224" s="201"/>
      <c r="E224" s="617">
        <f>IF($E$207="elektriciteit",SUM(T5C!P18),IF($E$207="gas",T5E!Q21,"FALSE"))</f>
        <v>0</v>
      </c>
      <c r="F224" s="564"/>
      <c r="G224" s="212"/>
      <c r="H224" s="167"/>
    </row>
    <row r="225" spans="2:9" ht="18.75" customHeight="1" x14ac:dyDescent="0.25">
      <c r="B225" s="191" t="s">
        <v>108</v>
      </c>
      <c r="C225" s="203"/>
      <c r="D225" s="201"/>
      <c r="E225" s="617">
        <f>IF($E$207="elektriciteit",SUM(T5C!P21,T5D!O20),IF($E$207="gas",SUM(T5E!Q24,T5F!J22),"FALSE"))</f>
        <v>0</v>
      </c>
      <c r="F225" s="564"/>
      <c r="G225" s="212"/>
      <c r="H225" s="167"/>
    </row>
    <row r="226" spans="2:9" ht="18.75" customHeight="1" x14ac:dyDescent="0.25">
      <c r="B226" s="191" t="s">
        <v>204</v>
      </c>
      <c r="C226" s="203"/>
      <c r="D226" s="201"/>
      <c r="E226" s="617">
        <f>IF($E$207="elektriciteit",SUM(T5C!P24,T5D!O23),IF($E$207="gas",SUM(T5E!Q27,T5F!J25),"FALSE"))</f>
        <v>0</v>
      </c>
      <c r="F226" s="564"/>
      <c r="G226" s="212"/>
      <c r="H226" s="167"/>
    </row>
    <row r="227" spans="2:9" ht="18.75" customHeight="1" x14ac:dyDescent="0.25">
      <c r="B227" s="191" t="s">
        <v>109</v>
      </c>
      <c r="C227" s="203"/>
      <c r="D227" s="201"/>
      <c r="E227" s="617">
        <f>IF($E$207="elektriciteit",SUM(T5C!P27),IF($E$207="gas",T5E!Q30,"FALSE"))</f>
        <v>0</v>
      </c>
      <c r="F227" s="564"/>
      <c r="G227" s="212"/>
      <c r="H227" s="167"/>
    </row>
    <row r="228" spans="2:9" ht="27" customHeight="1" x14ac:dyDescent="0.25">
      <c r="B228" s="191" t="s">
        <v>110</v>
      </c>
      <c r="C228" s="203"/>
      <c r="D228" s="201"/>
      <c r="E228" s="617">
        <f>IF($E$207="elektriciteit",T5C!P31,IF($E$207="gas",0,"FALSE"))</f>
        <v>0</v>
      </c>
      <c r="F228" s="564"/>
      <c r="G228" s="212"/>
      <c r="H228" s="224"/>
    </row>
    <row r="229" spans="2:9" ht="18.75" customHeight="1" x14ac:dyDescent="0.25">
      <c r="B229" s="191" t="s">
        <v>111</v>
      </c>
      <c r="C229" s="203"/>
      <c r="D229" s="201"/>
      <c r="E229" s="617">
        <f>IF($E$207="elektriciteit",SUM(T5C!P33,T5D!O26),IF($E$207="gas",0,"FALSE"))</f>
        <v>0</v>
      </c>
      <c r="F229" s="564"/>
      <c r="G229" s="212"/>
      <c r="H229" s="167"/>
    </row>
    <row r="230" spans="2:9" ht="30" customHeight="1" x14ac:dyDescent="0.25">
      <c r="B230" s="191" t="s">
        <v>112</v>
      </c>
      <c r="C230" s="643"/>
      <c r="D230" s="201"/>
      <c r="E230" s="617">
        <f>IF($E$207="elektriciteit",SUM(T5C!P38,T5D!O29),IF($E$207="gas",T5E!Q33,"FALSE"))</f>
        <v>0</v>
      </c>
      <c r="F230" s="564"/>
      <c r="G230" s="212"/>
      <c r="H230" s="167"/>
    </row>
    <row r="231" spans="2:9" ht="30" customHeight="1" x14ac:dyDescent="0.25">
      <c r="B231" s="200" t="s">
        <v>99</v>
      </c>
      <c r="C231" s="2" t="s">
        <v>153</v>
      </c>
      <c r="D231" s="201"/>
      <c r="E231" s="202">
        <f>IF($E$207="elektriciteit",T5C!P44,IF($E$207="gas",0,"FALSE"))</f>
        <v>0</v>
      </c>
      <c r="F231" s="564"/>
      <c r="G231" s="212"/>
      <c r="H231" s="167"/>
    </row>
    <row r="232" spans="2:9" x14ac:dyDescent="0.25">
      <c r="B232" s="644"/>
      <c r="D232" s="645"/>
      <c r="E232" s="646"/>
      <c r="F232" s="564"/>
      <c r="G232" s="212"/>
      <c r="H232" s="167"/>
    </row>
    <row r="233" spans="2:9" s="176" customFormat="1" ht="24.75" customHeight="1" x14ac:dyDescent="0.25">
      <c r="B233" s="216" t="str">
        <f>"Regulatoir saldo inzake exogene kosten voor boekjaar "&amp;D205</f>
        <v>Regulatoir saldo inzake exogene kosten voor boekjaar 2021</v>
      </c>
      <c r="C233" s="185"/>
      <c r="D233" s="186"/>
      <c r="E233" s="188">
        <f>SUM(E234,E242)</f>
        <v>0</v>
      </c>
      <c r="F233" s="187"/>
      <c r="G233" s="187"/>
      <c r="I233" s="223"/>
    </row>
    <row r="234" spans="2:9" ht="24" customHeight="1" x14ac:dyDescent="0.25">
      <c r="B234" s="200" t="s">
        <v>98</v>
      </c>
      <c r="C234" s="203"/>
      <c r="D234" s="201"/>
      <c r="E234" s="188">
        <f>SUM(E235:E241)</f>
        <v>0</v>
      </c>
      <c r="F234" s="564"/>
      <c r="G234" s="212"/>
      <c r="H234" s="167"/>
    </row>
    <row r="235" spans="2:9" ht="18.75" customHeight="1" x14ac:dyDescent="0.25">
      <c r="B235" s="191" t="s">
        <v>107</v>
      </c>
      <c r="C235" s="203"/>
      <c r="D235" s="201"/>
      <c r="E235" s="647">
        <f>(E208-D208)+((D208)-(E224+E228+E226))</f>
        <v>0</v>
      </c>
      <c r="F235" s="564"/>
      <c r="G235" s="212"/>
      <c r="H235" s="167"/>
    </row>
    <row r="236" spans="2:9" ht="18.75" customHeight="1" x14ac:dyDescent="0.25">
      <c r="B236" s="191" t="s">
        <v>108</v>
      </c>
      <c r="C236" s="203"/>
      <c r="D236" s="201"/>
      <c r="E236" s="647">
        <f>(E209-D209)+(D209-E225)</f>
        <v>0</v>
      </c>
      <c r="F236" s="564"/>
      <c r="G236" s="212"/>
      <c r="H236" s="167"/>
    </row>
    <row r="237" spans="2:9" ht="18.75" customHeight="1" x14ac:dyDescent="0.25">
      <c r="B237" s="973" t="s">
        <v>204</v>
      </c>
      <c r="C237" s="974"/>
      <c r="D237" s="201"/>
      <c r="E237" s="972"/>
      <c r="F237" s="564"/>
      <c r="G237" s="212"/>
      <c r="H237" s="167"/>
    </row>
    <row r="238" spans="2:9" ht="18.75" customHeight="1" x14ac:dyDescent="0.25">
      <c r="B238" s="191" t="s">
        <v>109</v>
      </c>
      <c r="C238" s="203"/>
      <c r="D238" s="201"/>
      <c r="E238" s="647">
        <f>(E211-D211)+(D211-E227)</f>
        <v>0</v>
      </c>
      <c r="F238" s="564"/>
      <c r="G238" s="212"/>
      <c r="H238" s="167"/>
    </row>
    <row r="239" spans="2:9" ht="29.25" customHeight="1" x14ac:dyDescent="0.25">
      <c r="B239" s="973" t="s">
        <v>110</v>
      </c>
      <c r="C239" s="974"/>
      <c r="D239" s="201"/>
      <c r="E239" s="972"/>
      <c r="F239" s="564"/>
      <c r="G239" s="212"/>
      <c r="H239" s="167"/>
    </row>
    <row r="240" spans="2:9" ht="20.25" customHeight="1" x14ac:dyDescent="0.25">
      <c r="B240" s="191" t="s">
        <v>111</v>
      </c>
      <c r="C240" s="203"/>
      <c r="D240" s="201"/>
      <c r="E240" s="647">
        <f>(E214-D214)+(D214-E229)</f>
        <v>0</v>
      </c>
      <c r="F240" s="564"/>
      <c r="G240" s="212"/>
      <c r="H240" s="167"/>
    </row>
    <row r="241" spans="2:8" ht="30" customHeight="1" x14ac:dyDescent="0.25">
      <c r="B241" s="191" t="s">
        <v>112</v>
      </c>
      <c r="C241" s="203"/>
      <c r="D241" s="201"/>
      <c r="E241" s="647">
        <f>(E215-D215)+(D215-E230)</f>
        <v>0</v>
      </c>
      <c r="F241" s="564"/>
      <c r="G241" s="212"/>
      <c r="H241" s="167"/>
    </row>
    <row r="242" spans="2:8" ht="25.5" customHeight="1" x14ac:dyDescent="0.25">
      <c r="B242" s="200" t="s">
        <v>99</v>
      </c>
      <c r="C242" s="203"/>
      <c r="D242" s="201"/>
      <c r="E242" s="202">
        <f>+(E212-D212)+(D212-E231)</f>
        <v>0</v>
      </c>
      <c r="F242" s="564"/>
      <c r="G242" s="212"/>
      <c r="H242" s="167"/>
    </row>
    <row r="243" spans="2:8" x14ac:dyDescent="0.25">
      <c r="B243" s="644"/>
      <c r="D243" s="212"/>
      <c r="E243" s="241" t="s">
        <v>38</v>
      </c>
      <c r="F243" s="564"/>
      <c r="G243" s="212"/>
      <c r="H243" s="167"/>
    </row>
    <row r="244" spans="2:8" x14ac:dyDescent="0.25">
      <c r="B244" s="648"/>
      <c r="D244" s="212"/>
      <c r="E244" s="243" t="s">
        <v>39</v>
      </c>
      <c r="F244" s="564"/>
      <c r="G244" s="212"/>
      <c r="H244" s="167"/>
    </row>
  </sheetData>
  <sheetProtection algorithmName="SHA-512" hashValue="OWCu/3uLPUzfEH+DhFcXnscHPz5YtAjyYuSfeERTAHo8AKuA/maup+1Z0GOWGWN1+DDMabGdwdmBcsT9zU7EuQ==" saltValue="rqgEVvmpENb86L109qLGSQ==" spinCount="100000" sheet="1" objects="1" scenarios="1"/>
  <customSheetViews>
    <customSheetView guid="{C8C7977F-B6BF-432B-A1A7-559450D521AF}" scale="85" topLeftCell="A67">
      <selection activeCell="B79" sqref="B79"/>
      <pageMargins left="0.75" right="0.75" top="1" bottom="1" header="0.5" footer="0.5"/>
      <pageSetup paperSize="9" orientation="portrait" r:id="rId1"/>
      <headerFooter alignWithMargins="0"/>
    </customSheetView>
  </customSheetViews>
  <mergeCells count="8">
    <mergeCell ref="B157:C157"/>
    <mergeCell ref="A1:H1"/>
    <mergeCell ref="B16:B18"/>
    <mergeCell ref="C16:C18"/>
    <mergeCell ref="D16:D18"/>
    <mergeCell ref="F16:F18"/>
    <mergeCell ref="H16:H18"/>
    <mergeCell ref="E16:E18"/>
  </mergeCells>
  <conditionalFormatting sqref="E10:E18 E23:E24 E26:E27 E29:E30 E32:E33 E35:E36 E48:E49 E52:E56 E58:E62 E64:E68 E70:E74 E79:E80 E82:E83 E85:E86 E97:E98 E94:E95 E100:E101 E103:E110 E147:E148 E150:E151 E153:E154 E159:E160 E162:E163 E165:E166 E176 E178:E180 E204:E219 E222:E231 E233:E242 E243:I244 E38:E45 E112:E114 E116:E121 E123 E125 E127:E129 E131:E133 E135:E137 E139 E168:E171 E182:E200">
    <cfRule type="expression" dxfId="8" priority="11">
      <formula>$S$1="ex-ante"</formula>
    </cfRule>
  </conditionalFormatting>
  <conditionalFormatting sqref="A103:H110 B142:H142 B145:H145 A147:H148 A150:H151 A153:H154 B174:H174 A176:H176 A178:H180 B212:E214 B218:E218 B228:E229 B231:E231 B239:E240 B242:E242 A38:H45 A46:C46 F46:H46 A112:H114 A116:H121 A123:H123 A125:H125 A127:H129 A131:H133 A135:H137 A139:H139 A182:H200">
    <cfRule type="expression" dxfId="7" priority="10">
      <formula>$D$14="gas"</formula>
    </cfRule>
  </conditionalFormatting>
  <conditionalFormatting sqref="E46">
    <cfRule type="expression" dxfId="6" priority="8">
      <formula>$S$1="ex-ante"</formula>
    </cfRule>
  </conditionalFormatting>
  <conditionalFormatting sqref="D46:E46">
    <cfRule type="expression" dxfId="5" priority="7">
      <formula>$D$14="gas"</formula>
    </cfRule>
  </conditionalFormatting>
  <conditionalFormatting sqref="E50">
    <cfRule type="expression" dxfId="4" priority="6">
      <formula>$S$1="ex-ante"</formula>
    </cfRule>
  </conditionalFormatting>
  <conditionalFormatting sqref="E169:E171">
    <cfRule type="expression" dxfId="3" priority="4">
      <formula>$D$14="gas"</formula>
    </cfRule>
  </conditionalFormatting>
  <conditionalFormatting sqref="E183">
    <cfRule type="expression" dxfId="2" priority="3">
      <formula>$D$14="gas"</formula>
    </cfRule>
  </conditionalFormatting>
  <conditionalFormatting sqref="E184:E196">
    <cfRule type="expression" dxfId="1" priority="2">
      <formula>$D$14="gas"</formula>
    </cfRule>
  </conditionalFormatting>
  <conditionalFormatting sqref="E197:E198">
    <cfRule type="expression" dxfId="0" priority="1">
      <formula>$D$14="gas"</formula>
    </cfRule>
  </conditionalFormatting>
  <hyperlinks>
    <hyperlink ref="C23" location="T4B!A1" display="TABEL 4B" xr:uid="{00000000-0004-0000-0300-000000000000}"/>
    <hyperlink ref="C176" location="T4C!A1" display="TABEL 4C" xr:uid="{00000000-0004-0000-0300-000001000000}"/>
    <hyperlink ref="C26" location="T5B!A1" display="TABEL 5B" xr:uid="{00000000-0004-0000-0300-000002000000}"/>
    <hyperlink ref="C29" location="T6B!A1" display="TABEL 6B" xr:uid="{00000000-0004-0000-0300-000003000000}"/>
    <hyperlink ref="C32" location="'T7'!A1" display="TABEL 7" xr:uid="{00000000-0004-0000-0300-000004000000}"/>
    <hyperlink ref="C35" location="'T8'!A1" display="TABEL 8" xr:uid="{00000000-0004-0000-0300-000005000000}"/>
    <hyperlink ref="C231" location="T5C!A1" display="TABEL 5C" xr:uid="{455A0A72-F288-4145-A4E4-8C8EC49174CD}"/>
    <hyperlink ref="C79" location="T4B!A1" display="TABEL 4B" xr:uid="{A53EF9F9-63B7-478C-BB02-156F1619D43E}"/>
    <hyperlink ref="C82" location="T5B!A1" display="TABEL 5B" xr:uid="{73E2A6B8-ACAC-4BB5-9C25-9E13598C96E9}"/>
    <hyperlink ref="C85" location="T6B!A1" display="TABEL 6B" xr:uid="{CF873091-5037-4578-84DB-9CA1AE00DA03}"/>
    <hyperlink ref="C94" location="T4B!A1" display="TABEL 4B" xr:uid="{614317D1-E0C7-4141-94A2-15417378C59E}"/>
    <hyperlink ref="C97" location="T5B!A1" display="TABEL 5B" xr:uid="{D6B58673-17E4-46E2-A982-13DC43542836}"/>
    <hyperlink ref="C100" location="T6B!A1" display="TABEL 6B" xr:uid="{A52590DA-7B08-4D78-9FFA-3C40C5B1E8FD}"/>
    <hyperlink ref="C147" location="T4B!A1" display="TABEL 4B" xr:uid="{9A5306C0-219A-41AB-A45B-274A16CCDAB9}"/>
    <hyperlink ref="C150" location="T5B!A1" display="TABEL 5B" xr:uid="{FF012133-5BCA-4236-A47A-5137C7AB2652}"/>
    <hyperlink ref="C153" location="T6B!A1" display="TABEL 6B" xr:uid="{DB499ACA-2520-490B-8F60-1B12D99E6B4F}"/>
    <hyperlink ref="C159" location="T4B!A1" display="TABEL 4B" xr:uid="{F08479D4-5829-4F5F-88DD-FA8EF237767D}"/>
    <hyperlink ref="C162" location="T5B!A1" display="TABEL 5B" xr:uid="{4D9C2516-1929-419C-A7F8-DDF109B3F8BF}"/>
    <hyperlink ref="C165" location="T6B!A1" display="TABEL 6B" xr:uid="{628EB405-8870-4380-BACA-3B8C96300B3F}"/>
  </hyperlinks>
  <pageMargins left="0.74803149606299213" right="0.74803149606299213" top="0.98425196850393704" bottom="0.98425196850393704" header="0.51181102362204722" footer="0.51181102362204722"/>
  <pageSetup paperSize="8" scale="47" fitToWidth="3" fitToHeight="3" orientation="portrait" r:id="rId2"/>
  <headerFooter alignWithMargins="0"/>
  <rowBreaks count="2" manualBreakCount="2">
    <brk id="102" max="13" man="1"/>
    <brk id="4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AG69"/>
  <sheetViews>
    <sheetView topLeftCell="E10" zoomScale="85" zoomScaleNormal="85" zoomScaleSheetLayoutView="80" workbookViewId="0">
      <selection activeCell="Q20" sqref="Q20"/>
    </sheetView>
  </sheetViews>
  <sheetFormatPr defaultColWidth="11.453125" defaultRowHeight="12.5" x14ac:dyDescent="0.25"/>
  <cols>
    <col min="1" max="1" width="19.7265625" style="178" customWidth="1"/>
    <col min="2" max="2" width="14.81640625" style="178" customWidth="1"/>
    <col min="3" max="12" width="20.7265625" style="178" customWidth="1"/>
    <col min="13" max="13" width="5.7265625" style="178" customWidth="1"/>
    <col min="14" max="14" width="20.7265625" style="178" customWidth="1"/>
    <col min="15" max="15" width="7.453125" style="178" customWidth="1"/>
    <col min="16" max="17" width="20.7265625" style="178" customWidth="1"/>
    <col min="18" max="18" width="14" style="178" customWidth="1"/>
    <col min="19" max="19" width="11.453125" style="178"/>
    <col min="20" max="20" width="12.26953125" style="178" bestFit="1" customWidth="1"/>
    <col min="21" max="16384" width="11.453125" style="178"/>
  </cols>
  <sheetData>
    <row r="1" spans="1:33" ht="21" customHeight="1" thickBot="1" x14ac:dyDescent="0.3">
      <c r="A1" s="1225" t="s">
        <v>236</v>
      </c>
      <c r="B1" s="1226"/>
      <c r="C1" s="1226"/>
      <c r="D1" s="1226"/>
      <c r="E1" s="1226"/>
      <c r="F1" s="1226"/>
      <c r="G1" s="1226"/>
      <c r="H1" s="1226"/>
      <c r="I1" s="1226"/>
      <c r="J1" s="1226"/>
      <c r="K1" s="1226"/>
      <c r="L1" s="1226"/>
      <c r="M1" s="1226"/>
      <c r="N1" s="1227"/>
      <c r="O1" s="230"/>
      <c r="P1" s="230"/>
      <c r="Q1" s="230"/>
      <c r="R1" s="231"/>
      <c r="S1" s="231"/>
      <c r="T1" s="231"/>
      <c r="U1" s="231"/>
      <c r="V1" s="231"/>
      <c r="W1" s="231"/>
      <c r="X1" s="231"/>
      <c r="Y1" s="231"/>
      <c r="Z1" s="231"/>
      <c r="AA1" s="231"/>
      <c r="AB1" s="231"/>
    </row>
    <row r="2" spans="1:33" x14ac:dyDescent="0.25">
      <c r="A2" s="232"/>
      <c r="B2" s="232"/>
      <c r="C2" s="232"/>
      <c r="D2" s="232"/>
      <c r="E2" s="232"/>
      <c r="F2" s="232"/>
      <c r="G2" s="232"/>
      <c r="H2" s="232"/>
      <c r="I2" s="232"/>
      <c r="J2" s="232"/>
      <c r="K2" s="232"/>
      <c r="L2" s="232"/>
      <c r="M2" s="232"/>
      <c r="N2" s="232"/>
      <c r="O2" s="234"/>
      <c r="P2" s="288"/>
      <c r="Q2" s="288"/>
      <c r="R2" s="237"/>
      <c r="S2" s="237"/>
      <c r="T2" s="237"/>
      <c r="U2" s="231"/>
      <c r="V2" s="231"/>
      <c r="W2" s="231"/>
      <c r="X2" s="231"/>
      <c r="Y2" s="231"/>
      <c r="Z2" s="231"/>
      <c r="AA2" s="231"/>
      <c r="AB2" s="231"/>
    </row>
    <row r="3" spans="1:33" ht="13" thickBot="1" x14ac:dyDescent="0.3">
      <c r="A3" s="232"/>
      <c r="B3" s="232"/>
      <c r="C3" s="232"/>
      <c r="D3" s="232"/>
      <c r="E3" s="232"/>
      <c r="F3" s="232"/>
      <c r="G3" s="232"/>
      <c r="H3" s="232"/>
      <c r="I3" s="232"/>
      <c r="J3" s="232"/>
      <c r="K3" s="232"/>
      <c r="L3" s="232"/>
      <c r="M3" s="232"/>
      <c r="N3" s="232"/>
      <c r="O3" s="234"/>
      <c r="P3" s="288"/>
      <c r="Q3" s="288"/>
      <c r="R3" s="237"/>
      <c r="S3" s="237"/>
      <c r="T3" s="237"/>
      <c r="U3" s="231"/>
      <c r="V3" s="231"/>
      <c r="W3" s="231"/>
      <c r="X3" s="231"/>
      <c r="Y3" s="231"/>
      <c r="Z3" s="231"/>
      <c r="AA3" s="231"/>
      <c r="AB3" s="231"/>
    </row>
    <row r="4" spans="1:33" s="179" customFormat="1" ht="21.75" customHeight="1" thickBot="1" x14ac:dyDescent="0.3">
      <c r="A4" s="1217" t="s">
        <v>237</v>
      </c>
      <c r="B4" s="1218"/>
      <c r="C4" s="1218"/>
      <c r="D4" s="1218"/>
      <c r="E4" s="1218"/>
      <c r="F4" s="1218"/>
      <c r="G4" s="1218"/>
      <c r="H4" s="1218"/>
      <c r="I4" s="1218"/>
      <c r="J4" s="1218"/>
      <c r="K4" s="1218"/>
      <c r="L4" s="1218"/>
      <c r="M4" s="1218"/>
      <c r="N4" s="1219"/>
      <c r="O4" s="236"/>
      <c r="P4" s="289"/>
      <c r="Q4" s="237" t="str">
        <f>+TITELBLAD!B16</f>
        <v>Rapportering over boekjaar:</v>
      </c>
      <c r="R4" s="237">
        <f>+TITELBLAD!E16</f>
        <v>2021</v>
      </c>
      <c r="S4" s="237" t="str">
        <f>+TITELBLAD!F16</f>
        <v>ex-ante</v>
      </c>
      <c r="T4" s="237"/>
      <c r="U4" s="231"/>
      <c r="V4" s="231"/>
      <c r="W4" s="231"/>
      <c r="X4" s="231"/>
      <c r="Y4" s="231"/>
      <c r="Z4" s="231"/>
      <c r="AA4" s="231"/>
      <c r="AB4" s="231"/>
      <c r="AC4" s="178"/>
      <c r="AD4" s="178"/>
      <c r="AE4" s="178"/>
      <c r="AF4" s="178"/>
      <c r="AG4" s="178"/>
    </row>
    <row r="5" spans="1:33" ht="13.5" thickBot="1" x14ac:dyDescent="0.3">
      <c r="C5" s="659"/>
      <c r="D5" s="659"/>
      <c r="E5" s="659"/>
      <c r="F5" s="659"/>
      <c r="G5" s="659"/>
      <c r="H5" s="659"/>
      <c r="I5" s="659"/>
      <c r="J5" s="659"/>
      <c r="K5" s="659"/>
      <c r="L5" s="659"/>
      <c r="O5" s="231"/>
      <c r="P5" s="237"/>
      <c r="Q5" s="237"/>
      <c r="R5" s="237"/>
      <c r="S5" s="237"/>
      <c r="T5" s="237"/>
      <c r="U5" s="231"/>
      <c r="V5" s="231"/>
      <c r="W5" s="231"/>
      <c r="X5" s="231"/>
      <c r="Y5" s="231"/>
      <c r="Z5" s="231"/>
      <c r="AA5" s="231"/>
      <c r="AB5" s="231"/>
    </row>
    <row r="6" spans="1:33" ht="17" thickBot="1" x14ac:dyDescent="0.3">
      <c r="C6" s="1220" t="str">
        <f>+TITELBLAD!C7</f>
        <v>NAAM DNB</v>
      </c>
      <c r="D6" s="1221"/>
      <c r="E6" s="1221"/>
      <c r="F6" s="1221"/>
      <c r="G6" s="1221"/>
      <c r="H6" s="1221"/>
      <c r="I6" s="1221"/>
      <c r="J6" s="1221"/>
      <c r="K6" s="1221"/>
      <c r="L6" s="1222"/>
      <c r="O6" s="231"/>
      <c r="P6" s="237"/>
      <c r="Q6" s="237"/>
      <c r="R6" s="237"/>
      <c r="S6" s="237"/>
      <c r="T6" s="237"/>
      <c r="U6" s="231"/>
      <c r="V6" s="231"/>
      <c r="W6" s="231"/>
      <c r="X6" s="231"/>
      <c r="Y6" s="231"/>
      <c r="Z6" s="231"/>
      <c r="AA6" s="231"/>
      <c r="AB6" s="231"/>
    </row>
    <row r="7" spans="1:33" ht="17" thickBot="1" x14ac:dyDescent="0.3">
      <c r="C7" s="1220" t="str">
        <f>+TITELBLAD!C10</f>
        <v>elektriciteit</v>
      </c>
      <c r="D7" s="1221"/>
      <c r="E7" s="1221"/>
      <c r="F7" s="1221"/>
      <c r="G7" s="1221"/>
      <c r="H7" s="1221"/>
      <c r="I7" s="1221"/>
      <c r="J7" s="1221"/>
      <c r="K7" s="1221"/>
      <c r="L7" s="1222"/>
      <c r="O7" s="231"/>
      <c r="P7" s="237"/>
      <c r="Q7" s="237"/>
      <c r="R7" s="237"/>
      <c r="S7" s="237"/>
      <c r="T7" s="237"/>
      <c r="U7" s="231"/>
      <c r="V7" s="231"/>
      <c r="W7" s="231"/>
      <c r="X7" s="231"/>
      <c r="Y7" s="231"/>
      <c r="Z7" s="231"/>
      <c r="AA7" s="231"/>
      <c r="AB7" s="231"/>
    </row>
    <row r="8" spans="1:33" s="179" customFormat="1" ht="17" thickBot="1" x14ac:dyDescent="0.3">
      <c r="A8" s="178"/>
      <c r="B8" s="178"/>
      <c r="C8" s="1220" t="s">
        <v>30</v>
      </c>
      <c r="D8" s="1221"/>
      <c r="E8" s="1221"/>
      <c r="F8" s="1221"/>
      <c r="G8" s="1221"/>
      <c r="H8" s="1221"/>
      <c r="I8" s="1221"/>
      <c r="J8" s="1221"/>
      <c r="K8" s="1221"/>
      <c r="L8" s="1222"/>
      <c r="M8" s="178"/>
      <c r="N8" s="178"/>
      <c r="O8" s="231"/>
      <c r="P8" s="231"/>
      <c r="Q8" s="231"/>
      <c r="R8" s="231"/>
      <c r="S8" s="231"/>
      <c r="T8" s="231"/>
      <c r="U8" s="231"/>
      <c r="V8" s="231"/>
      <c r="W8" s="231"/>
      <c r="X8" s="231"/>
      <c r="Y8" s="231"/>
      <c r="Z8" s="231"/>
      <c r="AA8" s="231"/>
      <c r="AB8" s="231"/>
      <c r="AC8" s="178"/>
      <c r="AD8" s="178"/>
      <c r="AE8" s="178"/>
      <c r="AF8" s="178"/>
      <c r="AG8" s="178"/>
    </row>
    <row r="9" spans="1:33" s="179" customFormat="1" ht="13.5" thickBot="1" x14ac:dyDescent="0.3">
      <c r="A9" s="178"/>
      <c r="B9" s="178"/>
      <c r="C9" s="238">
        <v>2015</v>
      </c>
      <c r="D9" s="239">
        <v>2016</v>
      </c>
      <c r="E9" s="239">
        <v>2017</v>
      </c>
      <c r="F9" s="239">
        <v>2018</v>
      </c>
      <c r="G9" s="239">
        <v>2019</v>
      </c>
      <c r="H9" s="239">
        <v>2020</v>
      </c>
      <c r="I9" s="239">
        <v>2021</v>
      </c>
      <c r="J9" s="808">
        <v>2022</v>
      </c>
      <c r="K9" s="808">
        <v>2023</v>
      </c>
      <c r="L9" s="808">
        <v>2024</v>
      </c>
      <c r="M9" s="178"/>
      <c r="N9" s="178"/>
      <c r="O9" s="231"/>
      <c r="P9" s="231"/>
      <c r="Q9" s="231"/>
      <c r="R9" s="231"/>
      <c r="S9" s="231"/>
      <c r="T9" s="231"/>
      <c r="U9" s="231"/>
      <c r="V9" s="231"/>
      <c r="W9" s="231"/>
      <c r="X9" s="231"/>
      <c r="Y9" s="231"/>
      <c r="Z9" s="231"/>
      <c r="AA9" s="231"/>
      <c r="AB9" s="231"/>
      <c r="AC9" s="178"/>
      <c r="AD9" s="178"/>
      <c r="AE9" s="178"/>
      <c r="AF9" s="178"/>
      <c r="AG9" s="178"/>
    </row>
    <row r="10" spans="1:33" s="179" customFormat="1" x14ac:dyDescent="0.25">
      <c r="A10" s="178"/>
      <c r="B10" s="178"/>
      <c r="C10" s="986">
        <v>0</v>
      </c>
      <c r="D10" s="987">
        <v>0</v>
      </c>
      <c r="E10" s="987">
        <v>0</v>
      </c>
      <c r="F10" s="987">
        <v>0</v>
      </c>
      <c r="G10" s="987">
        <v>0</v>
      </c>
      <c r="H10" s="987">
        <v>0</v>
      </c>
      <c r="I10" s="987">
        <v>0</v>
      </c>
      <c r="J10" s="988">
        <v>0</v>
      </c>
      <c r="K10" s="988">
        <v>0</v>
      </c>
      <c r="L10" s="988">
        <v>0</v>
      </c>
      <c r="M10" s="178"/>
      <c r="N10" s="178"/>
      <c r="O10" s="231"/>
      <c r="P10" s="231"/>
      <c r="Q10" s="231"/>
      <c r="R10" s="231"/>
      <c r="S10" s="231"/>
      <c r="T10" s="231"/>
      <c r="U10" s="231"/>
      <c r="V10" s="231"/>
      <c r="W10" s="231"/>
      <c r="X10" s="231"/>
      <c r="Y10" s="231"/>
      <c r="Z10" s="231"/>
      <c r="AA10" s="231"/>
      <c r="AB10" s="231"/>
      <c r="AC10" s="178"/>
      <c r="AD10" s="178"/>
      <c r="AE10" s="178"/>
      <c r="AF10" s="178"/>
      <c r="AG10" s="178"/>
    </row>
    <row r="11" spans="1:33" s="240" customFormat="1" ht="13" x14ac:dyDescent="0.25">
      <c r="C11" s="241" t="s">
        <v>41</v>
      </c>
      <c r="F11" s="242"/>
      <c r="G11" s="242"/>
      <c r="H11" s="242"/>
      <c r="I11" s="242"/>
      <c r="J11" s="242"/>
      <c r="K11" s="242"/>
      <c r="L11" s="242"/>
      <c r="O11" s="231"/>
      <c r="P11" s="231"/>
      <c r="Q11" s="231"/>
      <c r="R11" s="231"/>
      <c r="S11" s="231"/>
      <c r="T11" s="231"/>
      <c r="U11" s="231"/>
      <c r="V11" s="231"/>
      <c r="W11" s="231"/>
      <c r="X11" s="231"/>
      <c r="Y11" s="231"/>
      <c r="Z11" s="231"/>
      <c r="AA11" s="231"/>
      <c r="AB11" s="231"/>
    </row>
    <row r="12" spans="1:33" s="240" customFormat="1" ht="13" x14ac:dyDescent="0.25">
      <c r="C12" s="243" t="s">
        <v>166</v>
      </c>
      <c r="O12" s="231"/>
      <c r="P12" s="231"/>
      <c r="Q12" s="231"/>
      <c r="R12" s="231"/>
      <c r="S12" s="231"/>
      <c r="T12" s="231"/>
      <c r="U12" s="231"/>
      <c r="V12" s="231"/>
      <c r="W12" s="231"/>
      <c r="X12" s="231"/>
      <c r="Y12" s="231"/>
      <c r="Z12" s="231"/>
      <c r="AA12" s="231"/>
      <c r="AB12" s="231"/>
    </row>
    <row r="13" spans="1:33" s="240" customFormat="1" ht="13" x14ac:dyDescent="0.25">
      <c r="C13" s="243"/>
      <c r="O13" s="231"/>
      <c r="P13" s="231"/>
      <c r="Q13" s="231"/>
      <c r="R13" s="231"/>
      <c r="S13" s="231"/>
      <c r="T13" s="231"/>
      <c r="U13" s="231"/>
      <c r="V13" s="231"/>
      <c r="W13" s="231"/>
      <c r="X13" s="231"/>
      <c r="Y13" s="231"/>
      <c r="Z13" s="231"/>
      <c r="AA13" s="231"/>
      <c r="AB13" s="231"/>
    </row>
    <row r="14" spans="1:33" ht="13" thickBot="1" x14ac:dyDescent="0.3">
      <c r="C14" s="244"/>
      <c r="O14" s="231"/>
      <c r="P14" s="231"/>
      <c r="Q14" s="231"/>
      <c r="R14" s="231"/>
      <c r="S14" s="231"/>
      <c r="T14" s="231"/>
      <c r="U14" s="231"/>
      <c r="V14" s="231"/>
      <c r="W14" s="231"/>
      <c r="X14" s="231"/>
      <c r="Y14" s="231"/>
      <c r="Z14" s="231"/>
      <c r="AA14" s="231"/>
      <c r="AB14" s="231"/>
    </row>
    <row r="15" spans="1:33" ht="21.75" customHeight="1" thickBot="1" x14ac:dyDescent="0.3">
      <c r="A15" s="1217" t="s">
        <v>18</v>
      </c>
      <c r="B15" s="1218"/>
      <c r="C15" s="1218"/>
      <c r="D15" s="1218"/>
      <c r="E15" s="1218"/>
      <c r="F15" s="1218"/>
      <c r="G15" s="1218"/>
      <c r="H15" s="1218"/>
      <c r="I15" s="1218"/>
      <c r="J15" s="1218"/>
      <c r="K15" s="1218"/>
      <c r="L15" s="1218"/>
      <c r="M15" s="1218"/>
      <c r="N15" s="1219"/>
      <c r="O15" s="1223"/>
      <c r="P15" s="1224"/>
      <c r="Q15" s="231"/>
      <c r="R15" s="231"/>
      <c r="S15" s="231"/>
      <c r="T15" s="231"/>
      <c r="U15" s="231"/>
      <c r="V15" s="231"/>
      <c r="W15" s="231"/>
      <c r="X15" s="231"/>
      <c r="Y15" s="231"/>
      <c r="Z15" s="231"/>
      <c r="AA15" s="231"/>
      <c r="AB15" s="231"/>
    </row>
    <row r="16" spans="1:33" x14ac:dyDescent="0.25">
      <c r="O16" s="231"/>
      <c r="P16" s="231"/>
      <c r="Q16" s="231"/>
      <c r="R16" s="231"/>
      <c r="S16" s="231"/>
      <c r="T16" s="231"/>
      <c r="U16" s="231"/>
      <c r="V16" s="231"/>
      <c r="W16" s="231"/>
      <c r="X16" s="231"/>
      <c r="Y16" s="231"/>
      <c r="Z16" s="231"/>
      <c r="AA16" s="231"/>
      <c r="AB16" s="231"/>
    </row>
    <row r="17" spans="1:33" ht="13" x14ac:dyDescent="0.25">
      <c r="C17" s="241" t="s">
        <v>41</v>
      </c>
      <c r="O17" s="231"/>
      <c r="P17" s="231"/>
      <c r="Q17" s="231"/>
      <c r="R17" s="231"/>
      <c r="S17" s="231"/>
      <c r="T17" s="231"/>
      <c r="U17" s="231"/>
      <c r="V17" s="231"/>
      <c r="W17" s="231"/>
      <c r="X17" s="231"/>
      <c r="Y17" s="231"/>
      <c r="Z17" s="231"/>
      <c r="AA17" s="231"/>
      <c r="AB17" s="231"/>
    </row>
    <row r="18" spans="1:33" ht="13" x14ac:dyDescent="0.25">
      <c r="C18" s="243" t="s">
        <v>166</v>
      </c>
      <c r="O18" s="231"/>
      <c r="P18" s="231"/>
      <c r="Q18" s="231"/>
      <c r="R18" s="231"/>
      <c r="S18" s="231"/>
      <c r="T18" s="231"/>
      <c r="U18" s="231"/>
      <c r="V18" s="231"/>
      <c r="W18" s="231"/>
      <c r="X18" s="231"/>
      <c r="Y18" s="231"/>
      <c r="Z18" s="231"/>
      <c r="AA18" s="231"/>
      <c r="AB18" s="231"/>
    </row>
    <row r="19" spans="1:33" ht="16.5" x14ac:dyDescent="0.25">
      <c r="C19" s="1210" t="s">
        <v>19</v>
      </c>
      <c r="D19" s="1211"/>
      <c r="E19" s="1211"/>
      <c r="F19" s="1211"/>
      <c r="G19" s="1211"/>
      <c r="H19" s="1211"/>
      <c r="I19" s="1211"/>
      <c r="J19" s="1211"/>
      <c r="K19" s="1211"/>
      <c r="L19" s="1212"/>
      <c r="N19" s="245" t="s">
        <v>20</v>
      </c>
      <c r="O19" s="231"/>
      <c r="P19" s="231"/>
      <c r="Q19" s="231"/>
      <c r="R19" s="231"/>
      <c r="S19" s="231"/>
      <c r="T19" s="231"/>
      <c r="U19" s="231"/>
      <c r="V19" s="231"/>
      <c r="W19" s="231"/>
      <c r="X19" s="231"/>
      <c r="Y19" s="231"/>
      <c r="Z19" s="231"/>
      <c r="AA19" s="231"/>
      <c r="AB19" s="231"/>
    </row>
    <row r="20" spans="1:33" ht="13.5" thickBot="1" x14ac:dyDescent="0.3">
      <c r="A20" s="1213"/>
      <c r="B20" s="1213"/>
      <c r="C20" s="246">
        <f t="shared" ref="C20:L20" si="0">C9</f>
        <v>2015</v>
      </c>
      <c r="D20" s="247">
        <f t="shared" si="0"/>
        <v>2016</v>
      </c>
      <c r="E20" s="247">
        <f t="shared" si="0"/>
        <v>2017</v>
      </c>
      <c r="F20" s="247">
        <f t="shared" si="0"/>
        <v>2018</v>
      </c>
      <c r="G20" s="247">
        <f t="shared" si="0"/>
        <v>2019</v>
      </c>
      <c r="H20" s="247">
        <f t="shared" si="0"/>
        <v>2020</v>
      </c>
      <c r="I20" s="247">
        <f t="shared" si="0"/>
        <v>2021</v>
      </c>
      <c r="J20" s="809">
        <f t="shared" si="0"/>
        <v>2022</v>
      </c>
      <c r="K20" s="809">
        <v>2023</v>
      </c>
      <c r="L20" s="809">
        <f t="shared" si="0"/>
        <v>2024</v>
      </c>
      <c r="N20" s="248"/>
      <c r="O20" s="231"/>
      <c r="P20" s="231"/>
      <c r="Q20" s="231"/>
      <c r="R20" s="231"/>
      <c r="S20" s="231"/>
      <c r="T20" s="231"/>
      <c r="U20" s="231"/>
      <c r="V20" s="231"/>
      <c r="W20" s="231"/>
      <c r="X20" s="231"/>
      <c r="Y20" s="231"/>
      <c r="Z20" s="231"/>
      <c r="AA20" s="231"/>
      <c r="AB20" s="231"/>
    </row>
    <row r="21" spans="1:33" s="179" customFormat="1" ht="12.75" customHeight="1" thickBot="1" x14ac:dyDescent="0.3">
      <c r="A21" s="1214" t="s">
        <v>21</v>
      </c>
      <c r="B21" s="249">
        <f>C9</f>
        <v>2015</v>
      </c>
      <c r="C21" s="989">
        <v>0</v>
      </c>
      <c r="D21" s="250"/>
      <c r="E21" s="250"/>
      <c r="F21" s="250"/>
      <c r="G21" s="250"/>
      <c r="H21" s="250"/>
      <c r="I21" s="250"/>
      <c r="J21" s="810"/>
      <c r="K21" s="810"/>
      <c r="L21" s="811"/>
      <c r="M21" s="252"/>
      <c r="N21" s="253">
        <f t="shared" ref="N21:N30" si="1">SUM(C21:L21)</f>
        <v>0</v>
      </c>
      <c r="O21" s="178"/>
      <c r="P21" s="178"/>
      <c r="Q21" s="178"/>
      <c r="R21" s="178"/>
      <c r="S21" s="178"/>
      <c r="T21" s="178"/>
      <c r="U21" s="178"/>
      <c r="V21" s="178"/>
      <c r="W21" s="178"/>
      <c r="X21" s="178"/>
      <c r="Y21" s="178"/>
      <c r="Z21" s="178"/>
      <c r="AA21" s="178"/>
      <c r="AB21" s="178"/>
      <c r="AC21" s="178"/>
      <c r="AD21" s="178"/>
      <c r="AE21" s="178"/>
      <c r="AF21" s="178"/>
      <c r="AG21" s="178"/>
    </row>
    <row r="22" spans="1:33" s="179" customFormat="1" ht="13.5" customHeight="1" thickBot="1" x14ac:dyDescent="0.3">
      <c r="A22" s="1215"/>
      <c r="B22" s="290">
        <f>D9</f>
        <v>2016</v>
      </c>
      <c r="C22" s="255">
        <f>C10-C21</f>
        <v>0</v>
      </c>
      <c r="D22" s="989">
        <v>0</v>
      </c>
      <c r="E22" s="256"/>
      <c r="F22" s="256"/>
      <c r="G22" s="256"/>
      <c r="H22" s="256"/>
      <c r="I22" s="256"/>
      <c r="J22" s="812"/>
      <c r="K22" s="812"/>
      <c r="L22" s="813"/>
      <c r="M22" s="252"/>
      <c r="N22" s="253">
        <f t="shared" si="1"/>
        <v>0</v>
      </c>
      <c r="O22" s="178"/>
      <c r="P22" s="178"/>
      <c r="Q22" s="178"/>
      <c r="R22" s="178"/>
      <c r="S22" s="178"/>
      <c r="T22" s="178"/>
      <c r="U22" s="178"/>
      <c r="V22" s="178"/>
      <c r="W22" s="178"/>
      <c r="X22" s="178"/>
      <c r="Y22" s="178"/>
      <c r="Z22" s="178"/>
      <c r="AA22" s="178"/>
      <c r="AB22" s="178"/>
      <c r="AC22" s="178"/>
      <c r="AD22" s="178"/>
      <c r="AE22" s="178"/>
      <c r="AF22" s="178"/>
      <c r="AG22" s="178"/>
    </row>
    <row r="23" spans="1:33" s="179" customFormat="1" ht="13.5" customHeight="1" thickBot="1" x14ac:dyDescent="0.3">
      <c r="A23" s="1215"/>
      <c r="B23" s="290">
        <f>E9</f>
        <v>2017</v>
      </c>
      <c r="C23" s="256"/>
      <c r="D23" s="255">
        <f>D10-D22</f>
        <v>0</v>
      </c>
      <c r="E23" s="989">
        <v>0</v>
      </c>
      <c r="F23" s="256"/>
      <c r="G23" s="256"/>
      <c r="H23" s="256"/>
      <c r="I23" s="256"/>
      <c r="J23" s="812"/>
      <c r="K23" s="812"/>
      <c r="L23" s="813"/>
      <c r="M23" s="252"/>
      <c r="N23" s="253">
        <f t="shared" si="1"/>
        <v>0</v>
      </c>
      <c r="O23" s="178"/>
      <c r="P23" s="178"/>
      <c r="Q23" s="178"/>
      <c r="R23" s="178"/>
      <c r="S23" s="178"/>
      <c r="T23" s="178"/>
      <c r="U23" s="178"/>
      <c r="V23" s="178"/>
      <c r="W23" s="178"/>
      <c r="X23" s="178"/>
      <c r="Y23" s="178"/>
      <c r="Z23" s="178"/>
      <c r="AA23" s="178"/>
      <c r="AB23" s="178"/>
      <c r="AC23" s="178"/>
      <c r="AD23" s="178"/>
      <c r="AE23" s="178"/>
      <c r="AF23" s="178"/>
      <c r="AG23" s="178"/>
    </row>
    <row r="24" spans="1:33" s="179" customFormat="1" ht="13.5" customHeight="1" thickBot="1" x14ac:dyDescent="0.3">
      <c r="A24" s="1215"/>
      <c r="B24" s="290">
        <f>F9</f>
        <v>2018</v>
      </c>
      <c r="C24" s="256"/>
      <c r="D24" s="256"/>
      <c r="E24" s="255">
        <f>E10-E23</f>
        <v>0</v>
      </c>
      <c r="F24" s="989">
        <v>0</v>
      </c>
      <c r="G24" s="256"/>
      <c r="H24" s="256"/>
      <c r="I24" s="256"/>
      <c r="J24" s="812"/>
      <c r="K24" s="812"/>
      <c r="L24" s="813"/>
      <c r="M24" s="252"/>
      <c r="N24" s="253">
        <f t="shared" si="1"/>
        <v>0</v>
      </c>
      <c r="O24" s="178"/>
      <c r="P24" s="178"/>
      <c r="Q24" s="178"/>
      <c r="R24" s="178"/>
      <c r="S24" s="178"/>
      <c r="T24" s="178"/>
      <c r="U24" s="178"/>
      <c r="V24" s="178"/>
      <c r="W24" s="178"/>
      <c r="X24" s="178"/>
      <c r="Y24" s="178"/>
      <c r="Z24" s="178"/>
      <c r="AA24" s="178"/>
      <c r="AB24" s="178"/>
      <c r="AC24" s="178"/>
      <c r="AD24" s="178"/>
      <c r="AE24" s="178"/>
      <c r="AF24" s="178"/>
      <c r="AG24" s="178"/>
    </row>
    <row r="25" spans="1:33" s="179" customFormat="1" ht="13.5" customHeight="1" thickBot="1" x14ac:dyDescent="0.3">
      <c r="A25" s="1215"/>
      <c r="B25" s="290">
        <f>G9</f>
        <v>2019</v>
      </c>
      <c r="C25" s="256"/>
      <c r="D25" s="256"/>
      <c r="E25" s="256"/>
      <c r="F25" s="255">
        <f>F10-F24</f>
        <v>0</v>
      </c>
      <c r="G25" s="989">
        <v>0</v>
      </c>
      <c r="H25" s="256"/>
      <c r="I25" s="256"/>
      <c r="J25" s="812"/>
      <c r="K25" s="812"/>
      <c r="L25" s="813"/>
      <c r="M25" s="252"/>
      <c r="N25" s="253">
        <f t="shared" si="1"/>
        <v>0</v>
      </c>
      <c r="O25" s="178"/>
      <c r="P25" s="178"/>
      <c r="Q25" s="178"/>
      <c r="R25" s="178"/>
      <c r="S25" s="178"/>
      <c r="T25" s="178"/>
      <c r="U25" s="178"/>
      <c r="V25" s="178"/>
      <c r="W25" s="178"/>
      <c r="X25" s="178"/>
      <c r="Y25" s="178"/>
      <c r="Z25" s="178"/>
      <c r="AA25" s="178"/>
      <c r="AB25" s="178"/>
      <c r="AC25" s="178"/>
      <c r="AD25" s="178"/>
      <c r="AE25" s="178"/>
      <c r="AF25" s="178"/>
      <c r="AG25" s="178"/>
    </row>
    <row r="26" spans="1:33" s="179" customFormat="1" ht="13.5" customHeight="1" thickBot="1" x14ac:dyDescent="0.3">
      <c r="A26" s="1215"/>
      <c r="B26" s="290">
        <f>+H9</f>
        <v>2020</v>
      </c>
      <c r="C26" s="256"/>
      <c r="D26" s="256"/>
      <c r="E26" s="256"/>
      <c r="F26" s="259"/>
      <c r="G26" s="255">
        <f>G$10-G25</f>
        <v>0</v>
      </c>
      <c r="H26" s="989">
        <v>0</v>
      </c>
      <c r="I26" s="256"/>
      <c r="J26" s="812"/>
      <c r="K26" s="812"/>
      <c r="L26" s="813"/>
      <c r="M26" s="252"/>
      <c r="N26" s="253">
        <f t="shared" si="1"/>
        <v>0</v>
      </c>
      <c r="O26" s="178"/>
      <c r="P26" s="178"/>
      <c r="Q26" s="178"/>
      <c r="R26" s="178"/>
      <c r="S26" s="178"/>
      <c r="T26" s="178"/>
      <c r="U26" s="178"/>
      <c r="V26" s="178"/>
      <c r="W26" s="178"/>
      <c r="X26" s="178"/>
      <c r="Y26" s="178"/>
      <c r="Z26" s="178"/>
      <c r="AA26" s="178"/>
      <c r="AB26" s="178"/>
      <c r="AC26" s="178"/>
      <c r="AD26" s="178"/>
      <c r="AE26" s="178"/>
      <c r="AF26" s="178"/>
      <c r="AG26" s="178"/>
    </row>
    <row r="27" spans="1:33" s="179" customFormat="1" ht="13.5" customHeight="1" thickBot="1" x14ac:dyDescent="0.3">
      <c r="A27" s="1215"/>
      <c r="B27" s="290">
        <f>+I9</f>
        <v>2021</v>
      </c>
      <c r="C27" s="256"/>
      <c r="D27" s="256"/>
      <c r="E27" s="256"/>
      <c r="F27" s="259"/>
      <c r="G27" s="256"/>
      <c r="H27" s="255">
        <f>H$10-H26</f>
        <v>0</v>
      </c>
      <c r="I27" s="989">
        <v>0</v>
      </c>
      <c r="J27" s="812"/>
      <c r="K27" s="812"/>
      <c r="L27" s="813"/>
      <c r="M27" s="252"/>
      <c r="N27" s="253">
        <f t="shared" si="1"/>
        <v>0</v>
      </c>
      <c r="O27" s="178"/>
      <c r="P27" s="178"/>
      <c r="Q27" s="178"/>
      <c r="R27" s="178"/>
      <c r="S27" s="178"/>
      <c r="T27" s="178"/>
      <c r="U27" s="178"/>
      <c r="V27" s="178"/>
      <c r="W27" s="178"/>
      <c r="X27" s="178"/>
      <c r="Y27" s="178"/>
      <c r="Z27" s="178"/>
      <c r="AA27" s="178"/>
      <c r="AB27" s="178"/>
      <c r="AC27" s="178"/>
      <c r="AD27" s="178"/>
      <c r="AE27" s="178"/>
      <c r="AF27" s="178"/>
      <c r="AG27" s="178"/>
    </row>
    <row r="28" spans="1:33" s="179" customFormat="1" ht="13.5" customHeight="1" thickBot="1" x14ac:dyDescent="0.3">
      <c r="A28" s="1215"/>
      <c r="B28" s="825">
        <f>+J9</f>
        <v>2022</v>
      </c>
      <c r="C28" s="812"/>
      <c r="D28" s="812"/>
      <c r="E28" s="812"/>
      <c r="F28" s="815"/>
      <c r="G28" s="812"/>
      <c r="H28" s="812"/>
      <c r="I28" s="565">
        <f>I$10-I27</f>
        <v>0</v>
      </c>
      <c r="J28" s="990">
        <v>0</v>
      </c>
      <c r="K28" s="812"/>
      <c r="L28" s="813"/>
      <c r="M28" s="826"/>
      <c r="N28" s="827">
        <f t="shared" si="1"/>
        <v>0</v>
      </c>
      <c r="O28" s="178"/>
      <c r="P28" s="178"/>
      <c r="Q28" s="178"/>
      <c r="R28" s="178"/>
      <c r="S28" s="178"/>
      <c r="T28" s="178"/>
      <c r="U28" s="178"/>
      <c r="V28" s="178"/>
      <c r="W28" s="178"/>
      <c r="X28" s="178"/>
      <c r="Y28" s="178"/>
      <c r="Z28" s="178"/>
      <c r="AA28" s="178"/>
      <c r="AB28" s="178"/>
      <c r="AC28" s="178"/>
      <c r="AD28" s="178"/>
      <c r="AE28" s="178"/>
      <c r="AF28" s="178"/>
      <c r="AG28" s="178"/>
    </row>
    <row r="29" spans="1:33" s="179" customFormat="1" ht="13.5" customHeight="1" thickBot="1" x14ac:dyDescent="0.3">
      <c r="A29" s="1215"/>
      <c r="B29" s="825">
        <f>+K9</f>
        <v>2023</v>
      </c>
      <c r="C29" s="812"/>
      <c r="D29" s="812"/>
      <c r="E29" s="812"/>
      <c r="F29" s="815"/>
      <c r="G29" s="812"/>
      <c r="H29" s="812"/>
      <c r="I29" s="812"/>
      <c r="J29" s="565">
        <f>J$10-J28</f>
        <v>0</v>
      </c>
      <c r="K29" s="990">
        <v>0</v>
      </c>
      <c r="L29" s="813"/>
      <c r="M29" s="826"/>
      <c r="N29" s="827">
        <f t="shared" si="1"/>
        <v>0</v>
      </c>
      <c r="O29" s="178"/>
      <c r="P29" s="178"/>
      <c r="Q29" s="178"/>
      <c r="R29" s="178"/>
      <c r="S29" s="178"/>
      <c r="T29" s="178"/>
      <c r="U29" s="178"/>
      <c r="V29" s="178"/>
      <c r="W29" s="178"/>
      <c r="X29" s="178"/>
      <c r="Y29" s="178"/>
      <c r="Z29" s="178"/>
      <c r="AA29" s="178"/>
      <c r="AB29" s="178"/>
      <c r="AC29" s="178"/>
      <c r="AD29" s="178"/>
      <c r="AE29" s="178"/>
      <c r="AF29" s="178"/>
      <c r="AG29" s="178"/>
    </row>
    <row r="30" spans="1:33" s="179" customFormat="1" ht="13.5" customHeight="1" thickBot="1" x14ac:dyDescent="0.3">
      <c r="A30" s="1215"/>
      <c r="B30" s="825">
        <f>L9</f>
        <v>2024</v>
      </c>
      <c r="C30" s="812"/>
      <c r="D30" s="812"/>
      <c r="E30" s="812"/>
      <c r="F30" s="812"/>
      <c r="G30" s="812"/>
      <c r="H30" s="815"/>
      <c r="I30" s="815"/>
      <c r="J30" s="815"/>
      <c r="K30" s="565">
        <f>K$10-K29</f>
        <v>0</v>
      </c>
      <c r="L30" s="990">
        <v>0</v>
      </c>
      <c r="M30" s="826"/>
      <c r="N30" s="827">
        <f t="shared" si="1"/>
        <v>0</v>
      </c>
      <c r="O30" s="178"/>
      <c r="P30" s="178"/>
      <c r="Q30" s="178"/>
      <c r="R30" s="178"/>
      <c r="S30" s="178"/>
      <c r="T30" s="178"/>
      <c r="U30" s="178"/>
      <c r="V30" s="178"/>
      <c r="W30" s="178"/>
      <c r="X30" s="178"/>
      <c r="Y30" s="178"/>
      <c r="Z30" s="178"/>
      <c r="AA30" s="178"/>
      <c r="AB30" s="178"/>
      <c r="AC30" s="178"/>
      <c r="AD30" s="178"/>
      <c r="AE30" s="178"/>
      <c r="AF30" s="178"/>
      <c r="AG30" s="178"/>
    </row>
    <row r="31" spans="1:33" s="265" customFormat="1" ht="15.5" x14ac:dyDescent="0.25">
      <c r="A31" s="1216"/>
      <c r="B31" s="331" t="s">
        <v>22</v>
      </c>
      <c r="C31" s="261">
        <f t="shared" ref="C31" si="2">SUM(C21:C30)</f>
        <v>0</v>
      </c>
      <c r="D31" s="261">
        <f t="shared" ref="D31:L31" si="3">SUM(D21:D30)</f>
        <v>0</v>
      </c>
      <c r="E31" s="261">
        <f t="shared" si="3"/>
        <v>0</v>
      </c>
      <c r="F31" s="261">
        <f t="shared" si="3"/>
        <v>0</v>
      </c>
      <c r="G31" s="261">
        <f t="shared" si="3"/>
        <v>0</v>
      </c>
      <c r="H31" s="261">
        <f t="shared" si="3"/>
        <v>0</v>
      </c>
      <c r="I31" s="261">
        <f t="shared" si="3"/>
        <v>0</v>
      </c>
      <c r="J31" s="816">
        <f t="shared" si="3"/>
        <v>0</v>
      </c>
      <c r="K31" s="816">
        <f t="shared" si="3"/>
        <v>0</v>
      </c>
      <c r="L31" s="817">
        <f t="shared" si="3"/>
        <v>0</v>
      </c>
      <c r="M31" s="262"/>
      <c r="N31" s="263">
        <f>SUM(N21:N30)</f>
        <v>0</v>
      </c>
      <c r="O31" s="264"/>
      <c r="P31" s="264"/>
      <c r="Q31" s="264"/>
      <c r="R31" s="264"/>
      <c r="S31" s="264"/>
      <c r="T31" s="264"/>
      <c r="U31" s="264"/>
      <c r="V31" s="264"/>
      <c r="W31" s="264"/>
      <c r="X31" s="264"/>
      <c r="Y31" s="264"/>
      <c r="Z31" s="264"/>
      <c r="AA31" s="264"/>
      <c r="AB31" s="264"/>
      <c r="AC31" s="264"/>
      <c r="AD31" s="264"/>
      <c r="AE31" s="264"/>
      <c r="AF31" s="264"/>
      <c r="AG31" s="264"/>
    </row>
    <row r="32" spans="1:33" s="243" customFormat="1" ht="15.75" customHeight="1" x14ac:dyDescent="0.25">
      <c r="A32" s="266" t="s">
        <v>34</v>
      </c>
      <c r="C32" s="267">
        <f>+C31+C48</f>
        <v>0</v>
      </c>
      <c r="D32" s="267">
        <f t="shared" ref="D32:L32" si="4">+D31+D48</f>
        <v>0</v>
      </c>
      <c r="E32" s="267">
        <f t="shared" si="4"/>
        <v>0</v>
      </c>
      <c r="F32" s="267">
        <f t="shared" si="4"/>
        <v>0</v>
      </c>
      <c r="G32" s="267">
        <f t="shared" si="4"/>
        <v>0</v>
      </c>
      <c r="H32" s="267">
        <f t="shared" si="4"/>
        <v>0</v>
      </c>
      <c r="I32" s="267">
        <f t="shared" si="4"/>
        <v>0</v>
      </c>
      <c r="J32" s="818">
        <f t="shared" si="4"/>
        <v>0</v>
      </c>
      <c r="K32" s="818">
        <f t="shared" si="4"/>
        <v>0</v>
      </c>
      <c r="L32" s="818">
        <f t="shared" si="4"/>
        <v>0</v>
      </c>
      <c r="M32" s="267"/>
      <c r="N32" s="267">
        <f>+N31+N48</f>
        <v>0</v>
      </c>
      <c r="O32" s="267"/>
    </row>
    <row r="33" spans="1:33" s="268" customFormat="1" ht="13" x14ac:dyDescent="0.25">
      <c r="A33" s="243"/>
      <c r="B33" s="243"/>
      <c r="C33" s="267"/>
      <c r="D33" s="267"/>
      <c r="E33" s="267"/>
      <c r="F33" s="267"/>
      <c r="G33" s="267"/>
      <c r="H33" s="267"/>
      <c r="I33" s="267"/>
      <c r="J33" s="267"/>
      <c r="K33" s="267"/>
      <c r="L33" s="267"/>
      <c r="M33" s="243"/>
      <c r="N33" s="243"/>
      <c r="O33" s="243"/>
      <c r="P33" s="243"/>
      <c r="Q33" s="243"/>
      <c r="R33" s="243"/>
      <c r="S33" s="243"/>
      <c r="T33" s="243"/>
      <c r="U33" s="243"/>
      <c r="V33" s="243"/>
      <c r="W33" s="243"/>
      <c r="X33" s="243"/>
      <c r="Y33" s="243"/>
      <c r="Z33" s="243"/>
      <c r="AA33" s="243"/>
      <c r="AB33" s="243"/>
      <c r="AC33" s="243"/>
      <c r="AD33" s="243"/>
      <c r="AE33" s="243"/>
      <c r="AF33" s="243"/>
      <c r="AG33" s="243"/>
    </row>
    <row r="34" spans="1:33" s="268" customFormat="1" ht="13" x14ac:dyDescent="0.25">
      <c r="A34" s="243"/>
      <c r="B34" s="243"/>
      <c r="C34" s="241" t="s">
        <v>32</v>
      </c>
      <c r="D34" s="267"/>
      <c r="E34" s="267"/>
      <c r="F34" s="267"/>
      <c r="G34" s="267"/>
      <c r="H34" s="267"/>
      <c r="I34" s="267"/>
      <c r="J34" s="267"/>
      <c r="K34" s="267"/>
      <c r="L34" s="267"/>
      <c r="M34" s="243"/>
      <c r="N34" s="243"/>
      <c r="O34" s="243"/>
      <c r="P34" s="243"/>
      <c r="Q34" s="243"/>
      <c r="R34" s="243"/>
      <c r="S34" s="243"/>
      <c r="T34" s="243"/>
      <c r="U34" s="243"/>
      <c r="V34" s="243"/>
      <c r="W34" s="243"/>
      <c r="X34" s="243"/>
      <c r="Y34" s="243"/>
      <c r="Z34" s="243"/>
      <c r="AA34" s="243"/>
      <c r="AB34" s="243"/>
      <c r="AC34" s="243"/>
      <c r="AD34" s="243"/>
      <c r="AE34" s="243"/>
      <c r="AF34" s="243"/>
      <c r="AG34" s="243"/>
    </row>
    <row r="35" spans="1:33" s="268" customFormat="1" ht="13" x14ac:dyDescent="0.25">
      <c r="A35" s="243"/>
      <c r="B35" s="243"/>
      <c r="C35" s="241" t="s">
        <v>33</v>
      </c>
      <c r="D35" s="267"/>
      <c r="E35" s="267"/>
      <c r="F35" s="267"/>
      <c r="G35" s="267"/>
      <c r="H35" s="267"/>
      <c r="I35" s="267"/>
      <c r="J35" s="267"/>
      <c r="K35" s="267"/>
      <c r="L35" s="267"/>
      <c r="M35" s="243"/>
      <c r="N35" s="243"/>
      <c r="O35" s="243"/>
      <c r="P35" s="243"/>
      <c r="Q35" s="243"/>
      <c r="R35" s="243"/>
      <c r="S35" s="243"/>
      <c r="T35" s="243"/>
      <c r="U35" s="243"/>
      <c r="V35" s="243"/>
      <c r="W35" s="243"/>
      <c r="X35" s="243"/>
      <c r="Y35" s="243"/>
      <c r="Z35" s="243"/>
      <c r="AA35" s="243"/>
      <c r="AB35" s="243"/>
      <c r="AC35" s="243"/>
      <c r="AD35" s="243"/>
      <c r="AE35" s="243"/>
      <c r="AF35" s="243"/>
      <c r="AG35" s="243"/>
    </row>
    <row r="36" spans="1:33" s="179" customFormat="1" ht="16.5" x14ac:dyDescent="0.25">
      <c r="A36" s="178"/>
      <c r="B36" s="178"/>
      <c r="C36" s="1201" t="s">
        <v>19</v>
      </c>
      <c r="D36" s="1202"/>
      <c r="E36" s="1202"/>
      <c r="F36" s="1202"/>
      <c r="G36" s="1202"/>
      <c r="H36" s="1202"/>
      <c r="I36" s="1202"/>
      <c r="J36" s="1202"/>
      <c r="K36" s="1202"/>
      <c r="L36" s="1203"/>
      <c r="M36" s="178"/>
      <c r="N36" s="245" t="s">
        <v>20</v>
      </c>
      <c r="O36" s="178"/>
      <c r="P36" s="245" t="s">
        <v>20</v>
      </c>
      <c r="Q36" s="178"/>
      <c r="R36" s="178"/>
      <c r="S36" s="178"/>
      <c r="T36" s="178"/>
      <c r="U36" s="178"/>
      <c r="V36" s="178"/>
      <c r="W36" s="178"/>
      <c r="X36" s="178"/>
      <c r="Y36" s="178"/>
      <c r="Z36" s="178"/>
      <c r="AA36" s="178"/>
      <c r="AB36" s="178"/>
      <c r="AC36" s="178"/>
      <c r="AD36" s="178"/>
      <c r="AE36" s="178"/>
      <c r="AF36" s="178"/>
      <c r="AG36" s="178"/>
    </row>
    <row r="37" spans="1:33" s="179" customFormat="1" x14ac:dyDescent="0.25">
      <c r="A37" s="178"/>
      <c r="B37" s="178"/>
      <c r="C37" s="247">
        <f t="shared" ref="C37:L37" si="5">C20</f>
        <v>2015</v>
      </c>
      <c r="D37" s="247">
        <f t="shared" si="5"/>
        <v>2016</v>
      </c>
      <c r="E37" s="247">
        <f t="shared" si="5"/>
        <v>2017</v>
      </c>
      <c r="F37" s="247">
        <f t="shared" si="5"/>
        <v>2018</v>
      </c>
      <c r="G37" s="247">
        <f t="shared" si="5"/>
        <v>2019</v>
      </c>
      <c r="H37" s="247">
        <f t="shared" si="5"/>
        <v>2020</v>
      </c>
      <c r="I37" s="247">
        <f t="shared" si="5"/>
        <v>2021</v>
      </c>
      <c r="J37" s="809">
        <f t="shared" si="5"/>
        <v>2022</v>
      </c>
      <c r="K37" s="809">
        <f t="shared" si="5"/>
        <v>2023</v>
      </c>
      <c r="L37" s="809">
        <f t="shared" si="5"/>
        <v>2024</v>
      </c>
      <c r="M37" s="178"/>
      <c r="N37" s="248" t="s">
        <v>23</v>
      </c>
      <c r="O37" s="178"/>
      <c r="P37" s="248" t="s">
        <v>24</v>
      </c>
      <c r="Q37" s="178"/>
      <c r="R37" s="178"/>
      <c r="S37" s="178"/>
      <c r="T37" s="178"/>
      <c r="U37" s="178"/>
      <c r="V37" s="178"/>
      <c r="W37" s="178"/>
      <c r="X37" s="178"/>
      <c r="Y37" s="178"/>
      <c r="Z37" s="178"/>
      <c r="AA37" s="178"/>
      <c r="AB37" s="178"/>
      <c r="AC37" s="178"/>
      <c r="AD37" s="178"/>
      <c r="AE37" s="178"/>
      <c r="AF37" s="178"/>
      <c r="AG37" s="178"/>
    </row>
    <row r="38" spans="1:33" s="179" customFormat="1" ht="13" x14ac:dyDescent="0.25">
      <c r="A38" s="1207" t="s">
        <v>113</v>
      </c>
      <c r="B38" s="653">
        <f>B21</f>
        <v>2015</v>
      </c>
      <c r="C38" s="270"/>
      <c r="D38" s="270"/>
      <c r="E38" s="270"/>
      <c r="F38" s="270"/>
      <c r="G38" s="270"/>
      <c r="H38" s="270"/>
      <c r="I38" s="270"/>
      <c r="J38" s="819"/>
      <c r="K38" s="819"/>
      <c r="L38" s="820"/>
      <c r="M38" s="252"/>
      <c r="N38" s="253">
        <f t="shared" ref="N38:N47" si="6">SUM(C38:L38)</f>
        <v>0</v>
      </c>
      <c r="O38" s="252"/>
      <c r="P38" s="272">
        <f>SUM(N21,N38)</f>
        <v>0</v>
      </c>
      <c r="Q38" s="178"/>
      <c r="R38" s="178"/>
      <c r="S38" s="178"/>
      <c r="T38" s="178"/>
      <c r="U38" s="178"/>
      <c r="V38" s="178"/>
      <c r="W38" s="178"/>
      <c r="X38" s="178"/>
      <c r="Y38" s="178"/>
      <c r="Z38" s="178"/>
      <c r="AA38" s="178"/>
      <c r="AB38" s="178"/>
      <c r="AC38" s="178"/>
      <c r="AD38" s="178"/>
      <c r="AE38" s="178"/>
      <c r="AF38" s="178"/>
      <c r="AG38" s="178"/>
    </row>
    <row r="39" spans="1:33" s="179" customFormat="1" ht="13" x14ac:dyDescent="0.25">
      <c r="A39" s="1208"/>
      <c r="B39" s="654">
        <f>B22</f>
        <v>2016</v>
      </c>
      <c r="C39" s="270"/>
      <c r="D39" s="270"/>
      <c r="E39" s="270"/>
      <c r="F39" s="270"/>
      <c r="G39" s="270"/>
      <c r="H39" s="270"/>
      <c r="I39" s="270"/>
      <c r="J39" s="819"/>
      <c r="K39" s="819"/>
      <c r="L39" s="821"/>
      <c r="M39" s="252"/>
      <c r="N39" s="253">
        <f t="shared" si="6"/>
        <v>0</v>
      </c>
      <c r="O39" s="252"/>
      <c r="P39" s="272">
        <f>SUM(N22,N39)</f>
        <v>0</v>
      </c>
      <c r="Q39" s="178"/>
      <c r="R39" s="178"/>
      <c r="S39" s="178"/>
      <c r="T39" s="178"/>
      <c r="U39" s="178"/>
      <c r="V39" s="178"/>
      <c r="W39" s="178"/>
      <c r="X39" s="178"/>
      <c r="Y39" s="178"/>
      <c r="Z39" s="178"/>
      <c r="AA39" s="178"/>
      <c r="AB39" s="178"/>
      <c r="AC39" s="178"/>
      <c r="AD39" s="178"/>
      <c r="AE39" s="178"/>
      <c r="AF39" s="178"/>
      <c r="AG39" s="178"/>
    </row>
    <row r="40" spans="1:33" s="179" customFormat="1" ht="13" x14ac:dyDescent="0.25">
      <c r="A40" s="1208" t="s">
        <v>25</v>
      </c>
      <c r="B40" s="654">
        <f>B23</f>
        <v>2017</v>
      </c>
      <c r="C40" s="255">
        <f>+IF($S$4="ex-ante",IF(C$37&lt;=($R$4-2),IF($B40&lt;=($R$4),T4B!G113,0),0),IF($S$4="ex-post",IF(C$37&lt;=($R$4-1),IF($B40&lt;=($R$4+1),T4B!G113,0),0),0))</f>
        <v>0</v>
      </c>
      <c r="D40" s="270"/>
      <c r="E40" s="270"/>
      <c r="F40" s="270"/>
      <c r="G40" s="270"/>
      <c r="H40" s="270"/>
      <c r="I40" s="270"/>
      <c r="J40" s="819"/>
      <c r="K40" s="819"/>
      <c r="L40" s="821"/>
      <c r="M40" s="252"/>
      <c r="N40" s="253">
        <f t="shared" si="6"/>
        <v>0</v>
      </c>
      <c r="O40" s="252"/>
      <c r="P40" s="272">
        <f>SUM(N23,N40)</f>
        <v>0</v>
      </c>
      <c r="Q40" s="178"/>
      <c r="R40" s="178"/>
      <c r="S40" s="178"/>
      <c r="T40" s="178"/>
      <c r="U40" s="178"/>
      <c r="V40" s="178"/>
      <c r="W40" s="178"/>
      <c r="X40" s="178"/>
      <c r="Y40" s="178"/>
      <c r="Z40" s="178"/>
      <c r="AA40" s="178"/>
      <c r="AB40" s="178"/>
      <c r="AC40" s="178"/>
      <c r="AD40" s="178"/>
      <c r="AE40" s="178"/>
      <c r="AF40" s="178"/>
      <c r="AG40" s="178"/>
    </row>
    <row r="41" spans="1:33" s="179" customFormat="1" ht="13" x14ac:dyDescent="0.25">
      <c r="A41" s="1208"/>
      <c r="B41" s="654">
        <f>B24</f>
        <v>2018</v>
      </c>
      <c r="C41" s="255">
        <f>+IF($S$4="ex-ante",IF(C$37&lt;=($R$4-2),IF($B41&lt;=($R$4),T4B!G114,0),0),IF($S$4="ex-post",IF(C$37&lt;=($R$4-1),IF($B41&lt;=($R$4+1),T4B!G114,0),0),0))</f>
        <v>0</v>
      </c>
      <c r="D41" s="255">
        <f>+IF($S$4="ex-ante",IF(D$37&lt;=($R$4-2),IF($B41&lt;=($R$4),T4B!H114,0),0),IF($S$4="ex-post",IF(D$37&lt;=($R$4-1),IF($B41&lt;=($R$4+1),T4B!H114,0),0),0))</f>
        <v>0</v>
      </c>
      <c r="E41" s="270"/>
      <c r="F41" s="270"/>
      <c r="G41" s="270"/>
      <c r="H41" s="270"/>
      <c r="I41" s="270"/>
      <c r="J41" s="819"/>
      <c r="K41" s="819"/>
      <c r="L41" s="821"/>
      <c r="M41" s="252"/>
      <c r="N41" s="253">
        <f t="shared" si="6"/>
        <v>0</v>
      </c>
      <c r="O41" s="252"/>
      <c r="P41" s="272">
        <f>SUM(N24,N41)</f>
        <v>0</v>
      </c>
      <c r="Q41" s="244" t="s">
        <v>27</v>
      </c>
      <c r="R41" s="178"/>
      <c r="S41" s="178"/>
      <c r="T41" s="178"/>
      <c r="U41" s="178"/>
      <c r="V41" s="178"/>
      <c r="W41" s="178"/>
      <c r="X41" s="178"/>
      <c r="Y41" s="178"/>
      <c r="Z41" s="178"/>
      <c r="AA41" s="178"/>
      <c r="AB41" s="178"/>
      <c r="AC41" s="178"/>
      <c r="AD41" s="178"/>
      <c r="AE41" s="178"/>
      <c r="AF41" s="178"/>
      <c r="AG41" s="178"/>
    </row>
    <row r="42" spans="1:33" s="179" customFormat="1" ht="13" x14ac:dyDescent="0.25">
      <c r="A42" s="1208" t="s">
        <v>26</v>
      </c>
      <c r="B42" s="654">
        <f>B25</f>
        <v>2019</v>
      </c>
      <c r="C42" s="255">
        <f>+IF($S$4="ex-ante",IF(C$37&lt;=($R$4-2),IF($B42&lt;=($R$4),T4B!G115,0),0),IF($S$4="ex-post",IF(C$37&lt;=($R$4-1),IF($B42&lt;=($R$4+1),T4B!G115,0),0),0))</f>
        <v>0</v>
      </c>
      <c r="D42" s="255">
        <f>+IF($S$4="ex-ante",IF(D$37&lt;=($R$4-2),IF($B42&lt;=($R$4),T4B!H115,0),0),IF($S$4="ex-post",IF(D$37&lt;=($R$4-1),IF($B42&lt;=($R$4+1),T4B!H115,0),0),0))</f>
        <v>0</v>
      </c>
      <c r="E42" s="255">
        <f>+IF($S$4="ex-ante",IF(E$37&lt;=($R$4-2),IF($B42&lt;=($R$4),T4B!I115,0),0),IF($S$4="ex-post",IF(E$37&lt;=($R$4-1),IF($B42&lt;=($R$4+1),T4B!I115,0),0),0))</f>
        <v>0</v>
      </c>
      <c r="F42" s="270"/>
      <c r="G42" s="270"/>
      <c r="H42" s="270"/>
      <c r="I42" s="270"/>
      <c r="J42" s="819"/>
      <c r="K42" s="819"/>
      <c r="L42" s="821"/>
      <c r="M42" s="252"/>
      <c r="N42" s="253">
        <f t="shared" si="6"/>
        <v>0</v>
      </c>
      <c r="O42" s="252"/>
      <c r="P42" s="272">
        <f>SUM(N25,N42)</f>
        <v>0</v>
      </c>
      <c r="Q42" s="244" t="s">
        <v>28</v>
      </c>
      <c r="R42" s="178"/>
      <c r="S42" s="178"/>
      <c r="T42" s="178"/>
      <c r="U42" s="178"/>
      <c r="V42" s="178"/>
      <c r="W42" s="178"/>
      <c r="X42" s="178"/>
      <c r="Y42" s="178"/>
      <c r="Z42" s="178"/>
      <c r="AA42" s="178"/>
      <c r="AB42" s="178"/>
      <c r="AC42" s="178"/>
      <c r="AD42" s="178"/>
      <c r="AE42" s="178"/>
      <c r="AF42" s="178"/>
      <c r="AG42" s="178"/>
    </row>
    <row r="43" spans="1:33" s="179" customFormat="1" ht="13" x14ac:dyDescent="0.25">
      <c r="A43" s="1208"/>
      <c r="B43" s="654">
        <f t="shared" ref="B43:B46" si="7">B26</f>
        <v>2020</v>
      </c>
      <c r="C43" s="255">
        <f>+IF($S$4="ex-ante",IF(C$37&lt;=($R$4-2),IF($B43&lt;=($R$4),T4B!G116,0),0),IF($S$4="ex-post",IF(C$37&lt;=($R$4-1),IF($B43&lt;=($R$4+1),T4B!G116,0),0),0))</f>
        <v>0</v>
      </c>
      <c r="D43" s="255">
        <f>+IF($S$4="ex-ante",IF(D$37&lt;=($R$4-2),IF($B43&lt;=($R$4),T4B!H116,0),0),IF($S$4="ex-post",IF(D$37&lt;=($R$4-1),IF($B43&lt;=($R$4+1),T4B!H116,0),0),0))</f>
        <v>0</v>
      </c>
      <c r="E43" s="255">
        <f>+IF($S$4="ex-ante",IF(E$37&lt;=($R$4-2),IF($B43&lt;=($R$4),T4B!I116,0),0),IF($S$4="ex-post",IF(E$37&lt;=($R$4-1),IF($B43&lt;=($R$4+1),T4B!I116,0),0),0))</f>
        <v>0</v>
      </c>
      <c r="F43" s="255">
        <f>+IF($S$4="ex-ante",IF(F$37&lt;=($R$4-2),IF($B43&lt;=($R$4),T4B!J116,0),0),IF($S$4="ex-post",IF(F$37&lt;=($R$4-1),IF($B43&lt;=($R$4+1),T4B!J116,0),0),0))</f>
        <v>0</v>
      </c>
      <c r="G43" s="270"/>
      <c r="H43" s="270"/>
      <c r="I43" s="270"/>
      <c r="J43" s="819"/>
      <c r="K43" s="819"/>
      <c r="L43" s="821"/>
      <c r="M43" s="252"/>
      <c r="N43" s="253">
        <f t="shared" si="6"/>
        <v>0</v>
      </c>
      <c r="O43" s="252"/>
      <c r="P43" s="272">
        <f t="shared" ref="P43:P46" si="8">SUM(N26,N43)</f>
        <v>0</v>
      </c>
      <c r="Q43" s="244"/>
      <c r="R43" s="178"/>
      <c r="S43" s="178"/>
      <c r="T43" s="178"/>
      <c r="U43" s="178"/>
      <c r="V43" s="178"/>
      <c r="W43" s="178"/>
      <c r="X43" s="178"/>
      <c r="Y43" s="178"/>
      <c r="Z43" s="178"/>
      <c r="AA43" s="178"/>
      <c r="AB43" s="178"/>
      <c r="AC43" s="178"/>
      <c r="AD43" s="178"/>
      <c r="AE43" s="178"/>
      <c r="AF43" s="178"/>
      <c r="AG43" s="178"/>
    </row>
    <row r="44" spans="1:33" s="179" customFormat="1" ht="13" x14ac:dyDescent="0.25">
      <c r="A44" s="1208"/>
      <c r="B44" s="654">
        <f t="shared" si="7"/>
        <v>2021</v>
      </c>
      <c r="C44" s="255">
        <f>+IF($S$4="ex-ante",IF(C$37&lt;=($R$4-2),IF($B44&lt;=($R$4),T4B!G117,0),0),IF($S$4="ex-post",IF(C$37&lt;=($R$4-1),IF($B44&lt;=($R$4+1),T4B!G117,0),0),0))</f>
        <v>0</v>
      </c>
      <c r="D44" s="255">
        <f>+IF($S$4="ex-ante",IF(D$37&lt;=($R$4-2),IF($B44&lt;=($R$4),T4B!H117,0),0),IF($S$4="ex-post",IF(D$37&lt;=($R$4-1),IF($B44&lt;=($R$4+1),T4B!H117,0),0),0))</f>
        <v>0</v>
      </c>
      <c r="E44" s="255">
        <f>+IF($S$4="ex-ante",IF(E$37&lt;=($R$4-2),IF($B44&lt;=($R$4),T4B!I117,0),0),IF($S$4="ex-post",IF(E$37&lt;=($R$4-1),IF($B44&lt;=($R$4+1),T4B!I117,0),0),0))</f>
        <v>0</v>
      </c>
      <c r="F44" s="255">
        <f>+IF($S$4="ex-ante",IF(F$37&lt;=($R$4-2),IF($B44&lt;=($R$4),T4B!J117,0),0),IF($S$4="ex-post",IF(F$37&lt;=($R$4-1),IF($B44&lt;=($R$4+1),T4B!J117,0),0),0))</f>
        <v>0</v>
      </c>
      <c r="G44" s="255">
        <f>+IF($S$4="ex-ante",IF(G$37&lt;=($R$4-2),IF($B44&lt;=($R$4),T4B!K117,0),0),IF($S$4="ex-post",IF(G$37&lt;=($R$4-1),IF($B44&lt;=($R$4+1),T4B!K117,0),0),0))</f>
        <v>0</v>
      </c>
      <c r="H44" s="270"/>
      <c r="I44" s="270"/>
      <c r="J44" s="819"/>
      <c r="K44" s="819"/>
      <c r="L44" s="821"/>
      <c r="M44" s="252"/>
      <c r="N44" s="253">
        <f t="shared" si="6"/>
        <v>0</v>
      </c>
      <c r="O44" s="252"/>
      <c r="P44" s="272">
        <f t="shared" si="8"/>
        <v>0</v>
      </c>
      <c r="Q44" s="244"/>
      <c r="R44" s="178"/>
      <c r="S44" s="178"/>
      <c r="T44" s="178"/>
      <c r="U44" s="178"/>
      <c r="V44" s="178"/>
      <c r="W44" s="178"/>
      <c r="X44" s="178"/>
      <c r="Y44" s="178"/>
      <c r="Z44" s="178"/>
      <c r="AA44" s="178"/>
      <c r="AB44" s="178"/>
      <c r="AC44" s="178"/>
      <c r="AD44" s="178"/>
      <c r="AE44" s="178"/>
      <c r="AF44" s="178"/>
      <c r="AG44" s="178"/>
    </row>
    <row r="45" spans="1:33" s="179" customFormat="1" ht="13" x14ac:dyDescent="0.25">
      <c r="A45" s="1208"/>
      <c r="B45" s="828">
        <f t="shared" si="7"/>
        <v>2022</v>
      </c>
      <c r="C45" s="565">
        <f>+IF($S$4="ex-ante",IF(C$37&lt;=($R$4-2),IF($B45&lt;=($R$4),T4B!G118,0),0),IF($S$4="ex-post",IF(C$37&lt;=($R$4-1),IF($B45&lt;=($R$4+1),T4B!G118,0),0),0))</f>
        <v>0</v>
      </c>
      <c r="D45" s="565">
        <f>+IF($S$4="ex-ante",IF(D$37&lt;=($R$4-2),IF($B45&lt;=($R$4),T4B!H118,0),0),IF($S$4="ex-post",IF(D$37&lt;=($R$4-1),IF($B45&lt;=($R$4+1),T4B!H118,0),0),0))</f>
        <v>0</v>
      </c>
      <c r="E45" s="565">
        <f>+IF($S$4="ex-ante",IF(E$37&lt;=($R$4-2),IF($B45&lt;=($R$4),T4B!I118,0),0),IF($S$4="ex-post",IF(E$37&lt;=($R$4-1),IF($B45&lt;=($R$4+1),T4B!I118,0),0),0))</f>
        <v>0</v>
      </c>
      <c r="F45" s="565">
        <f>+IF($S$4="ex-ante",IF(F$37&lt;=($R$4-2),IF($B45&lt;=($R$4),T4B!J118,0),0),IF($S$4="ex-post",IF(F$37&lt;=($R$4-1),IF($B45&lt;=($R$4+1),T4B!J118,0),0),0))</f>
        <v>0</v>
      </c>
      <c r="G45" s="565">
        <f>+IF($S$4="ex-ante",IF(G$37&lt;=($R$4-2),IF($B45&lt;=($R$4),T4B!K118,0),0),IF($S$4="ex-post",IF(G$37&lt;=($R$4-1),IF($B45&lt;=($R$4+1),T4B!K118,0),0),0))</f>
        <v>0</v>
      </c>
      <c r="H45" s="565">
        <f>+IF($S$4="ex-ante",IF(H$37&lt;=($R$4-2),IF($B45&lt;=($R$4),T4B!L118,0),0),IF($S$4="ex-post",IF(H$37&lt;=($R$4-1),IF($B45&lt;=($R$4+1),T4B!L118,0),0),0))</f>
        <v>0</v>
      </c>
      <c r="I45" s="819"/>
      <c r="J45" s="819"/>
      <c r="K45" s="819"/>
      <c r="L45" s="821"/>
      <c r="M45" s="826"/>
      <c r="N45" s="827">
        <f t="shared" si="6"/>
        <v>0</v>
      </c>
      <c r="O45" s="252"/>
      <c r="P45" s="272">
        <f t="shared" si="8"/>
        <v>0</v>
      </c>
      <c r="Q45" s="244"/>
      <c r="R45" s="178"/>
      <c r="S45" s="178"/>
      <c r="T45" s="178"/>
      <c r="U45" s="178"/>
      <c r="V45" s="178"/>
      <c r="W45" s="178"/>
      <c r="X45" s="178"/>
      <c r="Y45" s="178"/>
      <c r="Z45" s="178"/>
      <c r="AA45" s="178"/>
      <c r="AB45" s="178"/>
      <c r="AC45" s="178"/>
      <c r="AD45" s="178"/>
      <c r="AE45" s="178"/>
      <c r="AF45" s="178"/>
      <c r="AG45" s="178"/>
    </row>
    <row r="46" spans="1:33" s="179" customFormat="1" ht="13" x14ac:dyDescent="0.25">
      <c r="A46" s="1208"/>
      <c r="B46" s="828">
        <f t="shared" si="7"/>
        <v>2023</v>
      </c>
      <c r="C46" s="819"/>
      <c r="D46" s="819"/>
      <c r="E46" s="819"/>
      <c r="F46" s="819"/>
      <c r="G46" s="819"/>
      <c r="H46" s="565">
        <f>+IF($S$4="ex-ante",IF(H$37&lt;=($R$4-2),IF($B46&lt;=($R$4),T4B!L119,0),0),IF($S$4="ex-post",IF(H$37&lt;=($R$4-1),IF($B46&lt;=($R$4+1),T4B!L119,0),0),0))</f>
        <v>0</v>
      </c>
      <c r="I46" s="565">
        <f>+IF($S$4="ex-ante",IF(I$37&lt;=($R$4-2),IF($B46&lt;=($R$4),T4B!M119,0),0),IF($S$4="ex-post",IF(I$37&lt;=($R$4-1),IF($B46&lt;=($R$4+1),T4B!M119,0),0),0))</f>
        <v>0</v>
      </c>
      <c r="J46" s="819"/>
      <c r="K46" s="819"/>
      <c r="L46" s="821"/>
      <c r="M46" s="826"/>
      <c r="N46" s="827">
        <f t="shared" si="6"/>
        <v>0</v>
      </c>
      <c r="O46" s="252"/>
      <c r="P46" s="272">
        <f t="shared" si="8"/>
        <v>0</v>
      </c>
      <c r="Q46" s="244"/>
      <c r="R46" s="178"/>
      <c r="S46" s="178"/>
      <c r="T46" s="178"/>
      <c r="U46" s="178"/>
      <c r="V46" s="178"/>
      <c r="W46" s="178"/>
      <c r="X46" s="178"/>
      <c r="Y46" s="178"/>
      <c r="Z46" s="178"/>
      <c r="AA46" s="178"/>
      <c r="AB46" s="178"/>
      <c r="AC46" s="178"/>
      <c r="AD46" s="178"/>
      <c r="AE46" s="178"/>
      <c r="AF46" s="178"/>
      <c r="AG46" s="178"/>
    </row>
    <row r="47" spans="1:33" s="179" customFormat="1" ht="13" x14ac:dyDescent="0.25">
      <c r="A47" s="1208"/>
      <c r="B47" s="828">
        <f t="shared" ref="B47" si="9">B30</f>
        <v>2024</v>
      </c>
      <c r="C47" s="819"/>
      <c r="D47" s="819"/>
      <c r="E47" s="819"/>
      <c r="F47" s="819"/>
      <c r="G47" s="819"/>
      <c r="H47" s="819"/>
      <c r="I47" s="565">
        <f>+IF($S$4="ex-ante",IF(I$37&lt;=($R$4-2),IF($B47&lt;=($R$4),T4B!M120,0),0),IF($S$4="ex-post",IF(I$37&lt;=($R$4-1),IF($B47&lt;=($R$4+1),T4B!M120,0),0),0))</f>
        <v>0</v>
      </c>
      <c r="J47" s="565">
        <f>+IF($S$4="ex-ante",IF(J$37&lt;=($R$4-2),IF($B47&lt;=($R$4),T4B!N120,0),0),IF($S$4="ex-post",IF(J$37&lt;=($R$4-1),IF($B47&lt;=($R$4+1),T4B!N120,0),0),0))</f>
        <v>0</v>
      </c>
      <c r="K47" s="819"/>
      <c r="L47" s="821"/>
      <c r="M47" s="826"/>
      <c r="N47" s="827">
        <f t="shared" si="6"/>
        <v>0</v>
      </c>
      <c r="O47" s="252"/>
      <c r="P47" s="272">
        <f t="shared" ref="P47" si="10">SUM(N30,N47)</f>
        <v>0</v>
      </c>
      <c r="Q47" s="244"/>
      <c r="R47" s="178"/>
      <c r="S47" s="178"/>
      <c r="T47" s="178"/>
      <c r="U47" s="178"/>
      <c r="V47" s="178"/>
      <c r="W47" s="178"/>
      <c r="X47" s="178"/>
      <c r="Y47" s="178"/>
      <c r="Z47" s="178"/>
      <c r="AA47" s="178"/>
      <c r="AB47" s="178"/>
      <c r="AC47" s="178"/>
      <c r="AD47" s="178"/>
      <c r="AE47" s="178"/>
      <c r="AF47" s="178"/>
      <c r="AG47" s="178"/>
    </row>
    <row r="48" spans="1:33" s="265" customFormat="1" ht="15.5" x14ac:dyDescent="0.25">
      <c r="A48" s="1209"/>
      <c r="B48" s="655" t="s">
        <v>22</v>
      </c>
      <c r="C48" s="332">
        <f t="shared" ref="C48:L48" si="11">SUM(C38:C47)</f>
        <v>0</v>
      </c>
      <c r="D48" s="332">
        <f t="shared" si="11"/>
        <v>0</v>
      </c>
      <c r="E48" s="332">
        <f t="shared" si="11"/>
        <v>0</v>
      </c>
      <c r="F48" s="332">
        <f>SUM(F38:F47)</f>
        <v>0</v>
      </c>
      <c r="G48" s="332">
        <f t="shared" si="11"/>
        <v>0</v>
      </c>
      <c r="H48" s="332">
        <f t="shared" si="11"/>
        <v>0</v>
      </c>
      <c r="I48" s="332">
        <f t="shared" si="11"/>
        <v>0</v>
      </c>
      <c r="J48" s="822">
        <f t="shared" si="11"/>
        <v>0</v>
      </c>
      <c r="K48" s="822">
        <f t="shared" si="11"/>
        <v>0</v>
      </c>
      <c r="L48" s="822">
        <f t="shared" si="11"/>
        <v>0</v>
      </c>
      <c r="M48" s="252"/>
      <c r="N48" s="263">
        <f>SUM(N38:N47)</f>
        <v>0</v>
      </c>
      <c r="O48" s="262"/>
      <c r="P48" s="263">
        <f>SUM(P38:P47)</f>
        <v>0</v>
      </c>
      <c r="Q48" s="264"/>
      <c r="R48" s="264"/>
      <c r="S48" s="264"/>
      <c r="T48" s="264"/>
      <c r="U48" s="264"/>
      <c r="V48" s="264"/>
      <c r="W48" s="264"/>
      <c r="X48" s="264"/>
      <c r="Y48" s="264"/>
      <c r="Z48" s="264"/>
      <c r="AA48" s="264"/>
      <c r="AB48" s="264"/>
      <c r="AC48" s="264"/>
      <c r="AD48" s="264"/>
      <c r="AE48" s="264"/>
      <c r="AF48" s="264"/>
      <c r="AG48" s="264"/>
    </row>
    <row r="49" spans="1:33" x14ac:dyDescent="0.25">
      <c r="A49" s="656"/>
      <c r="B49" s="656"/>
      <c r="M49" s="252"/>
    </row>
    <row r="51" spans="1:33" ht="13" thickBot="1" x14ac:dyDescent="0.3"/>
    <row r="52" spans="1:33" s="179" customFormat="1" ht="22.5" customHeight="1" thickBot="1" x14ac:dyDescent="0.3">
      <c r="A52" s="1217" t="s">
        <v>175</v>
      </c>
      <c r="B52" s="1218"/>
      <c r="C52" s="1218"/>
      <c r="D52" s="1218"/>
      <c r="E52" s="1218"/>
      <c r="F52" s="1218"/>
      <c r="G52" s="1218"/>
      <c r="H52" s="1218"/>
      <c r="I52" s="1218"/>
      <c r="J52" s="1218"/>
      <c r="K52" s="1218"/>
      <c r="L52" s="1218"/>
      <c r="M52" s="1218"/>
      <c r="N52" s="1219"/>
      <c r="P52" s="178"/>
      <c r="Q52" s="178"/>
      <c r="R52" s="178"/>
      <c r="S52" s="178"/>
      <c r="T52" s="178"/>
      <c r="U52" s="178"/>
      <c r="V52" s="178"/>
      <c r="W52" s="178"/>
      <c r="X52" s="178"/>
      <c r="Y52" s="178"/>
      <c r="Z52" s="178"/>
      <c r="AA52" s="178"/>
      <c r="AB52" s="178"/>
      <c r="AC52" s="178"/>
      <c r="AD52" s="178"/>
      <c r="AE52" s="178"/>
      <c r="AF52" s="178"/>
      <c r="AG52" s="178"/>
    </row>
    <row r="54" spans="1:33" ht="13" x14ac:dyDescent="0.25">
      <c r="C54" s="241" t="s">
        <v>164</v>
      </c>
    </row>
    <row r="55" spans="1:33" ht="13" x14ac:dyDescent="0.25">
      <c r="C55" s="241" t="s">
        <v>29</v>
      </c>
    </row>
    <row r="56" spans="1:33" ht="16.5" x14ac:dyDescent="0.25">
      <c r="C56" s="1201" t="s">
        <v>19</v>
      </c>
      <c r="D56" s="1202"/>
      <c r="E56" s="1202"/>
      <c r="F56" s="1202"/>
      <c r="G56" s="1202"/>
      <c r="H56" s="1202"/>
      <c r="I56" s="1202"/>
      <c r="J56" s="1202"/>
      <c r="K56" s="1202"/>
      <c r="L56" s="1203"/>
    </row>
    <row r="57" spans="1:33" x14ac:dyDescent="0.25">
      <c r="C57" s="247">
        <f t="shared" ref="C57:L57" si="12">C37</f>
        <v>2015</v>
      </c>
      <c r="D57" s="247">
        <f t="shared" si="12"/>
        <v>2016</v>
      </c>
      <c r="E57" s="247">
        <f t="shared" si="12"/>
        <v>2017</v>
      </c>
      <c r="F57" s="247">
        <f t="shared" si="12"/>
        <v>2018</v>
      </c>
      <c r="G57" s="247">
        <f t="shared" si="12"/>
        <v>2019</v>
      </c>
      <c r="H57" s="247">
        <f t="shared" si="12"/>
        <v>2020</v>
      </c>
      <c r="I57" s="247">
        <f t="shared" si="12"/>
        <v>2021</v>
      </c>
      <c r="J57" s="809">
        <f t="shared" si="12"/>
        <v>2022</v>
      </c>
      <c r="K57" s="809">
        <f t="shared" si="12"/>
        <v>2023</v>
      </c>
      <c r="L57" s="809">
        <f t="shared" si="12"/>
        <v>2024</v>
      </c>
      <c r="N57" s="93" t="s">
        <v>20</v>
      </c>
    </row>
    <row r="58" spans="1:33" x14ac:dyDescent="0.25">
      <c r="A58" s="1204" t="s">
        <v>101</v>
      </c>
      <c r="B58" s="276">
        <f>B38</f>
        <v>2015</v>
      </c>
      <c r="C58" s="255">
        <f>+C21</f>
        <v>0</v>
      </c>
      <c r="D58" s="277"/>
      <c r="E58" s="270"/>
      <c r="F58" s="270"/>
      <c r="G58" s="270"/>
      <c r="H58" s="270"/>
      <c r="I58" s="270"/>
      <c r="J58" s="819"/>
      <c r="K58" s="819"/>
      <c r="L58" s="820"/>
      <c r="N58" s="278">
        <f t="shared" ref="N58:N67" si="13">SUM(C58:L58)</f>
        <v>0</v>
      </c>
    </row>
    <row r="59" spans="1:33" x14ac:dyDescent="0.25">
      <c r="A59" s="1205"/>
      <c r="B59" s="247">
        <f>B39</f>
        <v>2016</v>
      </c>
      <c r="C59" s="255">
        <f>+C58+C39+C22</f>
        <v>0</v>
      </c>
      <c r="D59" s="255">
        <f>+D22</f>
        <v>0</v>
      </c>
      <c r="E59" s="279"/>
      <c r="F59" s="279"/>
      <c r="G59" s="279"/>
      <c r="H59" s="279"/>
      <c r="I59" s="279"/>
      <c r="J59" s="823"/>
      <c r="K59" s="823"/>
      <c r="L59" s="824"/>
      <c r="N59" s="278">
        <f t="shared" si="13"/>
        <v>0</v>
      </c>
    </row>
    <row r="60" spans="1:33" x14ac:dyDescent="0.25">
      <c r="A60" s="1205"/>
      <c r="B60" s="247">
        <f>B40</f>
        <v>2017</v>
      </c>
      <c r="C60" s="255">
        <f>+C59+C40+C23</f>
        <v>0</v>
      </c>
      <c r="D60" s="255">
        <f>+D59+D40+D23</f>
        <v>0</v>
      </c>
      <c r="E60" s="255">
        <f>+E23</f>
        <v>0</v>
      </c>
      <c r="F60" s="279"/>
      <c r="G60" s="279"/>
      <c r="H60" s="279"/>
      <c r="I60" s="279"/>
      <c r="J60" s="823"/>
      <c r="K60" s="823"/>
      <c r="L60" s="824"/>
      <c r="N60" s="278">
        <f t="shared" si="13"/>
        <v>0</v>
      </c>
    </row>
    <row r="61" spans="1:33" x14ac:dyDescent="0.25">
      <c r="A61" s="1205"/>
      <c r="B61" s="247">
        <f>B41</f>
        <v>2018</v>
      </c>
      <c r="C61" s="255">
        <f>+C60+C41+C24</f>
        <v>0</v>
      </c>
      <c r="D61" s="255">
        <f>+D60+D41+D24</f>
        <v>0</v>
      </c>
      <c r="E61" s="255">
        <f>+E60+E41+E24</f>
        <v>0</v>
      </c>
      <c r="F61" s="255">
        <f>+F24</f>
        <v>0</v>
      </c>
      <c r="G61" s="279"/>
      <c r="H61" s="279"/>
      <c r="I61" s="279"/>
      <c r="J61" s="823"/>
      <c r="K61" s="823"/>
      <c r="L61" s="824"/>
      <c r="N61" s="278">
        <f t="shared" si="13"/>
        <v>0</v>
      </c>
    </row>
    <row r="62" spans="1:33" x14ac:dyDescent="0.25">
      <c r="A62" s="1205"/>
      <c r="B62" s="247">
        <f>B42</f>
        <v>2019</v>
      </c>
      <c r="C62" s="255">
        <f>+C61+C42+C25</f>
        <v>0</v>
      </c>
      <c r="D62" s="255">
        <f>+D61+D42+D25</f>
        <v>0</v>
      </c>
      <c r="E62" s="255">
        <f>+E61+E42+E25</f>
        <v>0</v>
      </c>
      <c r="F62" s="255">
        <f>+F61+F42+F25</f>
        <v>0</v>
      </c>
      <c r="G62" s="255">
        <f>+G25</f>
        <v>0</v>
      </c>
      <c r="H62" s="279"/>
      <c r="I62" s="279"/>
      <c r="J62" s="823"/>
      <c r="K62" s="823"/>
      <c r="L62" s="824"/>
      <c r="N62" s="278">
        <f t="shared" si="13"/>
        <v>0</v>
      </c>
    </row>
    <row r="63" spans="1:33" x14ac:dyDescent="0.25">
      <c r="A63" s="1205"/>
      <c r="B63" s="276">
        <f t="shared" ref="B63:B66" si="14">B43</f>
        <v>2020</v>
      </c>
      <c r="C63" s="255">
        <f t="shared" ref="C63:G63" si="15">+C62+C43+C26</f>
        <v>0</v>
      </c>
      <c r="D63" s="255">
        <f t="shared" si="15"/>
        <v>0</v>
      </c>
      <c r="E63" s="255">
        <f t="shared" si="15"/>
        <v>0</v>
      </c>
      <c r="F63" s="255">
        <f t="shared" si="15"/>
        <v>0</v>
      </c>
      <c r="G63" s="255">
        <f t="shared" si="15"/>
        <v>0</v>
      </c>
      <c r="H63" s="255">
        <f t="shared" ref="H63:J65" si="16">+H26</f>
        <v>0</v>
      </c>
      <c r="I63" s="279"/>
      <c r="J63" s="823"/>
      <c r="K63" s="823"/>
      <c r="L63" s="824"/>
      <c r="N63" s="278">
        <f t="shared" si="13"/>
        <v>0</v>
      </c>
    </row>
    <row r="64" spans="1:33" x14ac:dyDescent="0.25">
      <c r="A64" s="1205"/>
      <c r="B64" s="276">
        <f t="shared" si="14"/>
        <v>2021</v>
      </c>
      <c r="C64" s="255">
        <f t="shared" ref="C64:H64" si="17">+C63+C44+C27</f>
        <v>0</v>
      </c>
      <c r="D64" s="255">
        <f t="shared" si="17"/>
        <v>0</v>
      </c>
      <c r="E64" s="255">
        <f t="shared" si="17"/>
        <v>0</v>
      </c>
      <c r="F64" s="255">
        <f t="shared" si="17"/>
        <v>0</v>
      </c>
      <c r="G64" s="255">
        <f t="shared" si="17"/>
        <v>0</v>
      </c>
      <c r="H64" s="255">
        <f t="shared" si="17"/>
        <v>0</v>
      </c>
      <c r="I64" s="255">
        <f t="shared" si="16"/>
        <v>0</v>
      </c>
      <c r="J64" s="834"/>
      <c r="K64" s="834"/>
      <c r="L64" s="836"/>
      <c r="N64" s="278">
        <f t="shared" si="13"/>
        <v>0</v>
      </c>
    </row>
    <row r="65" spans="1:14" x14ac:dyDescent="0.25">
      <c r="A65" s="1205"/>
      <c r="B65" s="829">
        <f t="shared" si="14"/>
        <v>2022</v>
      </c>
      <c r="C65" s="835">
        <f t="shared" ref="C65:K67" si="18">+C64+C45+C28</f>
        <v>0</v>
      </c>
      <c r="D65" s="835">
        <f t="shared" si="18"/>
        <v>0</v>
      </c>
      <c r="E65" s="835">
        <f t="shared" si="18"/>
        <v>0</v>
      </c>
      <c r="F65" s="835">
        <f t="shared" si="18"/>
        <v>0</v>
      </c>
      <c r="G65" s="835">
        <f t="shared" si="18"/>
        <v>0</v>
      </c>
      <c r="H65" s="835">
        <f t="shared" si="18"/>
        <v>0</v>
      </c>
      <c r="I65" s="835">
        <f t="shared" si="18"/>
        <v>0</v>
      </c>
      <c r="J65" s="835">
        <f t="shared" si="16"/>
        <v>0</v>
      </c>
      <c r="K65" s="823"/>
      <c r="L65" s="824"/>
      <c r="M65" s="830"/>
      <c r="N65" s="831">
        <f t="shared" si="13"/>
        <v>0</v>
      </c>
    </row>
    <row r="66" spans="1:14" x14ac:dyDescent="0.25">
      <c r="A66" s="1205"/>
      <c r="B66" s="829">
        <f t="shared" si="14"/>
        <v>2023</v>
      </c>
      <c r="C66" s="832"/>
      <c r="D66" s="823"/>
      <c r="E66" s="823"/>
      <c r="F66" s="823"/>
      <c r="G66" s="823"/>
      <c r="H66" s="565">
        <f t="shared" si="18"/>
        <v>0</v>
      </c>
      <c r="I66" s="565">
        <f t="shared" si="18"/>
        <v>0</v>
      </c>
      <c r="J66" s="565">
        <f t="shared" si="18"/>
        <v>0</v>
      </c>
      <c r="K66" s="565">
        <f>+K29</f>
        <v>0</v>
      </c>
      <c r="L66" s="824"/>
      <c r="M66" s="830"/>
      <c r="N66" s="831">
        <f t="shared" si="13"/>
        <v>0</v>
      </c>
    </row>
    <row r="67" spans="1:14" x14ac:dyDescent="0.25">
      <c r="A67" s="1206"/>
      <c r="B67" s="809">
        <f t="shared" ref="B67" si="19">B47</f>
        <v>2024</v>
      </c>
      <c r="C67" s="833"/>
      <c r="D67" s="834"/>
      <c r="E67" s="834"/>
      <c r="F67" s="834"/>
      <c r="G67" s="834"/>
      <c r="H67" s="834"/>
      <c r="I67" s="565">
        <f t="shared" si="18"/>
        <v>0</v>
      </c>
      <c r="J67" s="565">
        <f t="shared" si="18"/>
        <v>0</v>
      </c>
      <c r="K67" s="565">
        <f t="shared" si="18"/>
        <v>0</v>
      </c>
      <c r="L67" s="565">
        <f>+L30</f>
        <v>0</v>
      </c>
      <c r="M67" s="830"/>
      <c r="N67" s="831">
        <f t="shared" si="13"/>
        <v>0</v>
      </c>
    </row>
    <row r="68" spans="1:14" ht="13" x14ac:dyDescent="0.25">
      <c r="C68" s="241"/>
    </row>
    <row r="69" spans="1:14" ht="13" x14ac:dyDescent="0.25">
      <c r="C69" s="241"/>
    </row>
  </sheetData>
  <sheetProtection algorithmName="SHA-512" hashValue="knfjp+I+zli+CGhP/oDcwm12KGQETVt+QhtyNv8/Xvi4X77z2sAg4UQv8mA8teTglJX8G8kGu2dWTnD0puow7g==" saltValue="FxVur+YGGbjjjQECy0gzag==" spinCount="100000" sheet="1" objects="1" scenarios="1"/>
  <customSheetViews>
    <customSheetView guid="{C8C7977F-B6BF-432B-A1A7-559450D521AF}" scale="80">
      <selection activeCell="C25" sqref="C25"/>
      <pageMargins left="0.78740157480314965" right="0.78740157480314965" top="0.98425196850393704" bottom="0.98425196850393704" header="0.51181102362204722" footer="0.51181102362204722"/>
      <pageSetup paperSize="8" scale="70" orientation="landscape" r:id="rId1"/>
      <headerFooter alignWithMargins="0">
        <oddFooter>&amp;CPage &amp;P</oddFooter>
      </headerFooter>
    </customSheetView>
  </customSheetViews>
  <mergeCells count="15">
    <mergeCell ref="A4:N4"/>
    <mergeCell ref="C8:L8"/>
    <mergeCell ref="A15:N15"/>
    <mergeCell ref="O15:P15"/>
    <mergeCell ref="A1:N1"/>
    <mergeCell ref="C6:L6"/>
    <mergeCell ref="C7:L7"/>
    <mergeCell ref="C56:L56"/>
    <mergeCell ref="A58:A67"/>
    <mergeCell ref="C36:L36"/>
    <mergeCell ref="A38:A48"/>
    <mergeCell ref="C19:L19"/>
    <mergeCell ref="A20:B20"/>
    <mergeCell ref="A21:A31"/>
    <mergeCell ref="A52:N52"/>
  </mergeCells>
  <pageMargins left="0.78740157480314965" right="0.78740157480314965" top="0.98425196850393704" bottom="0.98425196850393704" header="0.51181102362204722" footer="0.51181102362204722"/>
  <pageSetup paperSize="8" scale="88" orientation="landscape" r:id="rId2"/>
  <headerFooter alignWithMargins="0">
    <oddFooter>&amp;CPage &amp;P</oddFooter>
  </headerFooter>
  <ignoredErrors>
    <ignoredError sqref="N37 P37" numberStoredAsText="1"/>
    <ignoredError sqref="L48 C48:G48 N38:N42" formulaRange="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codeName="Blad16"/>
  <dimension ref="A1:V739"/>
  <sheetViews>
    <sheetView topLeftCell="A79" zoomScale="80" zoomScaleNormal="80" workbookViewId="0">
      <selection activeCell="G16" sqref="G16"/>
    </sheetView>
  </sheetViews>
  <sheetFormatPr defaultColWidth="9.1796875" defaultRowHeight="12.5" x14ac:dyDescent="0.25"/>
  <cols>
    <col min="1" max="1" width="2.453125" style="167" customWidth="1"/>
    <col min="2" max="2" width="9.1796875" style="167"/>
    <col min="3" max="3" width="19" style="167" customWidth="1"/>
    <col min="4" max="4" width="12.81640625" style="167" customWidth="1"/>
    <col min="5" max="5" width="24.26953125" style="167" customWidth="1"/>
    <col min="6" max="6" width="9.453125" style="167" customWidth="1"/>
    <col min="7" max="16" width="25.7265625" style="167" customWidth="1"/>
    <col min="17" max="17" width="2.1796875" style="209" customWidth="1"/>
    <col min="18" max="18" width="25.7265625" style="167" customWidth="1"/>
    <col min="19" max="16384" width="9.1796875" style="167"/>
  </cols>
  <sheetData>
    <row r="1" spans="1:22" ht="25.5" customHeight="1" thickBot="1" x14ac:dyDescent="0.3">
      <c r="A1" s="1160" t="s">
        <v>238</v>
      </c>
      <c r="B1" s="1161"/>
      <c r="C1" s="1161"/>
      <c r="D1" s="1161"/>
      <c r="E1" s="1161"/>
      <c r="F1" s="1161"/>
      <c r="G1" s="1161"/>
      <c r="H1" s="1161"/>
      <c r="I1" s="1161"/>
      <c r="J1" s="1162"/>
      <c r="K1" s="292"/>
      <c r="L1" s="293"/>
      <c r="M1" s="293"/>
      <c r="N1" s="293"/>
      <c r="O1" s="293"/>
      <c r="P1" s="293"/>
      <c r="Q1" s="293"/>
      <c r="S1" s="294"/>
      <c r="T1" s="294"/>
      <c r="U1" s="294"/>
      <c r="V1" s="294"/>
    </row>
    <row r="2" spans="1:22" ht="13" x14ac:dyDescent="0.25">
      <c r="B2" s="209" t="str">
        <f>+TITELBLAD!B16</f>
        <v>Rapportering over boekjaar:</v>
      </c>
      <c r="C2" s="209"/>
      <c r="D2" s="209">
        <f>+TITELBLAD!E16</f>
        <v>2021</v>
      </c>
      <c r="E2" s="209" t="str">
        <f>+TITELBLAD!F16</f>
        <v>ex-ante</v>
      </c>
      <c r="F2" s="209"/>
      <c r="G2" s="209"/>
      <c r="H2" s="295"/>
      <c r="I2" s="234"/>
      <c r="J2" s="233"/>
      <c r="K2" s="234"/>
      <c r="L2" s="234"/>
      <c r="M2" s="234"/>
      <c r="N2" s="234"/>
      <c r="O2" s="234"/>
      <c r="P2" s="234"/>
      <c r="Q2" s="296"/>
      <c r="R2" s="234"/>
    </row>
    <row r="3" spans="1:22" ht="13.5" thickBot="1" x14ac:dyDescent="0.3">
      <c r="B3" s="297" t="s">
        <v>15</v>
      </c>
      <c r="H3" s="241"/>
      <c r="I3" s="233"/>
      <c r="J3" s="233"/>
      <c r="K3" s="234"/>
      <c r="L3" s="234"/>
      <c r="M3" s="234"/>
      <c r="N3" s="234"/>
      <c r="O3" s="234"/>
      <c r="P3" s="234"/>
      <c r="Q3" s="296"/>
      <c r="R3" s="234"/>
    </row>
    <row r="4" spans="1:22" ht="13.5" thickBot="1" x14ac:dyDescent="0.3">
      <c r="B4" s="1176" t="str">
        <f>+TITELBLAD!C7</f>
        <v>NAAM DNB</v>
      </c>
      <c r="C4" s="1177"/>
      <c r="D4" s="1177"/>
      <c r="E4" s="1178"/>
      <c r="H4" s="241"/>
      <c r="I4" s="233"/>
      <c r="J4" s="233"/>
      <c r="K4" s="234"/>
      <c r="L4" s="234"/>
      <c r="M4" s="234"/>
      <c r="N4" s="234"/>
      <c r="O4" s="234"/>
      <c r="P4" s="234"/>
      <c r="Q4" s="296"/>
      <c r="R4" s="234"/>
    </row>
    <row r="5" spans="1:22" ht="13" x14ac:dyDescent="0.25">
      <c r="H5" s="241"/>
      <c r="I5" s="233"/>
      <c r="J5" s="233"/>
      <c r="K5" s="234"/>
      <c r="L5" s="234"/>
      <c r="M5" s="234"/>
      <c r="N5" s="234"/>
      <c r="O5" s="234"/>
      <c r="P5" s="234"/>
      <c r="Q5" s="296"/>
      <c r="R5" s="234"/>
    </row>
    <row r="6" spans="1:22" ht="13.5" thickBot="1" x14ac:dyDescent="0.3">
      <c r="B6" s="297" t="s">
        <v>16</v>
      </c>
      <c r="H6" s="241"/>
      <c r="I6" s="233"/>
      <c r="J6" s="233"/>
      <c r="K6" s="234"/>
      <c r="L6" s="234"/>
      <c r="M6" s="234"/>
      <c r="N6" s="234"/>
      <c r="O6" s="234"/>
      <c r="P6" s="234"/>
      <c r="Q6" s="296"/>
      <c r="R6" s="234"/>
    </row>
    <row r="7" spans="1:22" ht="13.5" thickBot="1" x14ac:dyDescent="0.3">
      <c r="B7" s="1179" t="str">
        <f>+TITELBLAD!C10</f>
        <v>elektriciteit</v>
      </c>
      <c r="C7" s="1180"/>
      <c r="D7" s="1180"/>
      <c r="E7" s="1181"/>
      <c r="H7" s="241"/>
      <c r="I7" s="233"/>
      <c r="J7" s="233"/>
      <c r="K7" s="234"/>
      <c r="L7" s="234"/>
      <c r="M7" s="234"/>
      <c r="N7" s="234"/>
      <c r="O7" s="234"/>
      <c r="P7" s="234"/>
      <c r="Q7" s="296"/>
      <c r="R7" s="234"/>
    </row>
    <row r="8" spans="1:22" ht="13" x14ac:dyDescent="0.25">
      <c r="H8" s="241"/>
      <c r="I8" s="233"/>
      <c r="J8" s="233"/>
      <c r="K8" s="234"/>
      <c r="L8" s="234"/>
      <c r="M8" s="234"/>
      <c r="N8" s="234"/>
      <c r="O8" s="234"/>
      <c r="P8" s="234"/>
      <c r="Q8" s="296"/>
      <c r="R8" s="234"/>
    </row>
    <row r="9" spans="1:22" x14ac:dyDescent="0.25">
      <c r="K9" s="296"/>
      <c r="L9" s="296"/>
      <c r="M9" s="296"/>
      <c r="N9" s="296"/>
      <c r="O9" s="296"/>
      <c r="P9" s="296"/>
      <c r="Q9" s="296"/>
      <c r="R9" s="296"/>
    </row>
    <row r="10" spans="1:22" x14ac:dyDescent="0.25">
      <c r="K10" s="296"/>
      <c r="L10" s="296"/>
      <c r="M10" s="296"/>
      <c r="N10" s="296"/>
      <c r="O10" s="296"/>
      <c r="P10" s="296"/>
      <c r="Q10" s="296"/>
      <c r="R10" s="296"/>
    </row>
    <row r="11" spans="1:22" x14ac:dyDescent="0.25">
      <c r="G11" s="298" t="s">
        <v>41</v>
      </c>
      <c r="H11" s="299"/>
      <c r="I11" s="300"/>
      <c r="K11" s="296"/>
      <c r="L11" s="296"/>
      <c r="M11" s="296"/>
      <c r="N11" s="296"/>
      <c r="O11" s="296"/>
      <c r="P11" s="296"/>
      <c r="Q11" s="296"/>
      <c r="R11" s="296"/>
    </row>
    <row r="12" spans="1:22" x14ac:dyDescent="0.25">
      <c r="G12" s="244" t="s">
        <v>166</v>
      </c>
      <c r="H12" s="299"/>
      <c r="I12" s="300"/>
    </row>
    <row r="13" spans="1:22" ht="60" customHeight="1" x14ac:dyDescent="0.25">
      <c r="B13" s="1231" t="s">
        <v>239</v>
      </c>
      <c r="C13" s="1232"/>
      <c r="D13" s="1232"/>
      <c r="E13" s="1233"/>
      <c r="F13" s="168"/>
      <c r="G13" s="166">
        <v>2015</v>
      </c>
      <c r="H13" s="166">
        <f>+G13+1</f>
        <v>2016</v>
      </c>
      <c r="I13" s="166">
        <f>+H13+1</f>
        <v>2017</v>
      </c>
      <c r="J13" s="166">
        <f>+I13+1</f>
        <v>2018</v>
      </c>
      <c r="K13" s="166">
        <f>+J13+1</f>
        <v>2019</v>
      </c>
      <c r="L13" s="166">
        <f t="shared" ref="L13:P13" si="0">+K13+1</f>
        <v>2020</v>
      </c>
      <c r="M13" s="166">
        <f t="shared" si="0"/>
        <v>2021</v>
      </c>
      <c r="N13" s="837">
        <f t="shared" si="0"/>
        <v>2022</v>
      </c>
      <c r="O13" s="837">
        <f t="shared" si="0"/>
        <v>2023</v>
      </c>
      <c r="P13" s="837">
        <f t="shared" si="0"/>
        <v>2024</v>
      </c>
      <c r="R13" s="166" t="s">
        <v>20</v>
      </c>
    </row>
    <row r="14" spans="1:22" s="301" customFormat="1" ht="12" customHeight="1" x14ac:dyDescent="0.25">
      <c r="B14" s="302"/>
      <c r="C14" s="302"/>
      <c r="D14" s="302"/>
      <c r="E14" s="302"/>
      <c r="F14" s="303"/>
      <c r="G14" s="304"/>
      <c r="H14" s="228"/>
      <c r="I14" s="228"/>
      <c r="N14" s="838"/>
      <c r="O14" s="838"/>
      <c r="P14" s="838"/>
      <c r="Q14" s="305"/>
    </row>
    <row r="15" spans="1:22" ht="28.5" customHeight="1" x14ac:dyDescent="0.25">
      <c r="B15" s="1261" t="s">
        <v>240</v>
      </c>
      <c r="C15" s="1261"/>
      <c r="D15" s="1261"/>
      <c r="E15" s="1261"/>
      <c r="F15" s="168"/>
      <c r="G15" s="213">
        <v>0</v>
      </c>
      <c r="H15" s="213">
        <v>0</v>
      </c>
      <c r="I15" s="213">
        <v>0</v>
      </c>
      <c r="J15" s="213">
        <v>0</v>
      </c>
      <c r="K15" s="213">
        <v>0</v>
      </c>
      <c r="L15" s="213">
        <v>0</v>
      </c>
      <c r="M15" s="213">
        <v>0</v>
      </c>
      <c r="N15" s="340">
        <v>0</v>
      </c>
      <c r="O15" s="340">
        <v>0</v>
      </c>
      <c r="P15" s="340">
        <v>0</v>
      </c>
      <c r="R15" s="991">
        <f>SUM(G15:P15)</f>
        <v>0</v>
      </c>
    </row>
    <row r="16" spans="1:22" ht="26.25" customHeight="1" x14ac:dyDescent="0.25">
      <c r="B16" s="1261" t="s">
        <v>66</v>
      </c>
      <c r="C16" s="1261"/>
      <c r="D16" s="1261"/>
      <c r="E16" s="1261"/>
      <c r="F16" s="168"/>
      <c r="G16" s="213">
        <v>0</v>
      </c>
      <c r="H16" s="213">
        <v>0</v>
      </c>
      <c r="I16" s="213">
        <v>0</v>
      </c>
      <c r="J16" s="213">
        <v>0</v>
      </c>
      <c r="K16" s="213">
        <v>0</v>
      </c>
      <c r="L16" s="213">
        <v>0</v>
      </c>
      <c r="M16" s="213">
        <v>0</v>
      </c>
      <c r="N16" s="340">
        <v>0</v>
      </c>
      <c r="O16" s="340">
        <v>0</v>
      </c>
      <c r="P16" s="340">
        <v>0</v>
      </c>
      <c r="R16" s="991">
        <f>SUM(G16:P16)</f>
        <v>0</v>
      </c>
    </row>
    <row r="17" spans="2:18" ht="27.75" customHeight="1" x14ac:dyDescent="0.25">
      <c r="B17" s="1261" t="s">
        <v>205</v>
      </c>
      <c r="C17" s="1261"/>
      <c r="D17" s="1261"/>
      <c r="E17" s="1261"/>
      <c r="F17" s="168"/>
      <c r="G17" s="213">
        <v>0</v>
      </c>
      <c r="H17" s="213">
        <v>0</v>
      </c>
      <c r="I17" s="213">
        <v>0</v>
      </c>
      <c r="J17" s="213">
        <v>0</v>
      </c>
      <c r="K17" s="213">
        <v>0</v>
      </c>
      <c r="L17" s="213">
        <v>0</v>
      </c>
      <c r="M17" s="340"/>
      <c r="N17" s="340">
        <v>0</v>
      </c>
      <c r="O17" s="340">
        <v>0</v>
      </c>
      <c r="P17" s="340">
        <v>0</v>
      </c>
      <c r="R17" s="991">
        <f>SUM(G17:L17)</f>
        <v>0</v>
      </c>
    </row>
    <row r="18" spans="2:18" ht="24.75" customHeight="1" x14ac:dyDescent="0.25">
      <c r="B18" s="1261" t="s">
        <v>67</v>
      </c>
      <c r="C18" s="1261"/>
      <c r="D18" s="1261"/>
      <c r="E18" s="1261"/>
      <c r="F18" s="168"/>
      <c r="G18" s="213">
        <v>0</v>
      </c>
      <c r="H18" s="213">
        <v>0</v>
      </c>
      <c r="I18" s="213">
        <v>0</v>
      </c>
      <c r="J18" s="213">
        <v>0</v>
      </c>
      <c r="K18" s="213">
        <v>0</v>
      </c>
      <c r="L18" s="213">
        <v>0</v>
      </c>
      <c r="M18" s="213">
        <v>0</v>
      </c>
      <c r="N18" s="340">
        <v>0</v>
      </c>
      <c r="O18" s="340">
        <v>0</v>
      </c>
      <c r="P18" s="340">
        <v>0</v>
      </c>
      <c r="R18" s="991">
        <f>SUM(G18:P18)</f>
        <v>0</v>
      </c>
    </row>
    <row r="19" spans="2:18" ht="27" customHeight="1" x14ac:dyDescent="0.25">
      <c r="B19" s="1261" t="s">
        <v>119</v>
      </c>
      <c r="C19" s="1261"/>
      <c r="D19" s="1261"/>
      <c r="E19" s="1261"/>
      <c r="F19" s="168"/>
      <c r="G19" s="213">
        <v>0</v>
      </c>
      <c r="H19" s="213">
        <v>0</v>
      </c>
      <c r="I19" s="213">
        <v>0</v>
      </c>
      <c r="J19" s="213">
        <v>0</v>
      </c>
      <c r="K19" s="213">
        <v>0</v>
      </c>
      <c r="L19" s="213">
        <v>0</v>
      </c>
      <c r="M19" s="340"/>
      <c r="N19" s="340"/>
      <c r="O19" s="340"/>
      <c r="P19" s="340"/>
      <c r="R19" s="991">
        <f>+SUM(G19:L19)</f>
        <v>0</v>
      </c>
    </row>
    <row r="20" spans="2:18" ht="18.75" customHeight="1" x14ac:dyDescent="0.25">
      <c r="B20" s="1261" t="s">
        <v>118</v>
      </c>
      <c r="C20" s="1261"/>
      <c r="D20" s="1261"/>
      <c r="E20" s="1261"/>
      <c r="F20" s="168"/>
      <c r="G20" s="213">
        <v>0</v>
      </c>
      <c r="H20" s="213">
        <v>0</v>
      </c>
      <c r="I20" s="213">
        <v>0</v>
      </c>
      <c r="J20" s="213">
        <v>0</v>
      </c>
      <c r="K20" s="213">
        <v>0</v>
      </c>
      <c r="L20" s="213">
        <v>0</v>
      </c>
      <c r="M20" s="213">
        <v>0</v>
      </c>
      <c r="N20" s="340">
        <v>0</v>
      </c>
      <c r="O20" s="340">
        <v>0</v>
      </c>
      <c r="P20" s="340">
        <v>0</v>
      </c>
      <c r="R20" s="991">
        <f>SUM(G20:P20)</f>
        <v>0</v>
      </c>
    </row>
    <row r="21" spans="2:18" ht="28.5" customHeight="1" x14ac:dyDescent="0.25">
      <c r="B21" s="1262" t="s">
        <v>68</v>
      </c>
      <c r="C21" s="1263"/>
      <c r="D21" s="1263"/>
      <c r="E21" s="1264"/>
      <c r="F21" s="168"/>
      <c r="G21" s="213">
        <v>0</v>
      </c>
      <c r="H21" s="213">
        <v>0</v>
      </c>
      <c r="I21" s="213">
        <v>0</v>
      </c>
      <c r="J21" s="213">
        <v>0</v>
      </c>
      <c r="K21" s="213">
        <v>0</v>
      </c>
      <c r="L21" s="213">
        <v>0</v>
      </c>
      <c r="M21" s="213">
        <v>0</v>
      </c>
      <c r="N21" s="340">
        <v>0</v>
      </c>
      <c r="O21" s="340">
        <v>0</v>
      </c>
      <c r="P21" s="340">
        <v>0</v>
      </c>
      <c r="R21" s="991">
        <f>SUM(G21:P21)</f>
        <v>0</v>
      </c>
    </row>
    <row r="22" spans="2:18" ht="13" x14ac:dyDescent="0.25">
      <c r="G22" s="306"/>
      <c r="H22" s="306"/>
      <c r="I22" s="306"/>
      <c r="J22" s="306"/>
      <c r="K22" s="306"/>
      <c r="L22" s="306"/>
      <c r="M22" s="306"/>
      <c r="N22" s="839"/>
      <c r="O22" s="839"/>
      <c r="P22" s="839"/>
      <c r="R22" s="307"/>
    </row>
    <row r="23" spans="2:18" ht="23.25" customHeight="1" x14ac:dyDescent="0.25">
      <c r="B23" s="1251" t="s">
        <v>22</v>
      </c>
      <c r="C23" s="1252"/>
      <c r="D23" s="1252"/>
      <c r="E23" s="1253"/>
      <c r="F23" s="173"/>
      <c r="G23" s="174">
        <f t="shared" ref="G23:P23" si="1">SUM(G15:G21)</f>
        <v>0</v>
      </c>
      <c r="H23" s="174">
        <f t="shared" si="1"/>
        <v>0</v>
      </c>
      <c r="I23" s="174">
        <f t="shared" si="1"/>
        <v>0</v>
      </c>
      <c r="J23" s="174">
        <f t="shared" si="1"/>
        <v>0</v>
      </c>
      <c r="K23" s="174">
        <f t="shared" si="1"/>
        <v>0</v>
      </c>
      <c r="L23" s="174">
        <f t="shared" si="1"/>
        <v>0</v>
      </c>
      <c r="M23" s="174">
        <f t="shared" si="1"/>
        <v>0</v>
      </c>
      <c r="N23" s="840">
        <f t="shared" si="1"/>
        <v>0</v>
      </c>
      <c r="O23" s="840">
        <f t="shared" si="1"/>
        <v>0</v>
      </c>
      <c r="P23" s="840">
        <f t="shared" si="1"/>
        <v>0</v>
      </c>
      <c r="R23" s="174">
        <f>SUM(G23:P23)</f>
        <v>0</v>
      </c>
    </row>
    <row r="24" spans="2:18" ht="13" x14ac:dyDescent="0.25">
      <c r="B24" s="1246" t="s">
        <v>120</v>
      </c>
      <c r="C24" s="1246"/>
      <c r="D24" s="1246"/>
      <c r="E24" s="1246"/>
      <c r="F24" s="226"/>
      <c r="G24" s="308">
        <f>+G23-T4A!C31</f>
        <v>0</v>
      </c>
      <c r="H24" s="308">
        <f>+H23-T4A!D31</f>
        <v>0</v>
      </c>
      <c r="I24" s="308">
        <f>+I23-T4A!E31</f>
        <v>0</v>
      </c>
      <c r="J24" s="308">
        <f>+J23-T4A!F31</f>
        <v>0</v>
      </c>
      <c r="K24" s="309">
        <f>+K23-T4A!G31</f>
        <v>0</v>
      </c>
      <c r="L24" s="309">
        <f>+L23-T4A!H31</f>
        <v>0</v>
      </c>
      <c r="M24" s="309">
        <f>+M23-T4A!I31</f>
        <v>0</v>
      </c>
      <c r="N24" s="841">
        <f>+N23-T4A!J31</f>
        <v>0</v>
      </c>
      <c r="O24" s="841">
        <f>+O23-T4A!K31</f>
        <v>0</v>
      </c>
      <c r="P24" s="841">
        <f>+P23-T4A!L31</f>
        <v>0</v>
      </c>
      <c r="R24" s="309">
        <f>+R23-T4A!N31</f>
        <v>0</v>
      </c>
    </row>
    <row r="25" spans="2:18" ht="13" x14ac:dyDescent="0.25">
      <c r="B25" s="310"/>
      <c r="C25" s="310"/>
      <c r="D25" s="310"/>
      <c r="E25" s="310"/>
      <c r="F25" s="311"/>
      <c r="G25" s="312"/>
      <c r="H25" s="312"/>
      <c r="I25" s="312"/>
      <c r="J25" s="312"/>
      <c r="N25" s="842"/>
      <c r="O25" s="842"/>
      <c r="P25" s="842"/>
    </row>
    <row r="26" spans="2:18" x14ac:dyDescent="0.25">
      <c r="G26" s="313" t="s">
        <v>32</v>
      </c>
      <c r="H26" s="306"/>
      <c r="N26" s="842"/>
      <c r="O26" s="842"/>
      <c r="P26" s="842"/>
    </row>
    <row r="27" spans="2:18" x14ac:dyDescent="0.25">
      <c r="G27" s="313" t="s">
        <v>33</v>
      </c>
      <c r="H27" s="306"/>
      <c r="N27" s="842"/>
      <c r="O27" s="842"/>
      <c r="P27" s="842"/>
    </row>
    <row r="28" spans="2:18" ht="60" customHeight="1" x14ac:dyDescent="0.25">
      <c r="B28" s="1231" t="s">
        <v>242</v>
      </c>
      <c r="C28" s="1232"/>
      <c r="D28" s="1232"/>
      <c r="E28" s="1233"/>
      <c r="F28" s="168"/>
      <c r="G28" s="166">
        <v>2015</v>
      </c>
      <c r="H28" s="166">
        <f>+G28+1</f>
        <v>2016</v>
      </c>
      <c r="I28" s="166">
        <f>+H28+1</f>
        <v>2017</v>
      </c>
      <c r="J28" s="166">
        <f>+I28+1</f>
        <v>2018</v>
      </c>
      <c r="K28" s="166">
        <f>+J28+1</f>
        <v>2019</v>
      </c>
      <c r="L28" s="166">
        <f t="shared" ref="L28:P28" si="2">+K28+1</f>
        <v>2020</v>
      </c>
      <c r="M28" s="166">
        <f t="shared" si="2"/>
        <v>2021</v>
      </c>
      <c r="N28" s="837">
        <f t="shared" si="2"/>
        <v>2022</v>
      </c>
      <c r="O28" s="837">
        <f t="shared" si="2"/>
        <v>2023</v>
      </c>
      <c r="P28" s="837">
        <f t="shared" si="2"/>
        <v>2024</v>
      </c>
      <c r="R28" s="166" t="s">
        <v>20</v>
      </c>
    </row>
    <row r="29" spans="2:18" s="301" customFormat="1" ht="12" customHeight="1" x14ac:dyDescent="0.25">
      <c r="B29" s="302"/>
      <c r="C29" s="302"/>
      <c r="D29" s="302"/>
      <c r="E29" s="302"/>
      <c r="F29" s="303"/>
      <c r="G29" s="304"/>
      <c r="H29" s="228"/>
      <c r="I29" s="228"/>
      <c r="N29" s="838"/>
      <c r="O29" s="838"/>
      <c r="P29" s="838"/>
      <c r="Q29" s="305"/>
    </row>
    <row r="30" spans="2:18" ht="36" customHeight="1" x14ac:dyDescent="0.25">
      <c r="B30" s="1254" t="s">
        <v>240</v>
      </c>
      <c r="C30" s="1255"/>
      <c r="D30" s="1255"/>
      <c r="E30" s="1256"/>
      <c r="F30" s="168"/>
      <c r="G30" s="992"/>
      <c r="H30" s="992"/>
      <c r="I30" s="992"/>
      <c r="J30" s="992"/>
      <c r="K30" s="992"/>
      <c r="L30" s="992"/>
      <c r="M30" s="992"/>
      <c r="N30" s="993"/>
      <c r="O30" s="993"/>
      <c r="P30" s="993"/>
      <c r="R30" s="992"/>
    </row>
    <row r="31" spans="2:18" ht="28.5" customHeight="1" x14ac:dyDescent="0.25">
      <c r="B31" s="1257" t="str">
        <f>"per 31/12/"&amp;$G$13</f>
        <v>per 31/12/2015</v>
      </c>
      <c r="C31" s="1258"/>
      <c r="D31" s="1258"/>
      <c r="E31" s="1259"/>
      <c r="F31" s="168"/>
      <c r="G31" s="255"/>
      <c r="H31" s="255"/>
      <c r="I31" s="255"/>
      <c r="J31" s="255"/>
      <c r="K31" s="255"/>
      <c r="L31" s="255"/>
      <c r="M31" s="255"/>
      <c r="N31" s="565"/>
      <c r="O31" s="565"/>
      <c r="P31" s="565"/>
      <c r="R31" s="991">
        <f t="shared" ref="R31:R40" si="3">SUM(G31:P31)</f>
        <v>0</v>
      </c>
    </row>
    <row r="32" spans="2:18" ht="28.5" customHeight="1" x14ac:dyDescent="0.25">
      <c r="B32" s="1257" t="str">
        <f>"per 31/12/"&amp;$H$13</f>
        <v>per 31/12/2016</v>
      </c>
      <c r="C32" s="1258"/>
      <c r="D32" s="1258"/>
      <c r="E32" s="1259"/>
      <c r="F32" s="168"/>
      <c r="G32" s="255"/>
      <c r="H32" s="255"/>
      <c r="I32" s="255"/>
      <c r="J32" s="255"/>
      <c r="K32" s="255"/>
      <c r="L32" s="255"/>
      <c r="M32" s="255"/>
      <c r="N32" s="565"/>
      <c r="O32" s="565"/>
      <c r="P32" s="565"/>
      <c r="R32" s="991">
        <f t="shared" si="3"/>
        <v>0</v>
      </c>
    </row>
    <row r="33" spans="2:18" ht="28.5" customHeight="1" x14ac:dyDescent="0.25">
      <c r="B33" s="1257" t="str">
        <f>"per 31/12/"&amp;$I$13</f>
        <v>per 31/12/2017</v>
      </c>
      <c r="C33" s="1258"/>
      <c r="D33" s="1258"/>
      <c r="E33" s="1259"/>
      <c r="F33" s="168"/>
      <c r="G33" s="255">
        <f>J238</f>
        <v>0</v>
      </c>
      <c r="H33" s="255"/>
      <c r="I33" s="255"/>
      <c r="J33" s="255"/>
      <c r="K33" s="255"/>
      <c r="L33" s="255"/>
      <c r="M33" s="255"/>
      <c r="N33" s="565"/>
      <c r="O33" s="565"/>
      <c r="P33" s="565"/>
      <c r="R33" s="991">
        <f t="shared" si="3"/>
        <v>0</v>
      </c>
    </row>
    <row r="34" spans="2:18" ht="28.5" customHeight="1" x14ac:dyDescent="0.25">
      <c r="B34" s="1257" t="str">
        <f>"per 31/12/"&amp;$J$13</f>
        <v>per 31/12/2018</v>
      </c>
      <c r="C34" s="1258"/>
      <c r="D34" s="1258"/>
      <c r="E34" s="1259"/>
      <c r="F34" s="168"/>
      <c r="G34" s="255">
        <f>L243</f>
        <v>0</v>
      </c>
      <c r="H34" s="255">
        <f>L244</f>
        <v>0</v>
      </c>
      <c r="I34" s="255"/>
      <c r="J34" s="255"/>
      <c r="K34" s="255"/>
      <c r="L34" s="255"/>
      <c r="M34" s="255"/>
      <c r="N34" s="565"/>
      <c r="O34" s="565"/>
      <c r="P34" s="565"/>
      <c r="R34" s="991">
        <f t="shared" si="3"/>
        <v>0</v>
      </c>
    </row>
    <row r="35" spans="2:18" ht="28.5" customHeight="1" x14ac:dyDescent="0.25">
      <c r="B35" s="1257" t="str">
        <f>"per 31/12/"&amp;$K$13</f>
        <v>per 31/12/2019</v>
      </c>
      <c r="C35" s="1258"/>
      <c r="D35" s="1258"/>
      <c r="E35" s="1259"/>
      <c r="F35" s="168"/>
      <c r="G35" s="255">
        <f>L250</f>
        <v>0</v>
      </c>
      <c r="H35" s="255">
        <f>L251</f>
        <v>0</v>
      </c>
      <c r="I35" s="255">
        <f>L252</f>
        <v>0</v>
      </c>
      <c r="J35" s="255"/>
      <c r="K35" s="255"/>
      <c r="L35" s="255"/>
      <c r="M35" s="255"/>
      <c r="N35" s="565"/>
      <c r="O35" s="565"/>
      <c r="P35" s="565"/>
      <c r="R35" s="991">
        <f t="shared" si="3"/>
        <v>0</v>
      </c>
    </row>
    <row r="36" spans="2:18" ht="28.5" customHeight="1" x14ac:dyDescent="0.25">
      <c r="B36" s="1257" t="str">
        <f>"per 31/12/"&amp;$L$13</f>
        <v>per 31/12/2020</v>
      </c>
      <c r="C36" s="1258"/>
      <c r="D36" s="1258"/>
      <c r="E36" s="1259"/>
      <c r="F36" s="168"/>
      <c r="G36" s="255">
        <f>L258</f>
        <v>0</v>
      </c>
      <c r="H36" s="255">
        <f>L259</f>
        <v>0</v>
      </c>
      <c r="I36" s="255">
        <f>L260</f>
        <v>0</v>
      </c>
      <c r="J36" s="255">
        <f>L261</f>
        <v>0</v>
      </c>
      <c r="K36" s="255"/>
      <c r="L36" s="255"/>
      <c r="M36" s="255"/>
      <c r="N36" s="565"/>
      <c r="O36" s="565"/>
      <c r="P36" s="565"/>
      <c r="R36" s="991">
        <f t="shared" si="3"/>
        <v>0</v>
      </c>
    </row>
    <row r="37" spans="2:18" ht="28.5" customHeight="1" x14ac:dyDescent="0.25">
      <c r="B37" s="1257" t="str">
        <f>"per 31/12/"&amp;$M$13</f>
        <v>per 31/12/2021</v>
      </c>
      <c r="C37" s="1258"/>
      <c r="D37" s="1258"/>
      <c r="E37" s="1259"/>
      <c r="F37" s="168"/>
      <c r="G37" s="255">
        <f>+H267</f>
        <v>0</v>
      </c>
      <c r="H37" s="255">
        <f>H268</f>
        <v>0</v>
      </c>
      <c r="I37" s="255">
        <f>H269</f>
        <v>0</v>
      </c>
      <c r="J37" s="255">
        <f>H270</f>
        <v>0</v>
      </c>
      <c r="K37" s="255">
        <f>H271</f>
        <v>0</v>
      </c>
      <c r="L37" s="255"/>
      <c r="M37" s="255"/>
      <c r="N37" s="565"/>
      <c r="O37" s="565"/>
      <c r="P37" s="565"/>
      <c r="R37" s="991">
        <f t="shared" si="3"/>
        <v>0</v>
      </c>
    </row>
    <row r="38" spans="2:18" ht="28.5" customHeight="1" x14ac:dyDescent="0.25">
      <c r="B38" s="1248" t="str">
        <f>"per 31/12/"&amp;$N$13</f>
        <v>per 31/12/2022</v>
      </c>
      <c r="C38" s="1249"/>
      <c r="D38" s="1249"/>
      <c r="E38" s="1250"/>
      <c r="F38" s="314"/>
      <c r="G38" s="565">
        <f>H277</f>
        <v>0</v>
      </c>
      <c r="H38" s="565">
        <f>H278</f>
        <v>0</v>
      </c>
      <c r="I38" s="565">
        <f>H279</f>
        <v>0</v>
      </c>
      <c r="J38" s="565">
        <f>H280</f>
        <v>0</v>
      </c>
      <c r="K38" s="565">
        <f>H281</f>
        <v>0</v>
      </c>
      <c r="L38" s="565">
        <f>H282</f>
        <v>0</v>
      </c>
      <c r="M38" s="565"/>
      <c r="N38" s="565"/>
      <c r="O38" s="565"/>
      <c r="P38" s="565"/>
      <c r="Q38" s="845"/>
      <c r="R38" s="994">
        <f t="shared" si="3"/>
        <v>0</v>
      </c>
    </row>
    <row r="39" spans="2:18" ht="28.5" customHeight="1" x14ac:dyDescent="0.25">
      <c r="B39" s="1248" t="str">
        <f>"per 31/12/"&amp;$O$13</f>
        <v>per 31/12/2023</v>
      </c>
      <c r="C39" s="1249"/>
      <c r="D39" s="1249"/>
      <c r="E39" s="1250"/>
      <c r="F39" s="314"/>
      <c r="G39" s="565"/>
      <c r="H39" s="565"/>
      <c r="I39" s="565"/>
      <c r="J39" s="565"/>
      <c r="K39" s="565"/>
      <c r="L39" s="565">
        <f>H288</f>
        <v>0</v>
      </c>
      <c r="M39" s="565">
        <f>H289</f>
        <v>0</v>
      </c>
      <c r="N39" s="565"/>
      <c r="O39" s="565"/>
      <c r="P39" s="565"/>
      <c r="Q39" s="845"/>
      <c r="R39" s="994">
        <f t="shared" si="3"/>
        <v>0</v>
      </c>
    </row>
    <row r="40" spans="2:18" ht="28.5" customHeight="1" x14ac:dyDescent="0.25">
      <c r="B40" s="1248" t="str">
        <f>"per 31/12/"&amp;$P$13</f>
        <v>per 31/12/2024</v>
      </c>
      <c r="C40" s="1249"/>
      <c r="D40" s="1249"/>
      <c r="E40" s="1250"/>
      <c r="F40" s="314"/>
      <c r="G40" s="565"/>
      <c r="H40" s="565"/>
      <c r="I40" s="565"/>
      <c r="J40" s="565"/>
      <c r="K40" s="565"/>
      <c r="L40" s="565"/>
      <c r="M40" s="565">
        <f>H295</f>
        <v>0</v>
      </c>
      <c r="N40" s="565">
        <f>H296</f>
        <v>0</v>
      </c>
      <c r="O40" s="565"/>
      <c r="P40" s="565"/>
      <c r="Q40" s="845"/>
      <c r="R40" s="994">
        <f t="shared" si="3"/>
        <v>0</v>
      </c>
    </row>
    <row r="41" spans="2:18" ht="27.75" customHeight="1" x14ac:dyDescent="0.25">
      <c r="B41" s="1254" t="s">
        <v>66</v>
      </c>
      <c r="C41" s="1255"/>
      <c r="D41" s="1255"/>
      <c r="E41" s="1256"/>
      <c r="F41" s="168"/>
      <c r="G41" s="992"/>
      <c r="H41" s="992"/>
      <c r="I41" s="992"/>
      <c r="J41" s="992"/>
      <c r="K41" s="992"/>
      <c r="L41" s="992"/>
      <c r="M41" s="992"/>
      <c r="N41" s="993"/>
      <c r="O41" s="993"/>
      <c r="P41" s="993"/>
      <c r="R41" s="992"/>
    </row>
    <row r="42" spans="2:18" ht="28.5" customHeight="1" x14ac:dyDescent="0.25">
      <c r="B42" s="1257" t="str">
        <f>"per 31/12/"&amp;$G$13</f>
        <v>per 31/12/2015</v>
      </c>
      <c r="C42" s="1258"/>
      <c r="D42" s="1258"/>
      <c r="E42" s="1259"/>
      <c r="F42" s="168"/>
      <c r="G42" s="255"/>
      <c r="H42" s="255"/>
      <c r="I42" s="255"/>
      <c r="J42" s="255"/>
      <c r="K42" s="255"/>
      <c r="L42" s="255"/>
      <c r="M42" s="255"/>
      <c r="N42" s="565"/>
      <c r="O42" s="565"/>
      <c r="P42" s="565"/>
      <c r="R42" s="991">
        <f t="shared" ref="R42:R51" si="4">SUM(G42:P42)</f>
        <v>0</v>
      </c>
    </row>
    <row r="43" spans="2:18" ht="28.5" customHeight="1" x14ac:dyDescent="0.25">
      <c r="B43" s="1257" t="str">
        <f>"per 31/12/"&amp;$H$13</f>
        <v>per 31/12/2016</v>
      </c>
      <c r="C43" s="1258"/>
      <c r="D43" s="1258"/>
      <c r="E43" s="1259"/>
      <c r="F43" s="168"/>
      <c r="G43" s="255"/>
      <c r="H43" s="255"/>
      <c r="I43" s="255"/>
      <c r="J43" s="255"/>
      <c r="K43" s="255"/>
      <c r="L43" s="255"/>
      <c r="M43" s="255"/>
      <c r="N43" s="565"/>
      <c r="O43" s="565"/>
      <c r="P43" s="565"/>
      <c r="R43" s="991">
        <f t="shared" si="4"/>
        <v>0</v>
      </c>
    </row>
    <row r="44" spans="2:18" ht="28.5" customHeight="1" x14ac:dyDescent="0.25">
      <c r="B44" s="1257" t="str">
        <f>"per 31/12/"&amp;$I$13</f>
        <v>per 31/12/2017</v>
      </c>
      <c r="C44" s="1258"/>
      <c r="D44" s="1258"/>
      <c r="E44" s="1259"/>
      <c r="F44" s="168"/>
      <c r="G44" s="255">
        <f>J312</f>
        <v>0</v>
      </c>
      <c r="H44" s="255"/>
      <c r="I44" s="255"/>
      <c r="J44" s="255"/>
      <c r="K44" s="255"/>
      <c r="L44" s="255"/>
      <c r="M44" s="255"/>
      <c r="N44" s="565"/>
      <c r="O44" s="565"/>
      <c r="P44" s="565"/>
      <c r="R44" s="991">
        <f t="shared" si="4"/>
        <v>0</v>
      </c>
    </row>
    <row r="45" spans="2:18" ht="28.5" customHeight="1" x14ac:dyDescent="0.25">
      <c r="B45" s="1257" t="str">
        <f>"per 31/12/"&amp;$J$13</f>
        <v>per 31/12/2018</v>
      </c>
      <c r="C45" s="1258"/>
      <c r="D45" s="1258"/>
      <c r="E45" s="1259"/>
      <c r="F45" s="168"/>
      <c r="G45" s="255">
        <f>L317</f>
        <v>0</v>
      </c>
      <c r="H45" s="255">
        <f>L318</f>
        <v>0</v>
      </c>
      <c r="I45" s="255"/>
      <c r="J45" s="255"/>
      <c r="K45" s="255"/>
      <c r="L45" s="255"/>
      <c r="M45" s="255"/>
      <c r="N45" s="565"/>
      <c r="O45" s="565"/>
      <c r="P45" s="565"/>
      <c r="R45" s="991">
        <f t="shared" si="4"/>
        <v>0</v>
      </c>
    </row>
    <row r="46" spans="2:18" ht="28.5" customHeight="1" x14ac:dyDescent="0.25">
      <c r="B46" s="1257" t="str">
        <f>"per 31/12/"&amp;$K$13</f>
        <v>per 31/12/2019</v>
      </c>
      <c r="C46" s="1258"/>
      <c r="D46" s="1258"/>
      <c r="E46" s="1259"/>
      <c r="F46" s="168"/>
      <c r="G46" s="255">
        <f>L324</f>
        <v>0</v>
      </c>
      <c r="H46" s="255">
        <f>L325</f>
        <v>0</v>
      </c>
      <c r="I46" s="255">
        <f>L326</f>
        <v>0</v>
      </c>
      <c r="J46" s="255"/>
      <c r="K46" s="255"/>
      <c r="L46" s="255"/>
      <c r="M46" s="255"/>
      <c r="N46" s="565"/>
      <c r="O46" s="565"/>
      <c r="P46" s="565"/>
      <c r="R46" s="991">
        <f t="shared" si="4"/>
        <v>0</v>
      </c>
    </row>
    <row r="47" spans="2:18" ht="28.5" customHeight="1" x14ac:dyDescent="0.25">
      <c r="B47" s="1257" t="str">
        <f>"per 31/12/"&amp;$L$13</f>
        <v>per 31/12/2020</v>
      </c>
      <c r="C47" s="1258"/>
      <c r="D47" s="1258"/>
      <c r="E47" s="1259"/>
      <c r="F47" s="168"/>
      <c r="G47" s="255">
        <f>L332</f>
        <v>0</v>
      </c>
      <c r="H47" s="255">
        <f>L333</f>
        <v>0</v>
      </c>
      <c r="I47" s="255">
        <f>L334</f>
        <v>0</v>
      </c>
      <c r="J47" s="255">
        <f>L335</f>
        <v>0</v>
      </c>
      <c r="K47" s="255"/>
      <c r="L47" s="255"/>
      <c r="M47" s="255"/>
      <c r="N47" s="565"/>
      <c r="O47" s="565"/>
      <c r="P47" s="565"/>
      <c r="R47" s="991">
        <f t="shared" si="4"/>
        <v>0</v>
      </c>
    </row>
    <row r="48" spans="2:18" ht="28.5" customHeight="1" x14ac:dyDescent="0.25">
      <c r="B48" s="1257" t="str">
        <f>"per 31/12/"&amp;$M$13</f>
        <v>per 31/12/2021</v>
      </c>
      <c r="C48" s="1258"/>
      <c r="D48" s="1258"/>
      <c r="E48" s="1259"/>
      <c r="F48" s="168"/>
      <c r="G48" s="255">
        <f>H341</f>
        <v>0</v>
      </c>
      <c r="H48" s="255">
        <f>H342</f>
        <v>0</v>
      </c>
      <c r="I48" s="255">
        <f>H343</f>
        <v>0</v>
      </c>
      <c r="J48" s="255">
        <f>H344</f>
        <v>0</v>
      </c>
      <c r="K48" s="255">
        <f>H345</f>
        <v>0</v>
      </c>
      <c r="L48" s="255"/>
      <c r="M48" s="255"/>
      <c r="N48" s="565"/>
      <c r="O48" s="565"/>
      <c r="P48" s="565"/>
      <c r="R48" s="991">
        <f t="shared" si="4"/>
        <v>0</v>
      </c>
    </row>
    <row r="49" spans="2:18" ht="28.5" customHeight="1" x14ac:dyDescent="0.25">
      <c r="B49" s="1248" t="str">
        <f>"per 31/12/"&amp;$N$13</f>
        <v>per 31/12/2022</v>
      </c>
      <c r="C49" s="1249"/>
      <c r="D49" s="1249"/>
      <c r="E49" s="1250"/>
      <c r="F49" s="314"/>
      <c r="G49" s="565">
        <f>H351</f>
        <v>0</v>
      </c>
      <c r="H49" s="565">
        <f>H352</f>
        <v>0</v>
      </c>
      <c r="I49" s="565">
        <f>H353</f>
        <v>0</v>
      </c>
      <c r="J49" s="565">
        <f>H354</f>
        <v>0</v>
      </c>
      <c r="K49" s="565">
        <f>H355</f>
        <v>0</v>
      </c>
      <c r="L49" s="565">
        <f>H356</f>
        <v>0</v>
      </c>
      <c r="M49" s="565"/>
      <c r="N49" s="565"/>
      <c r="O49" s="565"/>
      <c r="P49" s="565"/>
      <c r="Q49" s="845"/>
      <c r="R49" s="994">
        <f t="shared" si="4"/>
        <v>0</v>
      </c>
    </row>
    <row r="50" spans="2:18" ht="28.5" customHeight="1" x14ac:dyDescent="0.25">
      <c r="B50" s="1248" t="str">
        <f>"per 31/12/"&amp;$O$13</f>
        <v>per 31/12/2023</v>
      </c>
      <c r="C50" s="1249"/>
      <c r="D50" s="1249"/>
      <c r="E50" s="1250"/>
      <c r="F50" s="314"/>
      <c r="G50" s="565"/>
      <c r="H50" s="565"/>
      <c r="I50" s="565"/>
      <c r="J50" s="565"/>
      <c r="K50" s="565"/>
      <c r="L50" s="565">
        <f>H362</f>
        <v>0</v>
      </c>
      <c r="M50" s="565">
        <f>H363</f>
        <v>0</v>
      </c>
      <c r="N50" s="565"/>
      <c r="O50" s="565"/>
      <c r="P50" s="565"/>
      <c r="Q50" s="845"/>
      <c r="R50" s="994">
        <f t="shared" si="4"/>
        <v>0</v>
      </c>
    </row>
    <row r="51" spans="2:18" ht="28.5" customHeight="1" x14ac:dyDescent="0.25">
      <c r="B51" s="1248" t="str">
        <f>"per 31/12/"&amp;$P$13</f>
        <v>per 31/12/2024</v>
      </c>
      <c r="C51" s="1249"/>
      <c r="D51" s="1249"/>
      <c r="E51" s="1250"/>
      <c r="F51" s="314"/>
      <c r="G51" s="565"/>
      <c r="H51" s="565"/>
      <c r="I51" s="565"/>
      <c r="J51" s="565"/>
      <c r="K51" s="565"/>
      <c r="L51" s="565"/>
      <c r="M51" s="565">
        <f>H369</f>
        <v>0</v>
      </c>
      <c r="N51" s="565">
        <f>H370</f>
        <v>0</v>
      </c>
      <c r="O51" s="565"/>
      <c r="P51" s="565"/>
      <c r="Q51" s="845"/>
      <c r="R51" s="994">
        <f t="shared" si="4"/>
        <v>0</v>
      </c>
    </row>
    <row r="52" spans="2:18" ht="30" customHeight="1" x14ac:dyDescent="0.25">
      <c r="B52" s="1254" t="s">
        <v>205</v>
      </c>
      <c r="C52" s="1255"/>
      <c r="D52" s="1255"/>
      <c r="E52" s="1256"/>
      <c r="F52" s="168"/>
      <c r="G52" s="992"/>
      <c r="H52" s="992"/>
      <c r="I52" s="992"/>
      <c r="J52" s="992"/>
      <c r="K52" s="992"/>
      <c r="L52" s="992"/>
      <c r="M52" s="992"/>
      <c r="N52" s="993"/>
      <c r="O52" s="993"/>
      <c r="P52" s="993"/>
      <c r="R52" s="992"/>
    </row>
    <row r="53" spans="2:18" ht="28.5" customHeight="1" x14ac:dyDescent="0.25">
      <c r="B53" s="1257" t="str">
        <f>"per 31/12/"&amp;$G$13</f>
        <v>per 31/12/2015</v>
      </c>
      <c r="C53" s="1258"/>
      <c r="D53" s="1258"/>
      <c r="E53" s="1259"/>
      <c r="F53" s="168"/>
      <c r="G53" s="255"/>
      <c r="H53" s="255"/>
      <c r="I53" s="255"/>
      <c r="J53" s="255"/>
      <c r="K53" s="255"/>
      <c r="L53" s="255"/>
      <c r="M53" s="255"/>
      <c r="N53" s="565"/>
      <c r="O53" s="565"/>
      <c r="P53" s="565"/>
      <c r="R53" s="991">
        <f t="shared" ref="R53:R61" si="5">SUM(G53:P53)</f>
        <v>0</v>
      </c>
    </row>
    <row r="54" spans="2:18" ht="28.5" customHeight="1" x14ac:dyDescent="0.25">
      <c r="B54" s="1257" t="str">
        <f>"per 31/12/"&amp;$H$13</f>
        <v>per 31/12/2016</v>
      </c>
      <c r="C54" s="1258"/>
      <c r="D54" s="1258"/>
      <c r="E54" s="1259"/>
      <c r="F54" s="168"/>
      <c r="G54" s="255"/>
      <c r="H54" s="255"/>
      <c r="I54" s="255"/>
      <c r="J54" s="255"/>
      <c r="K54" s="255"/>
      <c r="L54" s="255"/>
      <c r="M54" s="255"/>
      <c r="N54" s="565"/>
      <c r="O54" s="565"/>
      <c r="P54" s="565"/>
      <c r="R54" s="991">
        <f t="shared" si="5"/>
        <v>0</v>
      </c>
    </row>
    <row r="55" spans="2:18" ht="28.5" customHeight="1" x14ac:dyDescent="0.25">
      <c r="B55" s="1257" t="str">
        <f>"per 31/12/"&amp;$I$13</f>
        <v>per 31/12/2017</v>
      </c>
      <c r="C55" s="1258"/>
      <c r="D55" s="1258"/>
      <c r="E55" s="1259"/>
      <c r="F55" s="168"/>
      <c r="G55" s="255">
        <f>J387</f>
        <v>0</v>
      </c>
      <c r="H55" s="255"/>
      <c r="I55" s="255"/>
      <c r="J55" s="255"/>
      <c r="K55" s="255"/>
      <c r="L55" s="255"/>
      <c r="M55" s="255"/>
      <c r="N55" s="565"/>
      <c r="O55" s="565"/>
      <c r="P55" s="565"/>
      <c r="R55" s="991">
        <f t="shared" si="5"/>
        <v>0</v>
      </c>
    </row>
    <row r="56" spans="2:18" ht="28.5" customHeight="1" x14ac:dyDescent="0.25">
      <c r="B56" s="1257" t="str">
        <f>"per 31/12/"&amp;$J$13</f>
        <v>per 31/12/2018</v>
      </c>
      <c r="C56" s="1258"/>
      <c r="D56" s="1258"/>
      <c r="E56" s="1259"/>
      <c r="F56" s="168"/>
      <c r="G56" s="255">
        <f>L392</f>
        <v>0</v>
      </c>
      <c r="H56" s="255">
        <f>L393</f>
        <v>0</v>
      </c>
      <c r="I56" s="255"/>
      <c r="J56" s="255"/>
      <c r="K56" s="255"/>
      <c r="L56" s="255"/>
      <c r="M56" s="255"/>
      <c r="N56" s="565"/>
      <c r="O56" s="565"/>
      <c r="P56" s="565"/>
      <c r="R56" s="991">
        <f t="shared" si="5"/>
        <v>0</v>
      </c>
    </row>
    <row r="57" spans="2:18" ht="28.5" customHeight="1" x14ac:dyDescent="0.25">
      <c r="B57" s="1257" t="str">
        <f>"per 31/12/"&amp;$K$13</f>
        <v>per 31/12/2019</v>
      </c>
      <c r="C57" s="1258"/>
      <c r="D57" s="1258"/>
      <c r="E57" s="1259"/>
      <c r="F57" s="168"/>
      <c r="G57" s="255">
        <f>L399</f>
        <v>0</v>
      </c>
      <c r="H57" s="255">
        <f>L400</f>
        <v>0</v>
      </c>
      <c r="I57" s="255">
        <f>L401</f>
        <v>0</v>
      </c>
      <c r="J57" s="255"/>
      <c r="K57" s="255"/>
      <c r="L57" s="255"/>
      <c r="M57" s="255"/>
      <c r="N57" s="565"/>
      <c r="O57" s="565"/>
      <c r="P57" s="565"/>
      <c r="R57" s="991">
        <f t="shared" si="5"/>
        <v>0</v>
      </c>
    </row>
    <row r="58" spans="2:18" ht="28.5" customHeight="1" x14ac:dyDescent="0.25">
      <c r="B58" s="1257" t="str">
        <f>"per 31/12/"&amp;$L$13</f>
        <v>per 31/12/2020</v>
      </c>
      <c r="C58" s="1258"/>
      <c r="D58" s="1258"/>
      <c r="E58" s="1259"/>
      <c r="F58" s="168"/>
      <c r="G58" s="255">
        <f>L407</f>
        <v>0</v>
      </c>
      <c r="H58" s="255">
        <f>L408</f>
        <v>0</v>
      </c>
      <c r="I58" s="255">
        <f>L409</f>
        <v>0</v>
      </c>
      <c r="J58" s="255">
        <f>L410</f>
        <v>0</v>
      </c>
      <c r="K58" s="255"/>
      <c r="L58" s="255"/>
      <c r="M58" s="255"/>
      <c r="N58" s="565"/>
      <c r="O58" s="565"/>
      <c r="P58" s="565"/>
      <c r="R58" s="991">
        <f t="shared" si="5"/>
        <v>0</v>
      </c>
    </row>
    <row r="59" spans="2:18" ht="28.5" customHeight="1" x14ac:dyDescent="0.25">
      <c r="B59" s="1257" t="str">
        <f>"per 31/12/"&amp;$M$13</f>
        <v>per 31/12/2021</v>
      </c>
      <c r="C59" s="1258"/>
      <c r="D59" s="1258"/>
      <c r="E59" s="1259"/>
      <c r="F59" s="168"/>
      <c r="G59" s="255">
        <f>H416</f>
        <v>0</v>
      </c>
      <c r="H59" s="255">
        <f>H417</f>
        <v>0</v>
      </c>
      <c r="I59" s="255">
        <f>H418</f>
        <v>0</v>
      </c>
      <c r="J59" s="255">
        <f>H419</f>
        <v>0</v>
      </c>
      <c r="K59" s="255">
        <f>H420</f>
        <v>0</v>
      </c>
      <c r="L59" s="255"/>
      <c r="M59" s="255"/>
      <c r="N59" s="565"/>
      <c r="O59" s="565"/>
      <c r="P59" s="565"/>
      <c r="R59" s="991">
        <f t="shared" si="5"/>
        <v>0</v>
      </c>
    </row>
    <row r="60" spans="2:18" ht="28.5" customHeight="1" x14ac:dyDescent="0.25">
      <c r="B60" s="1248" t="str">
        <f>"per 31/12/"&amp;$N$13</f>
        <v>per 31/12/2022</v>
      </c>
      <c r="C60" s="1249"/>
      <c r="D60" s="1249"/>
      <c r="E60" s="1250"/>
      <c r="F60" s="314"/>
      <c r="G60" s="565">
        <f>H426</f>
        <v>0</v>
      </c>
      <c r="H60" s="565">
        <f>H427</f>
        <v>0</v>
      </c>
      <c r="I60" s="565">
        <f>H428</f>
        <v>0</v>
      </c>
      <c r="J60" s="565">
        <f>H429</f>
        <v>0</v>
      </c>
      <c r="K60" s="565">
        <f>H430</f>
        <v>0</v>
      </c>
      <c r="L60" s="565">
        <f>H431</f>
        <v>0</v>
      </c>
      <c r="M60" s="565"/>
      <c r="N60" s="565"/>
      <c r="O60" s="565"/>
      <c r="P60" s="565"/>
      <c r="Q60" s="845"/>
      <c r="R60" s="994">
        <f t="shared" si="5"/>
        <v>0</v>
      </c>
    </row>
    <row r="61" spans="2:18" ht="28.5" customHeight="1" x14ac:dyDescent="0.25">
      <c r="B61" s="1248" t="str">
        <f>"per 31/12/"&amp;$O$13</f>
        <v>per 31/12/2023</v>
      </c>
      <c r="C61" s="1249"/>
      <c r="D61" s="1249"/>
      <c r="E61" s="1250"/>
      <c r="F61" s="314"/>
      <c r="G61" s="565"/>
      <c r="H61" s="565"/>
      <c r="I61" s="565"/>
      <c r="J61" s="565"/>
      <c r="K61" s="565"/>
      <c r="L61" s="565">
        <f>H437</f>
        <v>0</v>
      </c>
      <c r="M61" s="565"/>
      <c r="N61" s="565"/>
      <c r="O61" s="565"/>
      <c r="P61" s="565"/>
      <c r="Q61" s="845"/>
      <c r="R61" s="994">
        <f t="shared" si="5"/>
        <v>0</v>
      </c>
    </row>
    <row r="62" spans="2:18" ht="28.5" customHeight="1" x14ac:dyDescent="0.25">
      <c r="B62" s="1248" t="str">
        <f>"per 31/12/"&amp;$P$13</f>
        <v>per 31/12/2024</v>
      </c>
      <c r="C62" s="1249"/>
      <c r="D62" s="1249"/>
      <c r="E62" s="1250"/>
      <c r="F62" s="314"/>
      <c r="G62" s="565"/>
      <c r="H62" s="565"/>
      <c r="I62" s="565"/>
      <c r="J62" s="565"/>
      <c r="K62" s="565"/>
      <c r="L62" s="565"/>
      <c r="M62" s="565"/>
      <c r="N62" s="565"/>
      <c r="O62" s="565"/>
      <c r="P62" s="565"/>
      <c r="Q62" s="845"/>
      <c r="R62" s="994"/>
    </row>
    <row r="63" spans="2:18" ht="30" customHeight="1" x14ac:dyDescent="0.25">
      <c r="B63" s="1254" t="s">
        <v>67</v>
      </c>
      <c r="C63" s="1255"/>
      <c r="D63" s="1255"/>
      <c r="E63" s="1256"/>
      <c r="F63" s="168"/>
      <c r="G63" s="992"/>
      <c r="H63" s="992"/>
      <c r="I63" s="992"/>
      <c r="J63" s="992"/>
      <c r="K63" s="992"/>
      <c r="L63" s="992"/>
      <c r="M63" s="992"/>
      <c r="N63" s="993"/>
      <c r="O63" s="993"/>
      <c r="P63" s="993"/>
      <c r="R63" s="992"/>
    </row>
    <row r="64" spans="2:18" ht="28.5" customHeight="1" x14ac:dyDescent="0.25">
      <c r="B64" s="1257" t="str">
        <f>"per 31/12/"&amp;$G$13</f>
        <v>per 31/12/2015</v>
      </c>
      <c r="C64" s="1258"/>
      <c r="D64" s="1258"/>
      <c r="E64" s="1259"/>
      <c r="F64" s="168"/>
      <c r="G64" s="255"/>
      <c r="H64" s="255"/>
      <c r="I64" s="255"/>
      <c r="J64" s="255"/>
      <c r="K64" s="255"/>
      <c r="L64" s="255"/>
      <c r="M64" s="255"/>
      <c r="N64" s="565"/>
      <c r="O64" s="565"/>
      <c r="P64" s="565"/>
      <c r="R64" s="991">
        <f t="shared" ref="R64:R73" si="6">SUM(G64:P64)</f>
        <v>0</v>
      </c>
    </row>
    <row r="65" spans="2:18" ht="28.5" customHeight="1" x14ac:dyDescent="0.25">
      <c r="B65" s="1257" t="str">
        <f>"per 31/12/"&amp;$H$13</f>
        <v>per 31/12/2016</v>
      </c>
      <c r="C65" s="1258"/>
      <c r="D65" s="1258"/>
      <c r="E65" s="1259"/>
      <c r="F65" s="168"/>
      <c r="G65" s="255"/>
      <c r="H65" s="255"/>
      <c r="I65" s="255"/>
      <c r="J65" s="255"/>
      <c r="K65" s="255"/>
      <c r="L65" s="255"/>
      <c r="M65" s="255"/>
      <c r="N65" s="565"/>
      <c r="O65" s="565"/>
      <c r="P65" s="565"/>
      <c r="R65" s="991">
        <f t="shared" si="6"/>
        <v>0</v>
      </c>
    </row>
    <row r="66" spans="2:18" ht="28.5" customHeight="1" x14ac:dyDescent="0.25">
      <c r="B66" s="1257" t="str">
        <f>"per 31/12/"&amp;$I$13</f>
        <v>per 31/12/2017</v>
      </c>
      <c r="C66" s="1258"/>
      <c r="D66" s="1258"/>
      <c r="E66" s="1259"/>
      <c r="F66" s="168"/>
      <c r="G66" s="255">
        <f>J454</f>
        <v>0</v>
      </c>
      <c r="H66" s="255"/>
      <c r="I66" s="255"/>
      <c r="J66" s="255"/>
      <c r="K66" s="255"/>
      <c r="L66" s="255"/>
      <c r="M66" s="255"/>
      <c r="N66" s="565"/>
      <c r="O66" s="565"/>
      <c r="P66" s="565"/>
      <c r="R66" s="991">
        <f t="shared" si="6"/>
        <v>0</v>
      </c>
    </row>
    <row r="67" spans="2:18" ht="28.5" customHeight="1" x14ac:dyDescent="0.25">
      <c r="B67" s="1257" t="str">
        <f>"per 31/12/"&amp;$J$13</f>
        <v>per 31/12/2018</v>
      </c>
      <c r="C67" s="1258"/>
      <c r="D67" s="1258"/>
      <c r="E67" s="1259"/>
      <c r="F67" s="168"/>
      <c r="G67" s="255">
        <f>L459</f>
        <v>0</v>
      </c>
      <c r="H67" s="255">
        <f>L460</f>
        <v>0</v>
      </c>
      <c r="I67" s="255"/>
      <c r="J67" s="255"/>
      <c r="K67" s="255"/>
      <c r="L67" s="255"/>
      <c r="M67" s="255"/>
      <c r="N67" s="565"/>
      <c r="O67" s="565"/>
      <c r="P67" s="565"/>
      <c r="R67" s="991">
        <f t="shared" si="6"/>
        <v>0</v>
      </c>
    </row>
    <row r="68" spans="2:18" ht="28.5" customHeight="1" x14ac:dyDescent="0.25">
      <c r="B68" s="1257" t="str">
        <f>"per 31/12/"&amp;$K$13</f>
        <v>per 31/12/2019</v>
      </c>
      <c r="C68" s="1258"/>
      <c r="D68" s="1258"/>
      <c r="E68" s="1259"/>
      <c r="F68" s="168"/>
      <c r="G68" s="255">
        <f>L466</f>
        <v>0</v>
      </c>
      <c r="H68" s="255">
        <f>L467</f>
        <v>0</v>
      </c>
      <c r="I68" s="255">
        <f>L468</f>
        <v>0</v>
      </c>
      <c r="J68" s="255"/>
      <c r="K68" s="255"/>
      <c r="L68" s="255"/>
      <c r="M68" s="255"/>
      <c r="N68" s="565"/>
      <c r="O68" s="565"/>
      <c r="P68" s="565"/>
      <c r="R68" s="991">
        <f t="shared" si="6"/>
        <v>0</v>
      </c>
    </row>
    <row r="69" spans="2:18" ht="28.5" customHeight="1" x14ac:dyDescent="0.25">
      <c r="B69" s="1257" t="str">
        <f>"per 31/12/"&amp;$L$13</f>
        <v>per 31/12/2020</v>
      </c>
      <c r="C69" s="1258"/>
      <c r="D69" s="1258"/>
      <c r="E69" s="1259"/>
      <c r="F69" s="168"/>
      <c r="G69" s="255">
        <f>L474</f>
        <v>0</v>
      </c>
      <c r="H69" s="255">
        <f>L475</f>
        <v>0</v>
      </c>
      <c r="I69" s="255">
        <f>L476</f>
        <v>0</v>
      </c>
      <c r="J69" s="255">
        <f>L477</f>
        <v>0</v>
      </c>
      <c r="K69" s="255"/>
      <c r="L69" s="255"/>
      <c r="M69" s="255"/>
      <c r="N69" s="565"/>
      <c r="O69" s="565"/>
      <c r="P69" s="565"/>
      <c r="R69" s="991">
        <f t="shared" si="6"/>
        <v>0</v>
      </c>
    </row>
    <row r="70" spans="2:18" ht="28.5" customHeight="1" x14ac:dyDescent="0.25">
      <c r="B70" s="1257" t="str">
        <f>"per 31/12/"&amp;$M$13</f>
        <v>per 31/12/2021</v>
      </c>
      <c r="C70" s="1258"/>
      <c r="D70" s="1258"/>
      <c r="E70" s="1259"/>
      <c r="F70" s="168"/>
      <c r="G70" s="255">
        <f>H483</f>
        <v>0</v>
      </c>
      <c r="H70" s="255">
        <f>H484</f>
        <v>0</v>
      </c>
      <c r="I70" s="255">
        <f>H485</f>
        <v>0</v>
      </c>
      <c r="J70" s="255">
        <f>H486</f>
        <v>0</v>
      </c>
      <c r="K70" s="255">
        <f>H487</f>
        <v>0</v>
      </c>
      <c r="L70" s="255"/>
      <c r="M70" s="255"/>
      <c r="N70" s="565"/>
      <c r="O70" s="565"/>
      <c r="P70" s="565"/>
      <c r="R70" s="991">
        <f t="shared" si="6"/>
        <v>0</v>
      </c>
    </row>
    <row r="71" spans="2:18" ht="28.5" customHeight="1" x14ac:dyDescent="0.25">
      <c r="B71" s="1248" t="str">
        <f>"per 31/12/"&amp;$N$13</f>
        <v>per 31/12/2022</v>
      </c>
      <c r="C71" s="1249"/>
      <c r="D71" s="1249"/>
      <c r="E71" s="1250"/>
      <c r="F71" s="314"/>
      <c r="G71" s="565">
        <f>H493</f>
        <v>0</v>
      </c>
      <c r="H71" s="565">
        <f>H494</f>
        <v>0</v>
      </c>
      <c r="I71" s="565">
        <f>H495</f>
        <v>0</v>
      </c>
      <c r="J71" s="565">
        <f>H496</f>
        <v>0</v>
      </c>
      <c r="K71" s="565">
        <f>H497</f>
        <v>0</v>
      </c>
      <c r="L71" s="565">
        <f>H498</f>
        <v>0</v>
      </c>
      <c r="M71" s="565"/>
      <c r="N71" s="565"/>
      <c r="O71" s="565"/>
      <c r="P71" s="565"/>
      <c r="Q71" s="845"/>
      <c r="R71" s="994">
        <f t="shared" si="6"/>
        <v>0</v>
      </c>
    </row>
    <row r="72" spans="2:18" ht="28.5" customHeight="1" x14ac:dyDescent="0.25">
      <c r="B72" s="1248" t="str">
        <f>"per 31/12/"&amp;$O$13</f>
        <v>per 31/12/2023</v>
      </c>
      <c r="C72" s="1249"/>
      <c r="D72" s="1249"/>
      <c r="E72" s="1250"/>
      <c r="F72" s="314"/>
      <c r="G72" s="565"/>
      <c r="H72" s="565"/>
      <c r="I72" s="565"/>
      <c r="J72" s="565"/>
      <c r="K72" s="565"/>
      <c r="L72" s="565">
        <f>H504</f>
        <v>0</v>
      </c>
      <c r="M72" s="565">
        <f>H505</f>
        <v>0</v>
      </c>
      <c r="N72" s="565"/>
      <c r="O72" s="565"/>
      <c r="P72" s="565"/>
      <c r="Q72" s="845"/>
      <c r="R72" s="994">
        <f t="shared" si="6"/>
        <v>0</v>
      </c>
    </row>
    <row r="73" spans="2:18" ht="28.5" customHeight="1" x14ac:dyDescent="0.25">
      <c r="B73" s="1248" t="str">
        <f>"per 31/12/"&amp;$P$13</f>
        <v>per 31/12/2024</v>
      </c>
      <c r="C73" s="1249"/>
      <c r="D73" s="1249"/>
      <c r="E73" s="1250"/>
      <c r="F73" s="314"/>
      <c r="G73" s="565"/>
      <c r="H73" s="565"/>
      <c r="I73" s="565"/>
      <c r="J73" s="565"/>
      <c r="K73" s="565"/>
      <c r="L73" s="565"/>
      <c r="M73" s="565">
        <f>H511</f>
        <v>0</v>
      </c>
      <c r="N73" s="565">
        <f>H512</f>
        <v>0</v>
      </c>
      <c r="O73" s="565"/>
      <c r="P73" s="565"/>
      <c r="Q73" s="845"/>
      <c r="R73" s="994">
        <f t="shared" si="6"/>
        <v>0</v>
      </c>
    </row>
    <row r="74" spans="2:18" ht="33.75" customHeight="1" x14ac:dyDescent="0.25">
      <c r="B74" s="1260" t="s">
        <v>119</v>
      </c>
      <c r="C74" s="1260"/>
      <c r="D74" s="1260"/>
      <c r="E74" s="1260"/>
      <c r="F74" s="168"/>
      <c r="G74" s="992"/>
      <c r="H74" s="992"/>
      <c r="I74" s="992"/>
      <c r="J74" s="992"/>
      <c r="K74" s="992"/>
      <c r="L74" s="992"/>
      <c r="M74" s="992"/>
      <c r="N74" s="993"/>
      <c r="O74" s="993"/>
      <c r="P74" s="993"/>
      <c r="R74" s="992"/>
    </row>
    <row r="75" spans="2:18" ht="28.5" customHeight="1" x14ac:dyDescent="0.25">
      <c r="B75" s="1257" t="str">
        <f>"per 31/12/"&amp;$G$13</f>
        <v>per 31/12/2015</v>
      </c>
      <c r="C75" s="1258"/>
      <c r="D75" s="1258"/>
      <c r="E75" s="1259"/>
      <c r="F75" s="168"/>
      <c r="G75" s="255"/>
      <c r="H75" s="255"/>
      <c r="I75" s="255"/>
      <c r="J75" s="255"/>
      <c r="K75" s="255"/>
      <c r="L75" s="255"/>
      <c r="M75" s="255"/>
      <c r="N75" s="565"/>
      <c r="O75" s="565"/>
      <c r="P75" s="565"/>
      <c r="R75" s="991">
        <f t="shared" ref="R75:R83" si="7">SUM(G75:P75)</f>
        <v>0</v>
      </c>
    </row>
    <row r="76" spans="2:18" ht="28.5" customHeight="1" x14ac:dyDescent="0.25">
      <c r="B76" s="1257" t="str">
        <f>"per 31/12/"&amp;$H$13</f>
        <v>per 31/12/2016</v>
      </c>
      <c r="C76" s="1258"/>
      <c r="D76" s="1258"/>
      <c r="E76" s="1259"/>
      <c r="F76" s="168"/>
      <c r="G76" s="255"/>
      <c r="H76" s="255"/>
      <c r="I76" s="255"/>
      <c r="J76" s="255"/>
      <c r="K76" s="255"/>
      <c r="L76" s="255"/>
      <c r="M76" s="255"/>
      <c r="N76" s="565"/>
      <c r="O76" s="565"/>
      <c r="P76" s="565"/>
      <c r="R76" s="991">
        <f t="shared" si="7"/>
        <v>0</v>
      </c>
    </row>
    <row r="77" spans="2:18" ht="28.5" customHeight="1" x14ac:dyDescent="0.25">
      <c r="B77" s="1257" t="str">
        <f>"per 31/12/"&amp;$I$13</f>
        <v>per 31/12/2017</v>
      </c>
      <c r="C77" s="1258"/>
      <c r="D77" s="1258"/>
      <c r="E77" s="1259"/>
      <c r="F77" s="168"/>
      <c r="G77" s="255">
        <f>J529</f>
        <v>0</v>
      </c>
      <c r="H77" s="255"/>
      <c r="I77" s="255"/>
      <c r="J77" s="255"/>
      <c r="K77" s="255"/>
      <c r="L77" s="255"/>
      <c r="M77" s="255"/>
      <c r="N77" s="565"/>
      <c r="O77" s="565"/>
      <c r="P77" s="565"/>
      <c r="R77" s="991">
        <f t="shared" si="7"/>
        <v>0</v>
      </c>
    </row>
    <row r="78" spans="2:18" ht="28.5" customHeight="1" x14ac:dyDescent="0.25">
      <c r="B78" s="1257" t="str">
        <f>"per 31/12/"&amp;$J$13</f>
        <v>per 31/12/2018</v>
      </c>
      <c r="C78" s="1258"/>
      <c r="D78" s="1258"/>
      <c r="E78" s="1259"/>
      <c r="F78" s="168"/>
      <c r="G78" s="255">
        <f>L534</f>
        <v>0</v>
      </c>
      <c r="H78" s="255">
        <f>L535</f>
        <v>0</v>
      </c>
      <c r="I78" s="255"/>
      <c r="J78" s="255"/>
      <c r="K78" s="255"/>
      <c r="L78" s="255"/>
      <c r="M78" s="255"/>
      <c r="N78" s="565"/>
      <c r="O78" s="565"/>
      <c r="P78" s="565"/>
      <c r="R78" s="991">
        <f t="shared" si="7"/>
        <v>0</v>
      </c>
    </row>
    <row r="79" spans="2:18" ht="28.5" customHeight="1" x14ac:dyDescent="0.25">
      <c r="B79" s="1257" t="str">
        <f>"per 31/12/"&amp;$K$13</f>
        <v>per 31/12/2019</v>
      </c>
      <c r="C79" s="1258"/>
      <c r="D79" s="1258"/>
      <c r="E79" s="1259"/>
      <c r="F79" s="168"/>
      <c r="G79" s="255">
        <f>L541</f>
        <v>0</v>
      </c>
      <c r="H79" s="255">
        <f>L542</f>
        <v>0</v>
      </c>
      <c r="I79" s="255">
        <f>L543</f>
        <v>0</v>
      </c>
      <c r="J79" s="255"/>
      <c r="K79" s="255"/>
      <c r="L79" s="255"/>
      <c r="M79" s="255"/>
      <c r="N79" s="565"/>
      <c r="O79" s="565"/>
      <c r="P79" s="565"/>
      <c r="R79" s="991">
        <f t="shared" si="7"/>
        <v>0</v>
      </c>
    </row>
    <row r="80" spans="2:18" ht="28.5" customHeight="1" x14ac:dyDescent="0.25">
      <c r="B80" s="1257" t="str">
        <f>"per 31/12/"&amp;$L$13</f>
        <v>per 31/12/2020</v>
      </c>
      <c r="C80" s="1258"/>
      <c r="D80" s="1258"/>
      <c r="E80" s="1259"/>
      <c r="F80" s="168"/>
      <c r="G80" s="255">
        <f>L549</f>
        <v>0</v>
      </c>
      <c r="H80" s="255">
        <f>L550</f>
        <v>0</v>
      </c>
      <c r="I80" s="255">
        <f>L551</f>
        <v>0</v>
      </c>
      <c r="J80" s="255">
        <f>L552</f>
        <v>0</v>
      </c>
      <c r="K80" s="255"/>
      <c r="L80" s="255"/>
      <c r="M80" s="255"/>
      <c r="N80" s="565"/>
      <c r="O80" s="565"/>
      <c r="P80" s="565"/>
      <c r="R80" s="991">
        <f t="shared" si="7"/>
        <v>0</v>
      </c>
    </row>
    <row r="81" spans="2:18" ht="28.5" customHeight="1" x14ac:dyDescent="0.25">
      <c r="B81" s="1257" t="str">
        <f>"per 31/12/"&amp;$M$13</f>
        <v>per 31/12/2021</v>
      </c>
      <c r="C81" s="1258"/>
      <c r="D81" s="1258"/>
      <c r="E81" s="1259"/>
      <c r="F81" s="168"/>
      <c r="G81" s="255">
        <f>H558</f>
        <v>0</v>
      </c>
      <c r="H81" s="255">
        <f>H559</f>
        <v>0</v>
      </c>
      <c r="I81" s="255">
        <f>H560</f>
        <v>0</v>
      </c>
      <c r="J81" s="255">
        <f>H561</f>
        <v>0</v>
      </c>
      <c r="K81" s="255">
        <f>H562</f>
        <v>0</v>
      </c>
      <c r="L81" s="255"/>
      <c r="M81" s="255"/>
      <c r="N81" s="565"/>
      <c r="O81" s="565"/>
      <c r="P81" s="565"/>
      <c r="R81" s="991">
        <f t="shared" si="7"/>
        <v>0</v>
      </c>
    </row>
    <row r="82" spans="2:18" ht="28.5" customHeight="1" x14ac:dyDescent="0.25">
      <c r="B82" s="1248" t="str">
        <f>"per 31/12/"&amp;$N$13</f>
        <v>per 31/12/2022</v>
      </c>
      <c r="C82" s="1249"/>
      <c r="D82" s="1249"/>
      <c r="E82" s="1250"/>
      <c r="F82" s="314"/>
      <c r="G82" s="565">
        <f>H568</f>
        <v>0</v>
      </c>
      <c r="H82" s="565">
        <f>H569</f>
        <v>0</v>
      </c>
      <c r="I82" s="565">
        <f>H570</f>
        <v>0</v>
      </c>
      <c r="J82" s="565">
        <f>H571</f>
        <v>0</v>
      </c>
      <c r="K82" s="565">
        <f>H572</f>
        <v>0</v>
      </c>
      <c r="L82" s="565">
        <f>H573</f>
        <v>0</v>
      </c>
      <c r="M82" s="565"/>
      <c r="N82" s="565"/>
      <c r="O82" s="565"/>
      <c r="P82" s="565"/>
      <c r="Q82" s="845"/>
      <c r="R82" s="994">
        <f t="shared" si="7"/>
        <v>0</v>
      </c>
    </row>
    <row r="83" spans="2:18" ht="28.5" customHeight="1" x14ac:dyDescent="0.25">
      <c r="B83" s="1248" t="str">
        <f>"per 31/12/"&amp;$O$13</f>
        <v>per 31/12/2023</v>
      </c>
      <c r="C83" s="1249"/>
      <c r="D83" s="1249"/>
      <c r="E83" s="1250"/>
      <c r="F83" s="314"/>
      <c r="G83" s="565"/>
      <c r="H83" s="565"/>
      <c r="I83" s="565"/>
      <c r="J83" s="565"/>
      <c r="K83" s="565"/>
      <c r="L83" s="565">
        <f>H579</f>
        <v>0</v>
      </c>
      <c r="M83" s="565"/>
      <c r="N83" s="565"/>
      <c r="O83" s="565"/>
      <c r="P83" s="565"/>
      <c r="Q83" s="845"/>
      <c r="R83" s="994">
        <f t="shared" si="7"/>
        <v>0</v>
      </c>
    </row>
    <row r="84" spans="2:18" ht="28.5" customHeight="1" x14ac:dyDescent="0.25">
      <c r="B84" s="1248" t="str">
        <f>"per 31/12/"&amp;$P$13</f>
        <v>per 31/12/2024</v>
      </c>
      <c r="C84" s="1249"/>
      <c r="D84" s="1249"/>
      <c r="E84" s="1250"/>
      <c r="F84" s="314"/>
      <c r="G84" s="565"/>
      <c r="H84" s="565"/>
      <c r="I84" s="565"/>
      <c r="J84" s="565"/>
      <c r="K84" s="565"/>
      <c r="L84" s="565"/>
      <c r="M84" s="565"/>
      <c r="N84" s="565"/>
      <c r="O84" s="565"/>
      <c r="P84" s="565"/>
      <c r="Q84" s="845"/>
      <c r="R84" s="994"/>
    </row>
    <row r="85" spans="2:18" ht="26.25" customHeight="1" x14ac:dyDescent="0.25">
      <c r="B85" s="1254" t="s">
        <v>118</v>
      </c>
      <c r="C85" s="1255"/>
      <c r="D85" s="1255"/>
      <c r="E85" s="1256"/>
      <c r="F85" s="168"/>
      <c r="G85" s="992"/>
      <c r="H85" s="992"/>
      <c r="I85" s="992"/>
      <c r="J85" s="992"/>
      <c r="K85" s="992"/>
      <c r="L85" s="992"/>
      <c r="M85" s="992"/>
      <c r="N85" s="993"/>
      <c r="O85" s="993"/>
      <c r="P85" s="993"/>
      <c r="R85" s="992"/>
    </row>
    <row r="86" spans="2:18" ht="28.5" customHeight="1" x14ac:dyDescent="0.25">
      <c r="B86" s="1257" t="str">
        <f>"per 31/12/"&amp;$G$13</f>
        <v>per 31/12/2015</v>
      </c>
      <c r="C86" s="1258"/>
      <c r="D86" s="1258"/>
      <c r="E86" s="1259"/>
      <c r="F86" s="168"/>
      <c r="G86" s="255"/>
      <c r="H86" s="255"/>
      <c r="I86" s="255"/>
      <c r="J86" s="255"/>
      <c r="K86" s="255"/>
      <c r="L86" s="255"/>
      <c r="M86" s="255"/>
      <c r="N86" s="565"/>
      <c r="O86" s="565"/>
      <c r="P86" s="565"/>
      <c r="R86" s="991">
        <f t="shared" ref="R86:R95" si="8">SUM(G86:P86)</f>
        <v>0</v>
      </c>
    </row>
    <row r="87" spans="2:18" ht="28.5" customHeight="1" x14ac:dyDescent="0.25">
      <c r="B87" s="1257" t="str">
        <f>"per 31/12/"&amp;$H$13</f>
        <v>per 31/12/2016</v>
      </c>
      <c r="C87" s="1258"/>
      <c r="D87" s="1258"/>
      <c r="E87" s="1259"/>
      <c r="F87" s="168"/>
      <c r="G87" s="255"/>
      <c r="H87" s="255"/>
      <c r="I87" s="255"/>
      <c r="J87" s="255"/>
      <c r="K87" s="255"/>
      <c r="L87" s="255"/>
      <c r="M87" s="255"/>
      <c r="N87" s="565"/>
      <c r="O87" s="565"/>
      <c r="P87" s="565"/>
      <c r="R87" s="991">
        <f t="shared" si="8"/>
        <v>0</v>
      </c>
    </row>
    <row r="88" spans="2:18" ht="28.5" customHeight="1" x14ac:dyDescent="0.25">
      <c r="B88" s="1257" t="str">
        <f>"per 31/12/"&amp;$I$13</f>
        <v>per 31/12/2017</v>
      </c>
      <c r="C88" s="1258"/>
      <c r="D88" s="1258"/>
      <c r="E88" s="1259"/>
      <c r="F88" s="168"/>
      <c r="G88" s="255">
        <f>J595</f>
        <v>0</v>
      </c>
      <c r="H88" s="255"/>
      <c r="I88" s="255"/>
      <c r="J88" s="255"/>
      <c r="K88" s="255"/>
      <c r="L88" s="255"/>
      <c r="M88" s="255"/>
      <c r="N88" s="565"/>
      <c r="O88" s="565"/>
      <c r="P88" s="565"/>
      <c r="R88" s="991">
        <f t="shared" si="8"/>
        <v>0</v>
      </c>
    </row>
    <row r="89" spans="2:18" ht="28.5" customHeight="1" x14ac:dyDescent="0.25">
      <c r="B89" s="1257" t="str">
        <f>"per 31/12/"&amp;$J$13</f>
        <v>per 31/12/2018</v>
      </c>
      <c r="C89" s="1258"/>
      <c r="D89" s="1258"/>
      <c r="E89" s="1259"/>
      <c r="F89" s="168"/>
      <c r="G89" s="255">
        <f>L600</f>
        <v>0</v>
      </c>
      <c r="H89" s="255">
        <f>L601</f>
        <v>0</v>
      </c>
      <c r="I89" s="255"/>
      <c r="J89" s="255"/>
      <c r="K89" s="255"/>
      <c r="L89" s="255"/>
      <c r="M89" s="255"/>
      <c r="N89" s="565"/>
      <c r="O89" s="565"/>
      <c r="P89" s="565"/>
      <c r="R89" s="991">
        <f t="shared" si="8"/>
        <v>0</v>
      </c>
    </row>
    <row r="90" spans="2:18" ht="28.5" customHeight="1" x14ac:dyDescent="0.25">
      <c r="B90" s="1257" t="str">
        <f>"per 31/12/"&amp;$K$13</f>
        <v>per 31/12/2019</v>
      </c>
      <c r="C90" s="1258"/>
      <c r="D90" s="1258"/>
      <c r="E90" s="1259"/>
      <c r="F90" s="168"/>
      <c r="G90" s="255">
        <f>L607</f>
        <v>0</v>
      </c>
      <c r="H90" s="255">
        <f>L608</f>
        <v>0</v>
      </c>
      <c r="I90" s="255">
        <f>L609</f>
        <v>0</v>
      </c>
      <c r="J90" s="255"/>
      <c r="K90" s="255"/>
      <c r="L90" s="255"/>
      <c r="M90" s="255"/>
      <c r="N90" s="565"/>
      <c r="O90" s="565"/>
      <c r="P90" s="565"/>
      <c r="R90" s="991">
        <f t="shared" si="8"/>
        <v>0</v>
      </c>
    </row>
    <row r="91" spans="2:18" ht="28.5" customHeight="1" x14ac:dyDescent="0.25">
      <c r="B91" s="1257" t="str">
        <f>"per 31/12/"&amp;$L$13</f>
        <v>per 31/12/2020</v>
      </c>
      <c r="C91" s="1258"/>
      <c r="D91" s="1258"/>
      <c r="E91" s="1259"/>
      <c r="F91" s="168"/>
      <c r="G91" s="255">
        <f>L615</f>
        <v>0</v>
      </c>
      <c r="H91" s="255">
        <f>L616</f>
        <v>0</v>
      </c>
      <c r="I91" s="255">
        <f>L617</f>
        <v>0</v>
      </c>
      <c r="J91" s="255">
        <f>L618</f>
        <v>0</v>
      </c>
      <c r="K91" s="255"/>
      <c r="L91" s="255"/>
      <c r="M91" s="255"/>
      <c r="N91" s="565"/>
      <c r="O91" s="565"/>
      <c r="P91" s="565"/>
      <c r="R91" s="991">
        <f t="shared" si="8"/>
        <v>0</v>
      </c>
    </row>
    <row r="92" spans="2:18" ht="28.5" customHeight="1" x14ac:dyDescent="0.25">
      <c r="B92" s="1257" t="str">
        <f>"per 31/12/"&amp;$M$13</f>
        <v>per 31/12/2021</v>
      </c>
      <c r="C92" s="1258"/>
      <c r="D92" s="1258"/>
      <c r="E92" s="1259"/>
      <c r="F92" s="168"/>
      <c r="G92" s="255">
        <f>H624</f>
        <v>0</v>
      </c>
      <c r="H92" s="255">
        <f>H625</f>
        <v>0</v>
      </c>
      <c r="I92" s="255">
        <f>H626</f>
        <v>0</v>
      </c>
      <c r="J92" s="255">
        <f>H627</f>
        <v>0</v>
      </c>
      <c r="K92" s="255">
        <f>H628</f>
        <v>0</v>
      </c>
      <c r="L92" s="255"/>
      <c r="M92" s="255"/>
      <c r="N92" s="565"/>
      <c r="O92" s="565"/>
      <c r="P92" s="565"/>
      <c r="R92" s="991">
        <f t="shared" si="8"/>
        <v>0</v>
      </c>
    </row>
    <row r="93" spans="2:18" ht="28.5" customHeight="1" x14ac:dyDescent="0.25">
      <c r="B93" s="1248" t="str">
        <f>"per 31/12/"&amp;$N$13</f>
        <v>per 31/12/2022</v>
      </c>
      <c r="C93" s="1249"/>
      <c r="D93" s="1249"/>
      <c r="E93" s="1250"/>
      <c r="F93" s="314"/>
      <c r="G93" s="565">
        <f>H634</f>
        <v>0</v>
      </c>
      <c r="H93" s="565">
        <f>H635</f>
        <v>0</v>
      </c>
      <c r="I93" s="565">
        <f>H636</f>
        <v>0</v>
      </c>
      <c r="J93" s="565">
        <f>H637</f>
        <v>0</v>
      </c>
      <c r="K93" s="565">
        <f>H638</f>
        <v>0</v>
      </c>
      <c r="L93" s="565">
        <f>H639</f>
        <v>0</v>
      </c>
      <c r="M93" s="565"/>
      <c r="N93" s="565"/>
      <c r="O93" s="565"/>
      <c r="P93" s="565"/>
      <c r="Q93" s="845"/>
      <c r="R93" s="994">
        <f t="shared" si="8"/>
        <v>0</v>
      </c>
    </row>
    <row r="94" spans="2:18" ht="28.5" customHeight="1" x14ac:dyDescent="0.25">
      <c r="B94" s="1248" t="str">
        <f>"per 31/12/"&amp;$O$13</f>
        <v>per 31/12/2023</v>
      </c>
      <c r="C94" s="1249"/>
      <c r="D94" s="1249"/>
      <c r="E94" s="1250"/>
      <c r="F94" s="314"/>
      <c r="G94" s="565"/>
      <c r="H94" s="565"/>
      <c r="I94" s="565"/>
      <c r="J94" s="565"/>
      <c r="K94" s="565"/>
      <c r="L94" s="565">
        <f>H645</f>
        <v>0</v>
      </c>
      <c r="M94" s="565">
        <f>H646</f>
        <v>0</v>
      </c>
      <c r="N94" s="565"/>
      <c r="O94" s="565"/>
      <c r="P94" s="565"/>
      <c r="Q94" s="845"/>
      <c r="R94" s="994">
        <f t="shared" si="8"/>
        <v>0</v>
      </c>
    </row>
    <row r="95" spans="2:18" ht="28.5" customHeight="1" x14ac:dyDescent="0.25">
      <c r="B95" s="1248" t="str">
        <f>"per 31/12/"&amp;$P$13</f>
        <v>per 31/12/2024</v>
      </c>
      <c r="C95" s="1249"/>
      <c r="D95" s="1249"/>
      <c r="E95" s="1250"/>
      <c r="F95" s="314"/>
      <c r="G95" s="565"/>
      <c r="H95" s="565"/>
      <c r="I95" s="565"/>
      <c r="J95" s="565"/>
      <c r="K95" s="565"/>
      <c r="L95" s="565"/>
      <c r="M95" s="565">
        <f>H652</f>
        <v>0</v>
      </c>
      <c r="N95" s="565">
        <f>H653</f>
        <v>0</v>
      </c>
      <c r="O95" s="565"/>
      <c r="P95" s="565"/>
      <c r="Q95" s="845"/>
      <c r="R95" s="994">
        <f t="shared" si="8"/>
        <v>0</v>
      </c>
    </row>
    <row r="96" spans="2:18" ht="33" customHeight="1" x14ac:dyDescent="0.25">
      <c r="B96" s="1254" t="s">
        <v>68</v>
      </c>
      <c r="C96" s="1255"/>
      <c r="D96" s="1255"/>
      <c r="E96" s="1256"/>
      <c r="F96" s="168"/>
      <c r="G96" s="992"/>
      <c r="H96" s="992"/>
      <c r="I96" s="992"/>
      <c r="J96" s="992"/>
      <c r="K96" s="992"/>
      <c r="L96" s="992"/>
      <c r="M96" s="992"/>
      <c r="N96" s="993"/>
      <c r="O96" s="993"/>
      <c r="P96" s="993"/>
      <c r="R96" s="992"/>
    </row>
    <row r="97" spans="1:18" ht="28.5" customHeight="1" x14ac:dyDescent="0.25">
      <c r="B97" s="1257" t="str">
        <f>"per 31/12/"&amp;$G$13</f>
        <v>per 31/12/2015</v>
      </c>
      <c r="C97" s="1258"/>
      <c r="D97" s="1258"/>
      <c r="E97" s="1259"/>
      <c r="F97" s="168"/>
      <c r="G97" s="255"/>
      <c r="H97" s="255"/>
      <c r="I97" s="255"/>
      <c r="J97" s="255"/>
      <c r="K97" s="255"/>
      <c r="L97" s="255"/>
      <c r="M97" s="255"/>
      <c r="N97" s="565"/>
      <c r="O97" s="565"/>
      <c r="P97" s="565"/>
      <c r="R97" s="991">
        <f t="shared" ref="R97:R106" si="9">SUM(G97:P97)</f>
        <v>0</v>
      </c>
    </row>
    <row r="98" spans="1:18" ht="28.5" customHeight="1" x14ac:dyDescent="0.25">
      <c r="B98" s="1257" t="str">
        <f>"per 31/12/"&amp;$H$13</f>
        <v>per 31/12/2016</v>
      </c>
      <c r="C98" s="1258"/>
      <c r="D98" s="1258"/>
      <c r="E98" s="1259"/>
      <c r="F98" s="168"/>
      <c r="G98" s="255"/>
      <c r="H98" s="255"/>
      <c r="I98" s="255"/>
      <c r="J98" s="255"/>
      <c r="K98" s="255"/>
      <c r="L98" s="255"/>
      <c r="M98" s="255"/>
      <c r="N98" s="565"/>
      <c r="O98" s="565"/>
      <c r="P98" s="565"/>
      <c r="R98" s="991">
        <f t="shared" si="9"/>
        <v>0</v>
      </c>
    </row>
    <row r="99" spans="1:18" ht="28.5" customHeight="1" x14ac:dyDescent="0.25">
      <c r="B99" s="1257" t="str">
        <f>"per 31/12/"&amp;$I$13</f>
        <v>per 31/12/2017</v>
      </c>
      <c r="C99" s="1258"/>
      <c r="D99" s="1258"/>
      <c r="E99" s="1259"/>
      <c r="F99" s="168"/>
      <c r="G99" s="255">
        <f>J670</f>
        <v>0</v>
      </c>
      <c r="H99" s="255"/>
      <c r="I99" s="255"/>
      <c r="J99" s="255"/>
      <c r="K99" s="255"/>
      <c r="L99" s="255"/>
      <c r="M99" s="255"/>
      <c r="N99" s="565"/>
      <c r="O99" s="565"/>
      <c r="P99" s="565"/>
      <c r="R99" s="991">
        <f t="shared" si="9"/>
        <v>0</v>
      </c>
    </row>
    <row r="100" spans="1:18" ht="28.5" customHeight="1" x14ac:dyDescent="0.25">
      <c r="B100" s="1257" t="str">
        <f>"per 31/12/"&amp;$J$13</f>
        <v>per 31/12/2018</v>
      </c>
      <c r="C100" s="1258"/>
      <c r="D100" s="1258"/>
      <c r="E100" s="1259"/>
      <c r="F100" s="168"/>
      <c r="G100" s="255">
        <f>L675</f>
        <v>0</v>
      </c>
      <c r="H100" s="255">
        <f>L676</f>
        <v>0</v>
      </c>
      <c r="I100" s="255"/>
      <c r="J100" s="255"/>
      <c r="K100" s="255"/>
      <c r="L100" s="255"/>
      <c r="M100" s="255"/>
      <c r="N100" s="565"/>
      <c r="O100" s="565"/>
      <c r="P100" s="565"/>
      <c r="R100" s="991">
        <f t="shared" si="9"/>
        <v>0</v>
      </c>
    </row>
    <row r="101" spans="1:18" ht="28.5" customHeight="1" x14ac:dyDescent="0.25">
      <c r="B101" s="1257" t="str">
        <f>"per 31/12/"&amp;$K$13</f>
        <v>per 31/12/2019</v>
      </c>
      <c r="C101" s="1258"/>
      <c r="D101" s="1258"/>
      <c r="E101" s="1259"/>
      <c r="F101" s="168"/>
      <c r="G101" s="255">
        <f>L682</f>
        <v>0</v>
      </c>
      <c r="H101" s="255">
        <f>L683</f>
        <v>0</v>
      </c>
      <c r="I101" s="255">
        <f>L684</f>
        <v>0</v>
      </c>
      <c r="J101" s="255"/>
      <c r="K101" s="255"/>
      <c r="L101" s="255"/>
      <c r="M101" s="255"/>
      <c r="N101" s="565"/>
      <c r="O101" s="565"/>
      <c r="P101" s="565"/>
      <c r="R101" s="991">
        <f t="shared" si="9"/>
        <v>0</v>
      </c>
    </row>
    <row r="102" spans="1:18" ht="28.5" customHeight="1" x14ac:dyDescent="0.25">
      <c r="B102" s="1257" t="str">
        <f>"per 31/12/"&amp;$L$13</f>
        <v>per 31/12/2020</v>
      </c>
      <c r="C102" s="1258"/>
      <c r="D102" s="1258"/>
      <c r="E102" s="1259"/>
      <c r="F102" s="168"/>
      <c r="G102" s="255">
        <f>L690</f>
        <v>0</v>
      </c>
      <c r="H102" s="255">
        <f>L691</f>
        <v>0</v>
      </c>
      <c r="I102" s="255">
        <f>L692</f>
        <v>0</v>
      </c>
      <c r="J102" s="255">
        <f>L693</f>
        <v>0</v>
      </c>
      <c r="K102" s="255"/>
      <c r="L102" s="255"/>
      <c r="M102" s="255"/>
      <c r="N102" s="565"/>
      <c r="O102" s="565"/>
      <c r="P102" s="565"/>
      <c r="R102" s="991">
        <f t="shared" si="9"/>
        <v>0</v>
      </c>
    </row>
    <row r="103" spans="1:18" ht="28.5" customHeight="1" x14ac:dyDescent="0.25">
      <c r="B103" s="1257" t="str">
        <f>"per 31/12/"&amp;$M$13</f>
        <v>per 31/12/2021</v>
      </c>
      <c r="C103" s="1258"/>
      <c r="D103" s="1258"/>
      <c r="E103" s="1259"/>
      <c r="F103" s="168"/>
      <c r="G103" s="255">
        <f>H699</f>
        <v>0</v>
      </c>
      <c r="H103" s="255">
        <f>H700</f>
        <v>0</v>
      </c>
      <c r="I103" s="255">
        <f>H701</f>
        <v>0</v>
      </c>
      <c r="J103" s="255">
        <f>H702</f>
        <v>0</v>
      </c>
      <c r="K103" s="255">
        <f>H703</f>
        <v>0</v>
      </c>
      <c r="L103" s="255"/>
      <c r="M103" s="255"/>
      <c r="N103" s="565"/>
      <c r="O103" s="565"/>
      <c r="P103" s="565"/>
      <c r="R103" s="991">
        <f t="shared" si="9"/>
        <v>0</v>
      </c>
    </row>
    <row r="104" spans="1:18" ht="28.5" customHeight="1" x14ac:dyDescent="0.25">
      <c r="B104" s="1248" t="str">
        <f>"per 31/12/"&amp;$N$13</f>
        <v>per 31/12/2022</v>
      </c>
      <c r="C104" s="1249"/>
      <c r="D104" s="1249"/>
      <c r="E104" s="1250"/>
      <c r="F104" s="314"/>
      <c r="G104" s="565">
        <f>H709</f>
        <v>0</v>
      </c>
      <c r="H104" s="565">
        <f>H710</f>
        <v>0</v>
      </c>
      <c r="I104" s="565">
        <f>H711</f>
        <v>0</v>
      </c>
      <c r="J104" s="565">
        <f>H712</f>
        <v>0</v>
      </c>
      <c r="K104" s="565">
        <f>H713</f>
        <v>0</v>
      </c>
      <c r="L104" s="565">
        <f>H714</f>
        <v>0</v>
      </c>
      <c r="M104" s="565"/>
      <c r="N104" s="565"/>
      <c r="O104" s="565"/>
      <c r="P104" s="565"/>
      <c r="Q104" s="845"/>
      <c r="R104" s="994">
        <f t="shared" si="9"/>
        <v>0</v>
      </c>
    </row>
    <row r="105" spans="1:18" ht="28.5" customHeight="1" x14ac:dyDescent="0.25">
      <c r="B105" s="1248" t="str">
        <f>"per 31/12/"&amp;$O$13</f>
        <v>per 31/12/2023</v>
      </c>
      <c r="C105" s="1249"/>
      <c r="D105" s="1249"/>
      <c r="E105" s="1250"/>
      <c r="F105" s="314"/>
      <c r="G105" s="565"/>
      <c r="H105" s="565"/>
      <c r="I105" s="565"/>
      <c r="J105" s="565"/>
      <c r="K105" s="565"/>
      <c r="L105" s="565">
        <f>H720</f>
        <v>0</v>
      </c>
      <c r="M105" s="565">
        <f>H721</f>
        <v>0</v>
      </c>
      <c r="N105" s="565"/>
      <c r="O105" s="565"/>
      <c r="P105" s="565"/>
      <c r="Q105" s="845"/>
      <c r="R105" s="994">
        <f t="shared" si="9"/>
        <v>0</v>
      </c>
    </row>
    <row r="106" spans="1:18" ht="28.5" customHeight="1" x14ac:dyDescent="0.25">
      <c r="B106" s="1248" t="str">
        <f>"per 31/12/"&amp;$P$13</f>
        <v>per 31/12/2024</v>
      </c>
      <c r="C106" s="1249"/>
      <c r="D106" s="1249"/>
      <c r="E106" s="1250"/>
      <c r="F106" s="314"/>
      <c r="G106" s="565"/>
      <c r="H106" s="565"/>
      <c r="I106" s="565"/>
      <c r="J106" s="565"/>
      <c r="K106" s="565"/>
      <c r="L106" s="565"/>
      <c r="M106" s="565">
        <f>H727</f>
        <v>0</v>
      </c>
      <c r="N106" s="565">
        <f>H728</f>
        <v>0</v>
      </c>
      <c r="O106" s="565"/>
      <c r="P106" s="565"/>
      <c r="Q106" s="845"/>
      <c r="R106" s="994">
        <f t="shared" si="9"/>
        <v>0</v>
      </c>
    </row>
    <row r="107" spans="1:18" x14ac:dyDescent="0.25">
      <c r="G107" s="306"/>
      <c r="H107" s="306"/>
      <c r="I107" s="306"/>
      <c r="J107" s="306"/>
      <c r="K107" s="306"/>
      <c r="L107" s="306"/>
      <c r="M107" s="306"/>
      <c r="N107" s="839"/>
      <c r="O107" s="839"/>
      <c r="P107" s="839"/>
      <c r="R107" s="306"/>
    </row>
    <row r="108" spans="1:18" s="224" customFormat="1" ht="13" x14ac:dyDescent="0.25">
      <c r="B108" s="1247"/>
      <c r="C108" s="1247"/>
      <c r="D108" s="1247"/>
      <c r="E108" s="1247"/>
      <c r="G108" s="309"/>
      <c r="H108" s="309"/>
      <c r="I108" s="309"/>
      <c r="J108" s="309"/>
      <c r="K108" s="309"/>
      <c r="L108" s="309"/>
      <c r="M108" s="309"/>
      <c r="N108" s="841"/>
      <c r="O108" s="841"/>
      <c r="P108" s="841"/>
      <c r="Q108" s="211"/>
      <c r="R108" s="309"/>
    </row>
    <row r="109" spans="1:18" s="224" customFormat="1" ht="13" x14ac:dyDescent="0.25">
      <c r="B109" s="315"/>
      <c r="C109" s="316"/>
      <c r="D109" s="316"/>
      <c r="E109" s="317"/>
      <c r="F109" s="283"/>
      <c r="G109" s="975">
        <v>2015</v>
      </c>
      <c r="H109" s="166">
        <f>+G109+1</f>
        <v>2016</v>
      </c>
      <c r="I109" s="166">
        <f>+H109+1</f>
        <v>2017</v>
      </c>
      <c r="J109" s="166">
        <f>+I109+1</f>
        <v>2018</v>
      </c>
      <c r="K109" s="166">
        <f>+J109+1</f>
        <v>2019</v>
      </c>
      <c r="L109" s="166">
        <f t="shared" ref="L109:P109" si="10">+K109+1</f>
        <v>2020</v>
      </c>
      <c r="M109" s="166">
        <f t="shared" si="10"/>
        <v>2021</v>
      </c>
      <c r="N109" s="837">
        <f t="shared" si="10"/>
        <v>2022</v>
      </c>
      <c r="O109" s="837">
        <f t="shared" si="10"/>
        <v>2023</v>
      </c>
      <c r="P109" s="837">
        <f t="shared" si="10"/>
        <v>2024</v>
      </c>
      <c r="Q109" s="209"/>
      <c r="R109" s="166" t="s">
        <v>20</v>
      </c>
    </row>
    <row r="110" spans="1:18" s="220" customFormat="1" ht="26.25" customHeight="1" x14ac:dyDescent="0.25">
      <c r="B110" s="1251" t="s">
        <v>159</v>
      </c>
      <c r="C110" s="1252"/>
      <c r="D110" s="1252"/>
      <c r="E110" s="1253"/>
      <c r="F110" s="172"/>
      <c r="G110" s="171"/>
      <c r="H110" s="171"/>
      <c r="I110" s="171"/>
      <c r="J110" s="171"/>
      <c r="K110" s="171"/>
      <c r="L110" s="171"/>
      <c r="M110" s="171"/>
      <c r="N110" s="843"/>
      <c r="O110" s="843"/>
      <c r="P110" s="843"/>
      <c r="Q110" s="210"/>
      <c r="R110" s="171"/>
    </row>
    <row r="111" spans="1:18" ht="28.5" customHeight="1" x14ac:dyDescent="0.25">
      <c r="A111" s="296"/>
      <c r="B111" s="1240" t="str">
        <f>"per 31/12/"&amp;$G$13</f>
        <v>per 31/12/2015</v>
      </c>
      <c r="C111" s="1241"/>
      <c r="D111" s="1241"/>
      <c r="E111" s="1242"/>
      <c r="F111" s="318"/>
      <c r="G111" s="995"/>
      <c r="H111" s="995"/>
      <c r="I111" s="995"/>
      <c r="J111" s="995"/>
      <c r="K111" s="995"/>
      <c r="L111" s="995"/>
      <c r="M111" s="995"/>
      <c r="N111" s="996"/>
      <c r="O111" s="996"/>
      <c r="P111" s="996"/>
      <c r="R111" s="997">
        <f t="shared" ref="R111:R120" si="11">SUMIFS(R$31:R$106,$B$31:$B$106,$B111)</f>
        <v>0</v>
      </c>
    </row>
    <row r="112" spans="1:18" ht="28.5" customHeight="1" x14ac:dyDescent="0.25">
      <c r="A112" s="296"/>
      <c r="B112" s="1240" t="str">
        <f>"per 31/12/"&amp;$H$13</f>
        <v>per 31/12/2016</v>
      </c>
      <c r="C112" s="1241"/>
      <c r="D112" s="1241"/>
      <c r="E112" s="1242"/>
      <c r="F112" s="318"/>
      <c r="G112" s="995"/>
      <c r="H112" s="995"/>
      <c r="I112" s="995"/>
      <c r="J112" s="995"/>
      <c r="K112" s="995"/>
      <c r="L112" s="995"/>
      <c r="M112" s="995"/>
      <c r="N112" s="996"/>
      <c r="O112" s="996"/>
      <c r="P112" s="996"/>
      <c r="R112" s="997">
        <f t="shared" si="11"/>
        <v>0</v>
      </c>
    </row>
    <row r="113" spans="1:18" ht="28.5" customHeight="1" x14ac:dyDescent="0.25">
      <c r="A113" s="296"/>
      <c r="B113" s="1240" t="str">
        <f>"per 31/12/"&amp;$I$13</f>
        <v>per 31/12/2017</v>
      </c>
      <c r="C113" s="1241"/>
      <c r="D113" s="1241"/>
      <c r="E113" s="1242"/>
      <c r="F113" s="318"/>
      <c r="G113" s="995">
        <f t="shared" ref="G113:G118" si="12">SUMIFS(G$31:G$106,$B$31:$B$106,$B113)</f>
        <v>0</v>
      </c>
      <c r="H113" s="995"/>
      <c r="I113" s="995"/>
      <c r="J113" s="995"/>
      <c r="K113" s="995"/>
      <c r="L113" s="995"/>
      <c r="M113" s="995"/>
      <c r="N113" s="996"/>
      <c r="O113" s="996"/>
      <c r="P113" s="996"/>
      <c r="R113" s="997">
        <f t="shared" si="11"/>
        <v>0</v>
      </c>
    </row>
    <row r="114" spans="1:18" ht="28.5" customHeight="1" x14ac:dyDescent="0.25">
      <c r="A114" s="296"/>
      <c r="B114" s="1240" t="str">
        <f>"per 31/12/"&amp;$J$13</f>
        <v>per 31/12/2018</v>
      </c>
      <c r="C114" s="1241"/>
      <c r="D114" s="1241"/>
      <c r="E114" s="1242"/>
      <c r="F114" s="318"/>
      <c r="G114" s="995">
        <f t="shared" si="12"/>
        <v>0</v>
      </c>
      <c r="H114" s="995">
        <f>SUMIFS(H$31:H$106,$B$31:$B$106,$B114)</f>
        <v>0</v>
      </c>
      <c r="I114" s="995"/>
      <c r="J114" s="995"/>
      <c r="K114" s="995"/>
      <c r="L114" s="995"/>
      <c r="M114" s="995"/>
      <c r="N114" s="996"/>
      <c r="O114" s="996"/>
      <c r="P114" s="996"/>
      <c r="R114" s="997">
        <f t="shared" si="11"/>
        <v>0</v>
      </c>
    </row>
    <row r="115" spans="1:18" ht="28.5" customHeight="1" x14ac:dyDescent="0.25">
      <c r="A115" s="296"/>
      <c r="B115" s="1240" t="str">
        <f>"per 31/12/"&amp;$K$13</f>
        <v>per 31/12/2019</v>
      </c>
      <c r="C115" s="1241"/>
      <c r="D115" s="1241"/>
      <c r="E115" s="1242"/>
      <c r="F115" s="318"/>
      <c r="G115" s="995">
        <f t="shared" si="12"/>
        <v>0</v>
      </c>
      <c r="H115" s="995">
        <f>SUMIFS(H$31:H$106,$B$31:$B$106,$B115)</f>
        <v>0</v>
      </c>
      <c r="I115" s="995">
        <f>SUMIFS(I$31:I$106,$B$31:$B$106,$B115)</f>
        <v>0</v>
      </c>
      <c r="J115" s="995"/>
      <c r="K115" s="995"/>
      <c r="L115" s="995"/>
      <c r="M115" s="995"/>
      <c r="N115" s="996"/>
      <c r="O115" s="996"/>
      <c r="P115" s="996"/>
      <c r="R115" s="997">
        <f t="shared" si="11"/>
        <v>0</v>
      </c>
    </row>
    <row r="116" spans="1:18" ht="28.5" customHeight="1" x14ac:dyDescent="0.25">
      <c r="A116" s="296"/>
      <c r="B116" s="1240" t="str">
        <f>"per 31/12/"&amp;$L$13</f>
        <v>per 31/12/2020</v>
      </c>
      <c r="C116" s="1241"/>
      <c r="D116" s="1241"/>
      <c r="E116" s="1242"/>
      <c r="F116" s="318"/>
      <c r="G116" s="995">
        <f t="shared" si="12"/>
        <v>0</v>
      </c>
      <c r="H116" s="995">
        <f>SUMIFS(H$31:H$106,$B$31:$B$106,$B116)</f>
        <v>0</v>
      </c>
      <c r="I116" s="995">
        <f>SUMIFS(I$31:I$106,$B$31:$B$106,$B116)</f>
        <v>0</v>
      </c>
      <c r="J116" s="995">
        <f>SUMIFS(J$31:J$106,$B$31:$B$106,$B116)</f>
        <v>0</v>
      </c>
      <c r="K116" s="995"/>
      <c r="L116" s="995"/>
      <c r="M116" s="995"/>
      <c r="N116" s="996"/>
      <c r="O116" s="996"/>
      <c r="P116" s="996"/>
      <c r="R116" s="997">
        <f t="shared" si="11"/>
        <v>0</v>
      </c>
    </row>
    <row r="117" spans="1:18" ht="28.5" customHeight="1" x14ac:dyDescent="0.25">
      <c r="A117" s="296"/>
      <c r="B117" s="1240" t="str">
        <f>"per 31/12/"&amp;$M$13</f>
        <v>per 31/12/2021</v>
      </c>
      <c r="C117" s="1241"/>
      <c r="D117" s="1241"/>
      <c r="E117" s="1242"/>
      <c r="F117" s="318"/>
      <c r="G117" s="995">
        <f t="shared" si="12"/>
        <v>0</v>
      </c>
      <c r="H117" s="995">
        <f>SUMIFS(H$31:H$106,$B$31:$B$106,$B117)</f>
        <v>0</v>
      </c>
      <c r="I117" s="995">
        <f>SUMIFS(I$31:I$106,$B$31:$B$106,$B117)</f>
        <v>0</v>
      </c>
      <c r="J117" s="995">
        <f>SUMIFS(J$31:J$106,$B$31:$B$106,$B117)</f>
        <v>0</v>
      </c>
      <c r="K117" s="995">
        <f>SUMIFS(K$31:K$106,$B$31:$B$106,$B117)</f>
        <v>0</v>
      </c>
      <c r="L117" s="995"/>
      <c r="M117" s="995"/>
      <c r="N117" s="996"/>
      <c r="O117" s="996"/>
      <c r="P117" s="996"/>
      <c r="R117" s="997">
        <f t="shared" si="11"/>
        <v>0</v>
      </c>
    </row>
    <row r="118" spans="1:18" ht="28.5" customHeight="1" x14ac:dyDescent="0.25">
      <c r="A118" s="296"/>
      <c r="B118" s="1243" t="str">
        <f>"per 31/12/"&amp;$N$13</f>
        <v>per 31/12/2022</v>
      </c>
      <c r="C118" s="1244"/>
      <c r="D118" s="1244"/>
      <c r="E118" s="1245"/>
      <c r="F118" s="846"/>
      <c r="G118" s="996">
        <f t="shared" si="12"/>
        <v>0</v>
      </c>
      <c r="H118" s="996">
        <f>SUMIFS(H$31:H$106,$B$31:$B$106,$B118)</f>
        <v>0</v>
      </c>
      <c r="I118" s="996">
        <f>SUMIFS(I$31:I$106,$B$31:$B$106,$B118)</f>
        <v>0</v>
      </c>
      <c r="J118" s="996">
        <f>SUMIFS(J$31:J$106,$B$31:$B$106,$B118)</f>
        <v>0</v>
      </c>
      <c r="K118" s="996">
        <f>SUMIFS(K$31:K$106,$B$31:$B$106,$B118)</f>
        <v>0</v>
      </c>
      <c r="L118" s="996">
        <f>SUMIFS(L$31:L$106,$B$31:$B$106,$B118)</f>
        <v>0</v>
      </c>
      <c r="M118" s="996"/>
      <c r="N118" s="996"/>
      <c r="O118" s="996"/>
      <c r="P118" s="996"/>
      <c r="Q118" s="845"/>
      <c r="R118" s="998">
        <f t="shared" si="11"/>
        <v>0</v>
      </c>
    </row>
    <row r="119" spans="1:18" ht="28.5" customHeight="1" x14ac:dyDescent="0.25">
      <c r="A119" s="296"/>
      <c r="B119" s="1243" t="str">
        <f>"per 31/12/"&amp;$O$13</f>
        <v>per 31/12/2023</v>
      </c>
      <c r="C119" s="1244"/>
      <c r="D119" s="1244"/>
      <c r="E119" s="1245"/>
      <c r="F119" s="846"/>
      <c r="G119" s="996"/>
      <c r="H119" s="996"/>
      <c r="I119" s="996"/>
      <c r="J119" s="996"/>
      <c r="K119" s="996"/>
      <c r="L119" s="996">
        <f>SUMIFS(L$31:L$106,$B$31:$B$106,$B119)</f>
        <v>0</v>
      </c>
      <c r="M119" s="996">
        <f>SUMIFS(M$31:M$106,$B$31:$B$106,$B119)</f>
        <v>0</v>
      </c>
      <c r="N119" s="996"/>
      <c r="O119" s="996"/>
      <c r="P119" s="996"/>
      <c r="Q119" s="845"/>
      <c r="R119" s="998">
        <f t="shared" si="11"/>
        <v>0</v>
      </c>
    </row>
    <row r="120" spans="1:18" ht="28.5" customHeight="1" x14ac:dyDescent="0.25">
      <c r="A120" s="296"/>
      <c r="B120" s="1243" t="str">
        <f>"per 31/12/"&amp;$P$13</f>
        <v>per 31/12/2024</v>
      </c>
      <c r="C120" s="1244"/>
      <c r="D120" s="1244"/>
      <c r="E120" s="1245"/>
      <c r="F120" s="846"/>
      <c r="G120" s="996"/>
      <c r="H120" s="996"/>
      <c r="I120" s="996"/>
      <c r="J120" s="996"/>
      <c r="K120" s="996"/>
      <c r="L120" s="996"/>
      <c r="M120" s="996">
        <f>SUMIFS(M$31:M$106,$B$31:$B$106,$B120)</f>
        <v>0</v>
      </c>
      <c r="N120" s="996">
        <f>SUMIFS(N$31:N$106,$B$31:$B$106,$B120)</f>
        <v>0</v>
      </c>
      <c r="O120" s="996"/>
      <c r="P120" s="996"/>
      <c r="Q120" s="845"/>
      <c r="R120" s="998">
        <f t="shared" si="11"/>
        <v>0</v>
      </c>
    </row>
    <row r="121" spans="1:18" s="224" customFormat="1" ht="13" x14ac:dyDescent="0.25">
      <c r="B121" s="1246"/>
      <c r="C121" s="1246"/>
      <c r="D121" s="1246"/>
      <c r="E121" s="1246"/>
      <c r="G121" s="319"/>
      <c r="H121" s="319"/>
      <c r="I121" s="319"/>
      <c r="J121" s="319"/>
      <c r="K121" s="309"/>
      <c r="L121" s="309"/>
      <c r="M121" s="309"/>
      <c r="N121" s="841"/>
      <c r="O121" s="841"/>
      <c r="P121" s="841"/>
      <c r="Q121" s="211"/>
      <c r="R121" s="309"/>
    </row>
    <row r="122" spans="1:18" x14ac:dyDescent="0.25">
      <c r="N122" s="842"/>
      <c r="O122" s="842"/>
      <c r="P122" s="842"/>
    </row>
    <row r="123" spans="1:18" x14ac:dyDescent="0.25">
      <c r="G123" s="298" t="s">
        <v>41</v>
      </c>
      <c r="N123" s="842"/>
      <c r="O123" s="842"/>
      <c r="P123" s="842"/>
    </row>
    <row r="124" spans="1:18" x14ac:dyDescent="0.25">
      <c r="G124" s="298" t="s">
        <v>166</v>
      </c>
      <c r="N124" s="842"/>
      <c r="O124" s="842"/>
      <c r="P124" s="842"/>
    </row>
    <row r="125" spans="1:18" ht="69.75" customHeight="1" x14ac:dyDescent="0.25">
      <c r="B125" s="1231" t="s">
        <v>243</v>
      </c>
      <c r="C125" s="1232"/>
      <c r="D125" s="1232"/>
      <c r="E125" s="1233"/>
      <c r="F125" s="282"/>
      <c r="G125" s="166">
        <v>2015</v>
      </c>
      <c r="H125" s="166">
        <f>+G125+1</f>
        <v>2016</v>
      </c>
      <c r="I125" s="166">
        <f>+H125+1</f>
        <v>2017</v>
      </c>
      <c r="J125" s="166">
        <f>+I125+1</f>
        <v>2018</v>
      </c>
      <c r="K125" s="166">
        <f>+J125+1</f>
        <v>2019</v>
      </c>
      <c r="L125" s="166">
        <f t="shared" ref="L125:O125" si="13">+K125+1</f>
        <v>2020</v>
      </c>
      <c r="M125" s="166">
        <f t="shared" si="13"/>
        <v>2021</v>
      </c>
      <c r="N125" s="837">
        <f t="shared" si="13"/>
        <v>2022</v>
      </c>
      <c r="O125" s="837">
        <f t="shared" si="13"/>
        <v>2023</v>
      </c>
      <c r="P125" s="837">
        <v>2024</v>
      </c>
      <c r="R125" s="166" t="s">
        <v>20</v>
      </c>
    </row>
    <row r="126" spans="1:18" s="301" customFormat="1" ht="12" customHeight="1" x14ac:dyDescent="0.25">
      <c r="B126" s="320"/>
      <c r="C126" s="320"/>
      <c r="D126" s="320"/>
      <c r="E126" s="320"/>
      <c r="F126" s="321"/>
      <c r="G126" s="322"/>
      <c r="H126" s="323"/>
      <c r="I126" s="323"/>
      <c r="J126" s="324"/>
      <c r="K126" s="324"/>
      <c r="L126" s="324"/>
      <c r="M126" s="324"/>
      <c r="N126" s="844"/>
      <c r="O126" s="844"/>
      <c r="P126" s="844"/>
      <c r="Q126" s="305"/>
      <c r="R126" s="324"/>
    </row>
    <row r="127" spans="1:18" ht="36" customHeight="1" x14ac:dyDescent="0.25">
      <c r="B127" s="1254" t="s">
        <v>240</v>
      </c>
      <c r="C127" s="1255"/>
      <c r="D127" s="1255"/>
      <c r="E127" s="1256"/>
      <c r="F127" s="168"/>
      <c r="G127" s="992"/>
      <c r="H127" s="992"/>
      <c r="I127" s="992"/>
      <c r="J127" s="992"/>
      <c r="K127" s="992"/>
      <c r="L127" s="992"/>
      <c r="M127" s="992"/>
      <c r="N127" s="993"/>
      <c r="O127" s="993"/>
      <c r="P127" s="993"/>
      <c r="R127" s="992"/>
    </row>
    <row r="128" spans="1:18" ht="28.5" customHeight="1" x14ac:dyDescent="0.25">
      <c r="B128" s="1257" t="str">
        <f>"per 31/12/"&amp;$G$13</f>
        <v>per 31/12/2015</v>
      </c>
      <c r="C128" s="1258"/>
      <c r="D128" s="1258"/>
      <c r="E128" s="1259"/>
      <c r="F128" s="168"/>
      <c r="G128" s="255">
        <f>+G$15+G31</f>
        <v>0</v>
      </c>
      <c r="H128" s="255"/>
      <c r="I128" s="255"/>
      <c r="J128" s="255"/>
      <c r="K128" s="255"/>
      <c r="L128" s="255"/>
      <c r="M128" s="255"/>
      <c r="N128" s="565"/>
      <c r="O128" s="565"/>
      <c r="P128" s="565"/>
      <c r="R128" s="991">
        <f t="shared" ref="R128:R137" si="14">SUM(G128:P128)</f>
        <v>0</v>
      </c>
    </row>
    <row r="129" spans="2:18" ht="28.5" customHeight="1" x14ac:dyDescent="0.25">
      <c r="B129" s="1257" t="str">
        <f>"per 31/12/"&amp;$H$13</f>
        <v>per 31/12/2016</v>
      </c>
      <c r="C129" s="1258"/>
      <c r="D129" s="1258"/>
      <c r="E129" s="1259"/>
      <c r="F129" s="168"/>
      <c r="G129" s="255">
        <f t="shared" ref="G129:G135" si="15">+G128+G32</f>
        <v>0</v>
      </c>
      <c r="H129" s="255">
        <f>+$H$15+H32</f>
        <v>0</v>
      </c>
      <c r="I129" s="255"/>
      <c r="J129" s="255"/>
      <c r="K129" s="255"/>
      <c r="L129" s="255"/>
      <c r="M129" s="255"/>
      <c r="N129" s="565"/>
      <c r="O129" s="565"/>
      <c r="P129" s="565"/>
      <c r="R129" s="991">
        <f t="shared" si="14"/>
        <v>0</v>
      </c>
    </row>
    <row r="130" spans="2:18" ht="28.5" customHeight="1" x14ac:dyDescent="0.25">
      <c r="B130" s="1257" t="str">
        <f>"per 31/12/"&amp;$I$13</f>
        <v>per 31/12/2017</v>
      </c>
      <c r="C130" s="1258"/>
      <c r="D130" s="1258"/>
      <c r="E130" s="1259"/>
      <c r="F130" s="168"/>
      <c r="G130" s="255">
        <f t="shared" si="15"/>
        <v>0</v>
      </c>
      <c r="H130" s="255">
        <f t="shared" ref="H130:H135" si="16">+H129+H33</f>
        <v>0</v>
      </c>
      <c r="I130" s="255">
        <f>+$I$15+I33</f>
        <v>0</v>
      </c>
      <c r="J130" s="255"/>
      <c r="K130" s="255"/>
      <c r="L130" s="255"/>
      <c r="M130" s="255"/>
      <c r="N130" s="565"/>
      <c r="O130" s="565"/>
      <c r="P130" s="565"/>
      <c r="R130" s="991">
        <f t="shared" si="14"/>
        <v>0</v>
      </c>
    </row>
    <row r="131" spans="2:18" ht="28.5" customHeight="1" x14ac:dyDescent="0.25">
      <c r="B131" s="1257" t="str">
        <f>"per 31/12/"&amp;$J$13</f>
        <v>per 31/12/2018</v>
      </c>
      <c r="C131" s="1258"/>
      <c r="D131" s="1258"/>
      <c r="E131" s="1259"/>
      <c r="F131" s="168"/>
      <c r="G131" s="255">
        <f t="shared" si="15"/>
        <v>0</v>
      </c>
      <c r="H131" s="255">
        <f t="shared" si="16"/>
        <v>0</v>
      </c>
      <c r="I131" s="255">
        <f>+I130+I34</f>
        <v>0</v>
      </c>
      <c r="J131" s="255">
        <f>+$J$15+J34</f>
        <v>0</v>
      </c>
      <c r="K131" s="255"/>
      <c r="L131" s="255"/>
      <c r="M131" s="255"/>
      <c r="N131" s="565"/>
      <c r="O131" s="565"/>
      <c r="P131" s="565"/>
      <c r="R131" s="991">
        <f t="shared" si="14"/>
        <v>0</v>
      </c>
    </row>
    <row r="132" spans="2:18" ht="28.5" customHeight="1" x14ac:dyDescent="0.25">
      <c r="B132" s="1257" t="str">
        <f>"per 31/12/"&amp;$K$13</f>
        <v>per 31/12/2019</v>
      </c>
      <c r="C132" s="1258"/>
      <c r="D132" s="1258"/>
      <c r="E132" s="1259"/>
      <c r="F132" s="168"/>
      <c r="G132" s="255">
        <f t="shared" si="15"/>
        <v>0</v>
      </c>
      <c r="H132" s="255">
        <f t="shared" si="16"/>
        <v>0</v>
      </c>
      <c r="I132" s="255">
        <f>+I131+I35</f>
        <v>0</v>
      </c>
      <c r="J132" s="255">
        <f>+J131+J35</f>
        <v>0</v>
      </c>
      <c r="K132" s="255">
        <f>+$K$15+K35</f>
        <v>0</v>
      </c>
      <c r="L132" s="255"/>
      <c r="M132" s="255"/>
      <c r="N132" s="565"/>
      <c r="O132" s="565"/>
      <c r="P132" s="565"/>
      <c r="R132" s="991">
        <f t="shared" si="14"/>
        <v>0</v>
      </c>
    </row>
    <row r="133" spans="2:18" ht="28.5" customHeight="1" x14ac:dyDescent="0.25">
      <c r="B133" s="1257" t="str">
        <f>"per 31/12/"&amp;$L$13</f>
        <v>per 31/12/2020</v>
      </c>
      <c r="C133" s="1258"/>
      <c r="D133" s="1258"/>
      <c r="E133" s="1259"/>
      <c r="F133" s="168"/>
      <c r="G133" s="255">
        <f t="shared" si="15"/>
        <v>0</v>
      </c>
      <c r="H133" s="255">
        <f t="shared" si="16"/>
        <v>0</v>
      </c>
      <c r="I133" s="255">
        <f>+I132+I36</f>
        <v>0</v>
      </c>
      <c r="J133" s="255">
        <f>+J132+J36</f>
        <v>0</v>
      </c>
      <c r="K133" s="255">
        <f>+K132+K36</f>
        <v>0</v>
      </c>
      <c r="L133" s="255">
        <f>+L$15+L36</f>
        <v>0</v>
      </c>
      <c r="M133" s="255"/>
      <c r="N133" s="565"/>
      <c r="O133" s="565"/>
      <c r="P133" s="565"/>
      <c r="R133" s="991">
        <f t="shared" si="14"/>
        <v>0</v>
      </c>
    </row>
    <row r="134" spans="2:18" ht="28.5" customHeight="1" x14ac:dyDescent="0.25">
      <c r="B134" s="1257" t="str">
        <f>"per 31/12/"&amp;$M$13</f>
        <v>per 31/12/2021</v>
      </c>
      <c r="C134" s="1258"/>
      <c r="D134" s="1258"/>
      <c r="E134" s="1259"/>
      <c r="F134" s="168"/>
      <c r="G134" s="255">
        <f t="shared" si="15"/>
        <v>0</v>
      </c>
      <c r="H134" s="255">
        <f t="shared" si="16"/>
        <v>0</v>
      </c>
      <c r="I134" s="255">
        <f>+I133+I37</f>
        <v>0</v>
      </c>
      <c r="J134" s="255">
        <f>+J133+J37</f>
        <v>0</v>
      </c>
      <c r="K134" s="255">
        <f>+K133+K37</f>
        <v>0</v>
      </c>
      <c r="L134" s="255">
        <f>+L133+L37</f>
        <v>0</v>
      </c>
      <c r="M134" s="255">
        <f>+M$15+M37</f>
        <v>0</v>
      </c>
      <c r="N134" s="565"/>
      <c r="O134" s="565"/>
      <c r="P134" s="565"/>
      <c r="R134" s="991">
        <f t="shared" si="14"/>
        <v>0</v>
      </c>
    </row>
    <row r="135" spans="2:18" ht="28.5" customHeight="1" x14ac:dyDescent="0.25">
      <c r="B135" s="1248" t="str">
        <f>"per 31/12/"&amp;$N$13</f>
        <v>per 31/12/2022</v>
      </c>
      <c r="C135" s="1249"/>
      <c r="D135" s="1249"/>
      <c r="E135" s="1250"/>
      <c r="F135" s="314"/>
      <c r="G135" s="565">
        <f t="shared" si="15"/>
        <v>0</v>
      </c>
      <c r="H135" s="565">
        <f t="shared" si="16"/>
        <v>0</v>
      </c>
      <c r="I135" s="565">
        <f>+I134+I38</f>
        <v>0</v>
      </c>
      <c r="J135" s="565">
        <f>+J134+J38</f>
        <v>0</v>
      </c>
      <c r="K135" s="565">
        <f>+K134+K38</f>
        <v>0</v>
      </c>
      <c r="L135" s="565">
        <f>+L134+L38</f>
        <v>0</v>
      </c>
      <c r="M135" s="565">
        <f>+M134+M38</f>
        <v>0</v>
      </c>
      <c r="N135" s="565">
        <f>+N$15+N38</f>
        <v>0</v>
      </c>
      <c r="O135" s="565"/>
      <c r="P135" s="565"/>
      <c r="Q135" s="845"/>
      <c r="R135" s="994">
        <f t="shared" si="14"/>
        <v>0</v>
      </c>
    </row>
    <row r="136" spans="2:18" ht="28.5" customHeight="1" x14ac:dyDescent="0.25">
      <c r="B136" s="1248" t="str">
        <f>"per 31/12/"&amp;$O$13</f>
        <v>per 31/12/2023</v>
      </c>
      <c r="C136" s="1249"/>
      <c r="D136" s="1249"/>
      <c r="E136" s="1250"/>
      <c r="F136" s="314"/>
      <c r="G136" s="565"/>
      <c r="H136" s="565"/>
      <c r="I136" s="565"/>
      <c r="J136" s="565"/>
      <c r="K136" s="565"/>
      <c r="L136" s="565">
        <f>+L135+L39</f>
        <v>0</v>
      </c>
      <c r="M136" s="565">
        <f>+M135+M39</f>
        <v>0</v>
      </c>
      <c r="N136" s="565">
        <f>+N135+N39</f>
        <v>0</v>
      </c>
      <c r="O136" s="565">
        <f>+O$15+O39</f>
        <v>0</v>
      </c>
      <c r="P136" s="565"/>
      <c r="Q136" s="845"/>
      <c r="R136" s="994">
        <f t="shared" si="14"/>
        <v>0</v>
      </c>
    </row>
    <row r="137" spans="2:18" ht="28.5" customHeight="1" x14ac:dyDescent="0.25">
      <c r="B137" s="1248" t="str">
        <f>"per 31/12/"&amp;$P$13</f>
        <v>per 31/12/2024</v>
      </c>
      <c r="C137" s="1249"/>
      <c r="D137" s="1249"/>
      <c r="E137" s="1250"/>
      <c r="F137" s="314"/>
      <c r="G137" s="565"/>
      <c r="H137" s="565"/>
      <c r="I137" s="565"/>
      <c r="J137" s="565"/>
      <c r="K137" s="565"/>
      <c r="L137" s="565"/>
      <c r="M137" s="565">
        <f>+M136+M40</f>
        <v>0</v>
      </c>
      <c r="N137" s="565">
        <f>+N136+N40</f>
        <v>0</v>
      </c>
      <c r="O137" s="565">
        <f>+O136+O40</f>
        <v>0</v>
      </c>
      <c r="P137" s="565">
        <f>+P$15+P40</f>
        <v>0</v>
      </c>
      <c r="Q137" s="845"/>
      <c r="R137" s="994">
        <f t="shared" si="14"/>
        <v>0</v>
      </c>
    </row>
    <row r="138" spans="2:18" ht="27.75" customHeight="1" x14ac:dyDescent="0.25">
      <c r="B138" s="1254" t="s">
        <v>66</v>
      </c>
      <c r="C138" s="1255"/>
      <c r="D138" s="1255"/>
      <c r="E138" s="1256"/>
      <c r="F138" s="168"/>
      <c r="G138" s="992"/>
      <c r="H138" s="992"/>
      <c r="I138" s="992"/>
      <c r="J138" s="992"/>
      <c r="K138" s="992"/>
      <c r="L138" s="992"/>
      <c r="M138" s="992"/>
      <c r="N138" s="993"/>
      <c r="O138" s="993"/>
      <c r="P138" s="993"/>
      <c r="R138" s="992"/>
    </row>
    <row r="139" spans="2:18" ht="28.5" customHeight="1" x14ac:dyDescent="0.25">
      <c r="B139" s="1257" t="str">
        <f>"per 31/12/"&amp;$G$13</f>
        <v>per 31/12/2015</v>
      </c>
      <c r="C139" s="1258"/>
      <c r="D139" s="1258"/>
      <c r="E139" s="1259"/>
      <c r="F139" s="168"/>
      <c r="G139" s="255">
        <f>+G$16+G42</f>
        <v>0</v>
      </c>
      <c r="H139" s="255"/>
      <c r="I139" s="255"/>
      <c r="J139" s="255"/>
      <c r="K139" s="255"/>
      <c r="L139" s="255"/>
      <c r="M139" s="255"/>
      <c r="N139" s="565"/>
      <c r="O139" s="565"/>
      <c r="P139" s="565"/>
      <c r="R139" s="991">
        <f t="shared" ref="R139:R148" si="17">SUM(G139:P139)</f>
        <v>0</v>
      </c>
    </row>
    <row r="140" spans="2:18" ht="28.5" customHeight="1" x14ac:dyDescent="0.25">
      <c r="B140" s="1257" t="str">
        <f>"per 31/12/"&amp;$H$13</f>
        <v>per 31/12/2016</v>
      </c>
      <c r="C140" s="1258"/>
      <c r="D140" s="1258"/>
      <c r="E140" s="1259"/>
      <c r="F140" s="168"/>
      <c r="G140" s="255">
        <f t="shared" ref="G140:G146" si="18">+G139+G43</f>
        <v>0</v>
      </c>
      <c r="H140" s="255">
        <f>+H$16+H43</f>
        <v>0</v>
      </c>
      <c r="I140" s="255"/>
      <c r="J140" s="255"/>
      <c r="K140" s="255"/>
      <c r="L140" s="255"/>
      <c r="M140" s="255"/>
      <c r="N140" s="565"/>
      <c r="O140" s="565"/>
      <c r="P140" s="565"/>
      <c r="R140" s="991">
        <f t="shared" si="17"/>
        <v>0</v>
      </c>
    </row>
    <row r="141" spans="2:18" ht="28.5" customHeight="1" x14ac:dyDescent="0.25">
      <c r="B141" s="1257" t="str">
        <f>"per 31/12/"&amp;$I$13</f>
        <v>per 31/12/2017</v>
      </c>
      <c r="C141" s="1258"/>
      <c r="D141" s="1258"/>
      <c r="E141" s="1259"/>
      <c r="F141" s="168"/>
      <c r="G141" s="255">
        <f t="shared" si="18"/>
        <v>0</v>
      </c>
      <c r="H141" s="255">
        <f t="shared" ref="H141:H146" si="19">+H140+H44</f>
        <v>0</v>
      </c>
      <c r="I141" s="255">
        <f>+I$16+I44</f>
        <v>0</v>
      </c>
      <c r="J141" s="255"/>
      <c r="K141" s="255"/>
      <c r="L141" s="255"/>
      <c r="M141" s="255"/>
      <c r="N141" s="565"/>
      <c r="O141" s="565"/>
      <c r="P141" s="565"/>
      <c r="R141" s="991">
        <f t="shared" si="17"/>
        <v>0</v>
      </c>
    </row>
    <row r="142" spans="2:18" ht="28.5" customHeight="1" x14ac:dyDescent="0.25">
      <c r="B142" s="1257" t="str">
        <f>"per 31/12/"&amp;$J$13</f>
        <v>per 31/12/2018</v>
      </c>
      <c r="C142" s="1258"/>
      <c r="D142" s="1258"/>
      <c r="E142" s="1259"/>
      <c r="F142" s="168"/>
      <c r="G142" s="255">
        <f t="shared" si="18"/>
        <v>0</v>
      </c>
      <c r="H142" s="255">
        <f t="shared" si="19"/>
        <v>0</v>
      </c>
      <c r="I142" s="255">
        <f>+I141+I45</f>
        <v>0</v>
      </c>
      <c r="J142" s="255">
        <f>+J$16+J45</f>
        <v>0</v>
      </c>
      <c r="K142" s="255"/>
      <c r="L142" s="255"/>
      <c r="M142" s="255"/>
      <c r="N142" s="565"/>
      <c r="O142" s="565"/>
      <c r="P142" s="565"/>
      <c r="R142" s="991">
        <f t="shared" si="17"/>
        <v>0</v>
      </c>
    </row>
    <row r="143" spans="2:18" ht="28.5" customHeight="1" x14ac:dyDescent="0.25">
      <c r="B143" s="1257" t="str">
        <f>"per 31/12/"&amp;$K$13</f>
        <v>per 31/12/2019</v>
      </c>
      <c r="C143" s="1258"/>
      <c r="D143" s="1258"/>
      <c r="E143" s="1259"/>
      <c r="F143" s="168"/>
      <c r="G143" s="255">
        <f t="shared" si="18"/>
        <v>0</v>
      </c>
      <c r="H143" s="255">
        <f t="shared" si="19"/>
        <v>0</v>
      </c>
      <c r="I143" s="255">
        <f>+I142+I46</f>
        <v>0</v>
      </c>
      <c r="J143" s="255">
        <f>+J142+J46</f>
        <v>0</v>
      </c>
      <c r="K143" s="255">
        <f>+K$16+K46</f>
        <v>0</v>
      </c>
      <c r="L143" s="255"/>
      <c r="M143" s="255"/>
      <c r="N143" s="565"/>
      <c r="O143" s="565"/>
      <c r="P143" s="565"/>
      <c r="R143" s="991">
        <f t="shared" si="17"/>
        <v>0</v>
      </c>
    </row>
    <row r="144" spans="2:18" ht="28.5" customHeight="1" x14ac:dyDescent="0.25">
      <c r="B144" s="1257" t="str">
        <f>"per 31/12/"&amp;$L$13</f>
        <v>per 31/12/2020</v>
      </c>
      <c r="C144" s="1258"/>
      <c r="D144" s="1258"/>
      <c r="E144" s="1259"/>
      <c r="F144" s="168"/>
      <c r="G144" s="255">
        <f t="shared" si="18"/>
        <v>0</v>
      </c>
      <c r="H144" s="255">
        <f t="shared" si="19"/>
        <v>0</v>
      </c>
      <c r="I144" s="255">
        <f>+I143+I47</f>
        <v>0</v>
      </c>
      <c r="J144" s="255">
        <f>+J143+J47</f>
        <v>0</v>
      </c>
      <c r="K144" s="255">
        <f>+K143+K47</f>
        <v>0</v>
      </c>
      <c r="L144" s="255">
        <f>+L$16+L47</f>
        <v>0</v>
      </c>
      <c r="M144" s="255"/>
      <c r="N144" s="565"/>
      <c r="O144" s="565"/>
      <c r="P144" s="565"/>
      <c r="R144" s="991">
        <f t="shared" si="17"/>
        <v>0</v>
      </c>
    </row>
    <row r="145" spans="2:18" ht="28.5" customHeight="1" x14ac:dyDescent="0.25">
      <c r="B145" s="1257" t="str">
        <f>"per 31/12/"&amp;$M$13</f>
        <v>per 31/12/2021</v>
      </c>
      <c r="C145" s="1258"/>
      <c r="D145" s="1258"/>
      <c r="E145" s="1259"/>
      <c r="F145" s="168"/>
      <c r="G145" s="255">
        <f t="shared" si="18"/>
        <v>0</v>
      </c>
      <c r="H145" s="255">
        <f t="shared" si="19"/>
        <v>0</v>
      </c>
      <c r="I145" s="255">
        <f>+I144+I48</f>
        <v>0</v>
      </c>
      <c r="J145" s="255">
        <f>+J144+J48</f>
        <v>0</v>
      </c>
      <c r="K145" s="255">
        <f>+K144+K48</f>
        <v>0</v>
      </c>
      <c r="L145" s="255">
        <f>+L144+L48</f>
        <v>0</v>
      </c>
      <c r="M145" s="255">
        <f>+M$16+M48</f>
        <v>0</v>
      </c>
      <c r="N145" s="565"/>
      <c r="O145" s="565"/>
      <c r="P145" s="565"/>
      <c r="R145" s="991">
        <f t="shared" si="17"/>
        <v>0</v>
      </c>
    </row>
    <row r="146" spans="2:18" ht="28.5" customHeight="1" x14ac:dyDescent="0.25">
      <c r="B146" s="1248" t="str">
        <f>"per 31/12/"&amp;$N$13</f>
        <v>per 31/12/2022</v>
      </c>
      <c r="C146" s="1249"/>
      <c r="D146" s="1249"/>
      <c r="E146" s="1250"/>
      <c r="F146" s="314"/>
      <c r="G146" s="565">
        <f t="shared" si="18"/>
        <v>0</v>
      </c>
      <c r="H146" s="565">
        <f t="shared" si="19"/>
        <v>0</v>
      </c>
      <c r="I146" s="565">
        <f>+I145+I49</f>
        <v>0</v>
      </c>
      <c r="J146" s="565">
        <f>+J145+J49</f>
        <v>0</v>
      </c>
      <c r="K146" s="565">
        <f>+K145+K49</f>
        <v>0</v>
      </c>
      <c r="L146" s="565">
        <f>+L145+L49</f>
        <v>0</v>
      </c>
      <c r="M146" s="565">
        <f>+M145+M49</f>
        <v>0</v>
      </c>
      <c r="N146" s="565">
        <f>+N$16+N49</f>
        <v>0</v>
      </c>
      <c r="O146" s="565"/>
      <c r="P146" s="565"/>
      <c r="Q146" s="845"/>
      <c r="R146" s="994">
        <f t="shared" si="17"/>
        <v>0</v>
      </c>
    </row>
    <row r="147" spans="2:18" ht="28.5" customHeight="1" x14ac:dyDescent="0.25">
      <c r="B147" s="1248" t="str">
        <f>"per 31/12/"&amp;$O$13</f>
        <v>per 31/12/2023</v>
      </c>
      <c r="C147" s="1249"/>
      <c r="D147" s="1249"/>
      <c r="E147" s="1250"/>
      <c r="F147" s="314"/>
      <c r="G147" s="565"/>
      <c r="H147" s="565"/>
      <c r="I147" s="565"/>
      <c r="J147" s="565"/>
      <c r="K147" s="565"/>
      <c r="L147" s="565">
        <f>+L146+L50</f>
        <v>0</v>
      </c>
      <c r="M147" s="565">
        <f>+M146+M50</f>
        <v>0</v>
      </c>
      <c r="N147" s="565">
        <f>+N146+N50</f>
        <v>0</v>
      </c>
      <c r="O147" s="565">
        <f>+O$16+O50</f>
        <v>0</v>
      </c>
      <c r="P147" s="565"/>
      <c r="Q147" s="845"/>
      <c r="R147" s="994">
        <f t="shared" si="17"/>
        <v>0</v>
      </c>
    </row>
    <row r="148" spans="2:18" ht="28.5" customHeight="1" x14ac:dyDescent="0.25">
      <c r="B148" s="1248" t="str">
        <f>"per 31/12/"&amp;$P$13</f>
        <v>per 31/12/2024</v>
      </c>
      <c r="C148" s="1249"/>
      <c r="D148" s="1249"/>
      <c r="E148" s="1250"/>
      <c r="F148" s="314"/>
      <c r="G148" s="565"/>
      <c r="H148" s="565"/>
      <c r="I148" s="565"/>
      <c r="J148" s="565"/>
      <c r="K148" s="565"/>
      <c r="L148" s="565"/>
      <c r="M148" s="565">
        <f>+M147+M51</f>
        <v>0</v>
      </c>
      <c r="N148" s="565">
        <f>+N147+N51</f>
        <v>0</v>
      </c>
      <c r="O148" s="565">
        <f>+O147+O51</f>
        <v>0</v>
      </c>
      <c r="P148" s="565">
        <f>+P$16+P51</f>
        <v>0</v>
      </c>
      <c r="Q148" s="845"/>
      <c r="R148" s="994">
        <f t="shared" si="17"/>
        <v>0</v>
      </c>
    </row>
    <row r="149" spans="2:18" ht="30" customHeight="1" x14ac:dyDescent="0.25">
      <c r="B149" s="1254" t="s">
        <v>205</v>
      </c>
      <c r="C149" s="1255"/>
      <c r="D149" s="1255"/>
      <c r="E149" s="1256"/>
      <c r="F149" s="168"/>
      <c r="G149" s="992"/>
      <c r="H149" s="992"/>
      <c r="I149" s="992"/>
      <c r="J149" s="992"/>
      <c r="K149" s="992"/>
      <c r="L149" s="992"/>
      <c r="M149" s="992"/>
      <c r="N149" s="993"/>
      <c r="O149" s="993"/>
      <c r="P149" s="993"/>
      <c r="R149" s="992"/>
    </row>
    <row r="150" spans="2:18" ht="28.5" customHeight="1" x14ac:dyDescent="0.25">
      <c r="B150" s="1257" t="str">
        <f>"per 31/12/"&amp;$G$13</f>
        <v>per 31/12/2015</v>
      </c>
      <c r="C150" s="1258"/>
      <c r="D150" s="1258"/>
      <c r="E150" s="1259"/>
      <c r="F150" s="168"/>
      <c r="G150" s="255">
        <f>+G$17+G53</f>
        <v>0</v>
      </c>
      <c r="H150" s="255"/>
      <c r="I150" s="255"/>
      <c r="J150" s="255"/>
      <c r="K150" s="255"/>
      <c r="L150" s="255"/>
      <c r="M150" s="255"/>
      <c r="N150" s="565"/>
      <c r="O150" s="565"/>
      <c r="P150" s="565"/>
      <c r="R150" s="991">
        <f t="shared" ref="R150:R158" si="20">SUM(G150:P150)</f>
        <v>0</v>
      </c>
    </row>
    <row r="151" spans="2:18" ht="28.5" customHeight="1" x14ac:dyDescent="0.25">
      <c r="B151" s="1257" t="str">
        <f>"per 31/12/"&amp;$H$13</f>
        <v>per 31/12/2016</v>
      </c>
      <c r="C151" s="1258"/>
      <c r="D151" s="1258"/>
      <c r="E151" s="1259"/>
      <c r="F151" s="168"/>
      <c r="G151" s="255">
        <f t="shared" ref="G151:G157" si="21">+G150+G54</f>
        <v>0</v>
      </c>
      <c r="H151" s="255">
        <f>+H$17+H54</f>
        <v>0</v>
      </c>
      <c r="I151" s="255"/>
      <c r="J151" s="255"/>
      <c r="K151" s="255"/>
      <c r="L151" s="255"/>
      <c r="M151" s="255"/>
      <c r="N151" s="565"/>
      <c r="O151" s="565"/>
      <c r="P151" s="565"/>
      <c r="R151" s="991">
        <f t="shared" si="20"/>
        <v>0</v>
      </c>
    </row>
    <row r="152" spans="2:18" ht="28.5" customHeight="1" x14ac:dyDescent="0.25">
      <c r="B152" s="1257" t="str">
        <f>"per 31/12/"&amp;$I$13</f>
        <v>per 31/12/2017</v>
      </c>
      <c r="C152" s="1258"/>
      <c r="D152" s="1258"/>
      <c r="E152" s="1259"/>
      <c r="F152" s="168"/>
      <c r="G152" s="255">
        <f t="shared" si="21"/>
        <v>0</v>
      </c>
      <c r="H152" s="255">
        <f t="shared" ref="H152:H157" si="22">+H151+H55</f>
        <v>0</v>
      </c>
      <c r="I152" s="255">
        <f>+I$17+I55</f>
        <v>0</v>
      </c>
      <c r="J152" s="255"/>
      <c r="K152" s="255"/>
      <c r="L152" s="255"/>
      <c r="M152" s="255"/>
      <c r="N152" s="565"/>
      <c r="O152" s="565"/>
      <c r="P152" s="565"/>
      <c r="R152" s="991">
        <f t="shared" si="20"/>
        <v>0</v>
      </c>
    </row>
    <row r="153" spans="2:18" ht="28.5" customHeight="1" x14ac:dyDescent="0.25">
      <c r="B153" s="1257" t="str">
        <f>"per 31/12/"&amp;$J$13</f>
        <v>per 31/12/2018</v>
      </c>
      <c r="C153" s="1258"/>
      <c r="D153" s="1258"/>
      <c r="E153" s="1259"/>
      <c r="F153" s="168"/>
      <c r="G153" s="255">
        <f t="shared" si="21"/>
        <v>0</v>
      </c>
      <c r="H153" s="255">
        <f t="shared" si="22"/>
        <v>0</v>
      </c>
      <c r="I153" s="255">
        <f>+I152+I56</f>
        <v>0</v>
      </c>
      <c r="J153" s="255">
        <f>+J$17+J56</f>
        <v>0</v>
      </c>
      <c r="K153" s="255"/>
      <c r="L153" s="255"/>
      <c r="M153" s="255"/>
      <c r="N153" s="565"/>
      <c r="O153" s="565"/>
      <c r="P153" s="565"/>
      <c r="R153" s="991">
        <f t="shared" si="20"/>
        <v>0</v>
      </c>
    </row>
    <row r="154" spans="2:18" ht="28.5" customHeight="1" x14ac:dyDescent="0.25">
      <c r="B154" s="1257" t="str">
        <f>"per 31/12/"&amp;$K$13</f>
        <v>per 31/12/2019</v>
      </c>
      <c r="C154" s="1258"/>
      <c r="D154" s="1258"/>
      <c r="E154" s="1259"/>
      <c r="F154" s="168"/>
      <c r="G154" s="255">
        <f t="shared" si="21"/>
        <v>0</v>
      </c>
      <c r="H154" s="255">
        <f t="shared" si="22"/>
        <v>0</v>
      </c>
      <c r="I154" s="255">
        <f>+I153+I57</f>
        <v>0</v>
      </c>
      <c r="J154" s="255">
        <f>+J153+J57</f>
        <v>0</v>
      </c>
      <c r="K154" s="255">
        <f>+K$17+K57</f>
        <v>0</v>
      </c>
      <c r="L154" s="255"/>
      <c r="M154" s="255"/>
      <c r="N154" s="565"/>
      <c r="O154" s="565"/>
      <c r="P154" s="565"/>
      <c r="R154" s="991">
        <f t="shared" si="20"/>
        <v>0</v>
      </c>
    </row>
    <row r="155" spans="2:18" ht="28.5" customHeight="1" x14ac:dyDescent="0.25">
      <c r="B155" s="1257" t="str">
        <f>"per 31/12/"&amp;$L$13</f>
        <v>per 31/12/2020</v>
      </c>
      <c r="C155" s="1258"/>
      <c r="D155" s="1258"/>
      <c r="E155" s="1259"/>
      <c r="F155" s="168"/>
      <c r="G155" s="255">
        <f t="shared" si="21"/>
        <v>0</v>
      </c>
      <c r="H155" s="255">
        <f t="shared" si="22"/>
        <v>0</v>
      </c>
      <c r="I155" s="255">
        <f>+I154+I58</f>
        <v>0</v>
      </c>
      <c r="J155" s="255">
        <f>+J154+J58</f>
        <v>0</v>
      </c>
      <c r="K155" s="255">
        <f>+K154+K58</f>
        <v>0</v>
      </c>
      <c r="L155" s="255">
        <f>+L$17+L58</f>
        <v>0</v>
      </c>
      <c r="M155" s="255"/>
      <c r="N155" s="565"/>
      <c r="O155" s="565"/>
      <c r="P155" s="565"/>
      <c r="R155" s="991">
        <f t="shared" si="20"/>
        <v>0</v>
      </c>
    </row>
    <row r="156" spans="2:18" ht="28.5" customHeight="1" x14ac:dyDescent="0.25">
      <c r="B156" s="1257" t="str">
        <f>"per 31/12/"&amp;$M$13</f>
        <v>per 31/12/2021</v>
      </c>
      <c r="C156" s="1258"/>
      <c r="D156" s="1258"/>
      <c r="E156" s="1259"/>
      <c r="F156" s="168"/>
      <c r="G156" s="255">
        <f t="shared" si="21"/>
        <v>0</v>
      </c>
      <c r="H156" s="255">
        <f t="shared" si="22"/>
        <v>0</v>
      </c>
      <c r="I156" s="255">
        <f>+I155+I59</f>
        <v>0</v>
      </c>
      <c r="J156" s="255">
        <f>+J155+J59</f>
        <v>0</v>
      </c>
      <c r="K156" s="255">
        <f>+K155+K59</f>
        <v>0</v>
      </c>
      <c r="L156" s="255">
        <f>+L155+L59</f>
        <v>0</v>
      </c>
      <c r="M156" s="565"/>
      <c r="N156" s="565"/>
      <c r="O156" s="565"/>
      <c r="P156" s="565"/>
      <c r="R156" s="991">
        <f t="shared" si="20"/>
        <v>0</v>
      </c>
    </row>
    <row r="157" spans="2:18" ht="28.5" customHeight="1" x14ac:dyDescent="0.25">
      <c r="B157" s="1248" t="str">
        <f>"per 31/12/"&amp;$N$13</f>
        <v>per 31/12/2022</v>
      </c>
      <c r="C157" s="1249"/>
      <c r="D157" s="1249"/>
      <c r="E157" s="1250"/>
      <c r="F157" s="314"/>
      <c r="G157" s="565">
        <f t="shared" si="21"/>
        <v>0</v>
      </c>
      <c r="H157" s="565">
        <f t="shared" si="22"/>
        <v>0</v>
      </c>
      <c r="I157" s="565">
        <f>+I156+I60</f>
        <v>0</v>
      </c>
      <c r="J157" s="565">
        <f>+J156+J60</f>
        <v>0</v>
      </c>
      <c r="K157" s="565">
        <f>+K156+K60</f>
        <v>0</v>
      </c>
      <c r="L157" s="565">
        <f>+L156+L60</f>
        <v>0</v>
      </c>
      <c r="M157" s="565"/>
      <c r="N157" s="565"/>
      <c r="O157" s="565"/>
      <c r="P157" s="565"/>
      <c r="Q157" s="845"/>
      <c r="R157" s="994">
        <f t="shared" si="20"/>
        <v>0</v>
      </c>
    </row>
    <row r="158" spans="2:18" ht="28.5" customHeight="1" x14ac:dyDescent="0.25">
      <c r="B158" s="1248" t="str">
        <f>"per 31/12/"&amp;$O$13</f>
        <v>per 31/12/2023</v>
      </c>
      <c r="C158" s="1249"/>
      <c r="D158" s="1249"/>
      <c r="E158" s="1250"/>
      <c r="F158" s="314"/>
      <c r="G158" s="565"/>
      <c r="H158" s="565"/>
      <c r="I158" s="565"/>
      <c r="J158" s="565"/>
      <c r="K158" s="565"/>
      <c r="L158" s="565">
        <f>+L157+L61</f>
        <v>0</v>
      </c>
      <c r="M158" s="565"/>
      <c r="N158" s="565"/>
      <c r="O158" s="565"/>
      <c r="P158" s="565"/>
      <c r="Q158" s="845"/>
      <c r="R158" s="994">
        <f t="shared" si="20"/>
        <v>0</v>
      </c>
    </row>
    <row r="159" spans="2:18" ht="28.5" customHeight="1" x14ac:dyDescent="0.25">
      <c r="B159" s="1248" t="str">
        <f>"per 31/12/"&amp;$P$13</f>
        <v>per 31/12/2024</v>
      </c>
      <c r="C159" s="1249"/>
      <c r="D159" s="1249"/>
      <c r="E159" s="1250"/>
      <c r="F159" s="314"/>
      <c r="G159" s="565"/>
      <c r="H159" s="565"/>
      <c r="I159" s="565"/>
      <c r="J159" s="565"/>
      <c r="K159" s="565"/>
      <c r="L159" s="565"/>
      <c r="M159" s="565"/>
      <c r="N159" s="565"/>
      <c r="O159" s="565"/>
      <c r="P159" s="565"/>
      <c r="Q159" s="845"/>
      <c r="R159" s="994"/>
    </row>
    <row r="160" spans="2:18" ht="30" customHeight="1" x14ac:dyDescent="0.25">
      <c r="B160" s="1254" t="s">
        <v>67</v>
      </c>
      <c r="C160" s="1255"/>
      <c r="D160" s="1255"/>
      <c r="E160" s="1256"/>
      <c r="F160" s="168"/>
      <c r="G160" s="992"/>
      <c r="H160" s="992"/>
      <c r="I160" s="992"/>
      <c r="J160" s="992"/>
      <c r="K160" s="992"/>
      <c r="L160" s="992"/>
      <c r="M160" s="992"/>
      <c r="N160" s="993"/>
      <c r="O160" s="993"/>
      <c r="P160" s="993"/>
      <c r="R160" s="992"/>
    </row>
    <row r="161" spans="2:18" ht="28.5" customHeight="1" x14ac:dyDescent="0.25">
      <c r="B161" s="1257" t="str">
        <f>"per 31/12/"&amp;$G$13</f>
        <v>per 31/12/2015</v>
      </c>
      <c r="C161" s="1258"/>
      <c r="D161" s="1258"/>
      <c r="E161" s="1259"/>
      <c r="F161" s="168"/>
      <c r="G161" s="255">
        <f>+G$18+G64</f>
        <v>0</v>
      </c>
      <c r="H161" s="255"/>
      <c r="I161" s="255"/>
      <c r="J161" s="255"/>
      <c r="K161" s="255"/>
      <c r="L161" s="255"/>
      <c r="M161" s="255"/>
      <c r="N161" s="565"/>
      <c r="O161" s="565"/>
      <c r="P161" s="565"/>
      <c r="R161" s="991">
        <f t="shared" ref="R161:R170" si="23">SUM(G161:P161)</f>
        <v>0</v>
      </c>
    </row>
    <row r="162" spans="2:18" ht="28.5" customHeight="1" x14ac:dyDescent="0.25">
      <c r="B162" s="1257" t="str">
        <f>"per 31/12/"&amp;$H$13</f>
        <v>per 31/12/2016</v>
      </c>
      <c r="C162" s="1258"/>
      <c r="D162" s="1258"/>
      <c r="E162" s="1259"/>
      <c r="F162" s="168"/>
      <c r="G162" s="255">
        <f t="shared" ref="G162:G168" si="24">+G161+G65</f>
        <v>0</v>
      </c>
      <c r="H162" s="255">
        <f>+H$18+H65</f>
        <v>0</v>
      </c>
      <c r="I162" s="255"/>
      <c r="J162" s="255"/>
      <c r="K162" s="255"/>
      <c r="L162" s="255"/>
      <c r="M162" s="255"/>
      <c r="N162" s="565"/>
      <c r="O162" s="565"/>
      <c r="P162" s="565"/>
      <c r="R162" s="991">
        <f t="shared" si="23"/>
        <v>0</v>
      </c>
    </row>
    <row r="163" spans="2:18" ht="28.5" customHeight="1" x14ac:dyDescent="0.25">
      <c r="B163" s="1257" t="str">
        <f>"per 31/12/"&amp;$I$13</f>
        <v>per 31/12/2017</v>
      </c>
      <c r="C163" s="1258"/>
      <c r="D163" s="1258"/>
      <c r="E163" s="1259"/>
      <c r="F163" s="168"/>
      <c r="G163" s="255">
        <f t="shared" si="24"/>
        <v>0</v>
      </c>
      <c r="H163" s="255">
        <f t="shared" ref="H163:H168" si="25">+H162+H66</f>
        <v>0</v>
      </c>
      <c r="I163" s="255">
        <f>+I$18+I66</f>
        <v>0</v>
      </c>
      <c r="J163" s="255"/>
      <c r="K163" s="255"/>
      <c r="L163" s="255"/>
      <c r="M163" s="255"/>
      <c r="N163" s="565"/>
      <c r="O163" s="565"/>
      <c r="P163" s="565"/>
      <c r="R163" s="991">
        <f t="shared" si="23"/>
        <v>0</v>
      </c>
    </row>
    <row r="164" spans="2:18" ht="28.5" customHeight="1" x14ac:dyDescent="0.25">
      <c r="B164" s="1257" t="str">
        <f>"per 31/12/"&amp;$J$13</f>
        <v>per 31/12/2018</v>
      </c>
      <c r="C164" s="1258"/>
      <c r="D164" s="1258"/>
      <c r="E164" s="1259"/>
      <c r="F164" s="168"/>
      <c r="G164" s="255">
        <f t="shared" si="24"/>
        <v>0</v>
      </c>
      <c r="H164" s="255">
        <f t="shared" si="25"/>
        <v>0</v>
      </c>
      <c r="I164" s="255">
        <f>+I163+I67</f>
        <v>0</v>
      </c>
      <c r="J164" s="255">
        <f>+J$18+J67</f>
        <v>0</v>
      </c>
      <c r="K164" s="255"/>
      <c r="L164" s="255"/>
      <c r="M164" s="255"/>
      <c r="N164" s="565"/>
      <c r="O164" s="565"/>
      <c r="P164" s="565"/>
      <c r="R164" s="991">
        <f t="shared" si="23"/>
        <v>0</v>
      </c>
    </row>
    <row r="165" spans="2:18" ht="28.5" customHeight="1" x14ac:dyDescent="0.25">
      <c r="B165" s="1257" t="str">
        <f>"per 31/12/"&amp;$K$13</f>
        <v>per 31/12/2019</v>
      </c>
      <c r="C165" s="1258"/>
      <c r="D165" s="1258"/>
      <c r="E165" s="1259"/>
      <c r="F165" s="168"/>
      <c r="G165" s="255">
        <f t="shared" si="24"/>
        <v>0</v>
      </c>
      <c r="H165" s="255">
        <f t="shared" si="25"/>
        <v>0</v>
      </c>
      <c r="I165" s="255">
        <f>+I164+I68</f>
        <v>0</v>
      </c>
      <c r="J165" s="255">
        <f>+J164+J68</f>
        <v>0</v>
      </c>
      <c r="K165" s="255">
        <f>+K$18+K68</f>
        <v>0</v>
      </c>
      <c r="L165" s="255"/>
      <c r="M165" s="255"/>
      <c r="N165" s="565"/>
      <c r="O165" s="565"/>
      <c r="P165" s="565"/>
      <c r="R165" s="991">
        <f t="shared" si="23"/>
        <v>0</v>
      </c>
    </row>
    <row r="166" spans="2:18" ht="28.5" customHeight="1" x14ac:dyDescent="0.25">
      <c r="B166" s="1257" t="str">
        <f>"per 31/12/"&amp;$L$13</f>
        <v>per 31/12/2020</v>
      </c>
      <c r="C166" s="1258"/>
      <c r="D166" s="1258"/>
      <c r="E166" s="1259"/>
      <c r="F166" s="168"/>
      <c r="G166" s="255">
        <f t="shared" si="24"/>
        <v>0</v>
      </c>
      <c r="H166" s="255">
        <f t="shared" si="25"/>
        <v>0</v>
      </c>
      <c r="I166" s="255">
        <f>+I165+I69</f>
        <v>0</v>
      </c>
      <c r="J166" s="255">
        <f>+J165+J69</f>
        <v>0</v>
      </c>
      <c r="K166" s="255">
        <f>+K165+K69</f>
        <v>0</v>
      </c>
      <c r="L166" s="255">
        <f>+L$18+L69</f>
        <v>0</v>
      </c>
      <c r="M166" s="255"/>
      <c r="N166" s="565"/>
      <c r="O166" s="565"/>
      <c r="P166" s="565"/>
      <c r="R166" s="991">
        <f t="shared" si="23"/>
        <v>0</v>
      </c>
    </row>
    <row r="167" spans="2:18" ht="28.5" customHeight="1" x14ac:dyDescent="0.25">
      <c r="B167" s="1257" t="str">
        <f>"per 31/12/"&amp;$M$13</f>
        <v>per 31/12/2021</v>
      </c>
      <c r="C167" s="1258"/>
      <c r="D167" s="1258"/>
      <c r="E167" s="1259"/>
      <c r="F167" s="168"/>
      <c r="G167" s="255">
        <f t="shared" si="24"/>
        <v>0</v>
      </c>
      <c r="H167" s="255">
        <f t="shared" si="25"/>
        <v>0</v>
      </c>
      <c r="I167" s="255">
        <f>+I166+I70</f>
        <v>0</v>
      </c>
      <c r="J167" s="255">
        <f>+J166+J70</f>
        <v>0</v>
      </c>
      <c r="K167" s="255">
        <f>+K166+K70</f>
        <v>0</v>
      </c>
      <c r="L167" s="255">
        <f>+L166+L70</f>
        <v>0</v>
      </c>
      <c r="M167" s="255">
        <f>+M$18+M70</f>
        <v>0</v>
      </c>
      <c r="N167" s="565"/>
      <c r="O167" s="565"/>
      <c r="P167" s="565"/>
      <c r="R167" s="991">
        <f t="shared" si="23"/>
        <v>0</v>
      </c>
    </row>
    <row r="168" spans="2:18" ht="28.5" customHeight="1" x14ac:dyDescent="0.25">
      <c r="B168" s="1248" t="str">
        <f>"per 31/12/"&amp;$N$13</f>
        <v>per 31/12/2022</v>
      </c>
      <c r="C168" s="1249"/>
      <c r="D168" s="1249"/>
      <c r="E168" s="1250"/>
      <c r="F168" s="314"/>
      <c r="G168" s="565">
        <f t="shared" si="24"/>
        <v>0</v>
      </c>
      <c r="H168" s="565">
        <f t="shared" si="25"/>
        <v>0</v>
      </c>
      <c r="I168" s="565">
        <f>+I167+I71</f>
        <v>0</v>
      </c>
      <c r="J168" s="565">
        <f>+J167+J71</f>
        <v>0</v>
      </c>
      <c r="K168" s="565">
        <f>+K167+K71</f>
        <v>0</v>
      </c>
      <c r="L168" s="565">
        <f>+L167+L71</f>
        <v>0</v>
      </c>
      <c r="M168" s="565">
        <f>+M167+M71</f>
        <v>0</v>
      </c>
      <c r="N168" s="565">
        <f>+N$18+N71</f>
        <v>0</v>
      </c>
      <c r="O168" s="565"/>
      <c r="P168" s="565"/>
      <c r="Q168" s="845"/>
      <c r="R168" s="994">
        <f t="shared" si="23"/>
        <v>0</v>
      </c>
    </row>
    <row r="169" spans="2:18" ht="28.5" customHeight="1" x14ac:dyDescent="0.25">
      <c r="B169" s="1248" t="str">
        <f>"per 31/12/"&amp;$O$13</f>
        <v>per 31/12/2023</v>
      </c>
      <c r="C169" s="1249"/>
      <c r="D169" s="1249"/>
      <c r="E169" s="1250"/>
      <c r="F169" s="314"/>
      <c r="G169" s="565"/>
      <c r="H169" s="565"/>
      <c r="I169" s="565"/>
      <c r="J169" s="565"/>
      <c r="K169" s="565"/>
      <c r="L169" s="565">
        <f>+L168+L72</f>
        <v>0</v>
      </c>
      <c r="M169" s="565">
        <f>+M168+M72</f>
        <v>0</v>
      </c>
      <c r="N169" s="565">
        <f>+N168+N72</f>
        <v>0</v>
      </c>
      <c r="O169" s="565">
        <f>+O$18+O72</f>
        <v>0</v>
      </c>
      <c r="P169" s="565"/>
      <c r="Q169" s="845"/>
      <c r="R169" s="994">
        <f t="shared" si="23"/>
        <v>0</v>
      </c>
    </row>
    <row r="170" spans="2:18" ht="28.5" customHeight="1" x14ac:dyDescent="0.25">
      <c r="B170" s="1248" t="str">
        <f>"per 31/12/"&amp;$P$13</f>
        <v>per 31/12/2024</v>
      </c>
      <c r="C170" s="1249"/>
      <c r="D170" s="1249"/>
      <c r="E170" s="1250"/>
      <c r="F170" s="314"/>
      <c r="G170" s="565"/>
      <c r="H170" s="565"/>
      <c r="I170" s="565"/>
      <c r="J170" s="565"/>
      <c r="K170" s="565"/>
      <c r="L170" s="565"/>
      <c r="M170" s="565">
        <f>+M169+M73</f>
        <v>0</v>
      </c>
      <c r="N170" s="565">
        <f>+N169+N73</f>
        <v>0</v>
      </c>
      <c r="O170" s="565">
        <f>+O169+O73</f>
        <v>0</v>
      </c>
      <c r="P170" s="565">
        <f>+P$18+P73</f>
        <v>0</v>
      </c>
      <c r="Q170" s="845"/>
      <c r="R170" s="994">
        <f t="shared" si="23"/>
        <v>0</v>
      </c>
    </row>
    <row r="171" spans="2:18" ht="27" customHeight="1" x14ac:dyDescent="0.25">
      <c r="B171" s="1260" t="s">
        <v>119</v>
      </c>
      <c r="C171" s="1260"/>
      <c r="D171" s="1260"/>
      <c r="E171" s="1260"/>
      <c r="F171" s="168"/>
      <c r="G171" s="992"/>
      <c r="H171" s="992"/>
      <c r="I171" s="992"/>
      <c r="J171" s="992"/>
      <c r="K171" s="992"/>
      <c r="L171" s="992"/>
      <c r="M171" s="992"/>
      <c r="N171" s="993"/>
      <c r="O171" s="993"/>
      <c r="P171" s="993"/>
      <c r="R171" s="992"/>
    </row>
    <row r="172" spans="2:18" ht="28.5" customHeight="1" x14ac:dyDescent="0.25">
      <c r="B172" s="1257" t="str">
        <f>"per 31/12/"&amp;$G$13</f>
        <v>per 31/12/2015</v>
      </c>
      <c r="C172" s="1258"/>
      <c r="D172" s="1258"/>
      <c r="E172" s="1259"/>
      <c r="F172" s="168"/>
      <c r="G172" s="255">
        <f>+G$19+G75</f>
        <v>0</v>
      </c>
      <c r="H172" s="255"/>
      <c r="I172" s="255"/>
      <c r="J172" s="255"/>
      <c r="K172" s="255"/>
      <c r="L172" s="255"/>
      <c r="M172" s="255"/>
      <c r="N172" s="565"/>
      <c r="O172" s="565"/>
      <c r="P172" s="565"/>
      <c r="R172" s="991">
        <f t="shared" ref="R172:R180" si="26">SUM(G172:P172)</f>
        <v>0</v>
      </c>
    </row>
    <row r="173" spans="2:18" ht="28.5" customHeight="1" x14ac:dyDescent="0.25">
      <c r="B173" s="1257" t="str">
        <f>"per 31/12/"&amp;$H$13</f>
        <v>per 31/12/2016</v>
      </c>
      <c r="C173" s="1258"/>
      <c r="D173" s="1258"/>
      <c r="E173" s="1259"/>
      <c r="F173" s="168"/>
      <c r="G173" s="255">
        <f t="shared" ref="G173:G179" si="27">+G172+G76</f>
        <v>0</v>
      </c>
      <c r="H173" s="255">
        <f>+H$19+H76</f>
        <v>0</v>
      </c>
      <c r="I173" s="255"/>
      <c r="J173" s="255"/>
      <c r="K173" s="255"/>
      <c r="L173" s="255"/>
      <c r="M173" s="255"/>
      <c r="N173" s="565"/>
      <c r="O173" s="565"/>
      <c r="P173" s="565"/>
      <c r="R173" s="991">
        <f t="shared" si="26"/>
        <v>0</v>
      </c>
    </row>
    <row r="174" spans="2:18" ht="28.5" customHeight="1" x14ac:dyDescent="0.25">
      <c r="B174" s="1257" t="str">
        <f>"per 31/12/"&amp;$I$13</f>
        <v>per 31/12/2017</v>
      </c>
      <c r="C174" s="1258"/>
      <c r="D174" s="1258"/>
      <c r="E174" s="1259"/>
      <c r="F174" s="168"/>
      <c r="G174" s="255">
        <f t="shared" si="27"/>
        <v>0</v>
      </c>
      <c r="H174" s="255">
        <f t="shared" ref="H174:H179" si="28">+H173+H77</f>
        <v>0</v>
      </c>
      <c r="I174" s="255">
        <f>+I$19+I77</f>
        <v>0</v>
      </c>
      <c r="J174" s="255"/>
      <c r="K174" s="255"/>
      <c r="L174" s="255"/>
      <c r="M174" s="255"/>
      <c r="N174" s="565"/>
      <c r="O174" s="565"/>
      <c r="P174" s="565"/>
      <c r="R174" s="991">
        <f t="shared" si="26"/>
        <v>0</v>
      </c>
    </row>
    <row r="175" spans="2:18" ht="28.5" customHeight="1" x14ac:dyDescent="0.25">
      <c r="B175" s="1257" t="str">
        <f>"per 31/12/"&amp;$J$13</f>
        <v>per 31/12/2018</v>
      </c>
      <c r="C175" s="1258"/>
      <c r="D175" s="1258"/>
      <c r="E175" s="1259"/>
      <c r="F175" s="168"/>
      <c r="G175" s="255">
        <f t="shared" si="27"/>
        <v>0</v>
      </c>
      <c r="H175" s="255">
        <f t="shared" si="28"/>
        <v>0</v>
      </c>
      <c r="I175" s="255">
        <f>+I174+I78</f>
        <v>0</v>
      </c>
      <c r="J175" s="255">
        <f>+J$19+J78</f>
        <v>0</v>
      </c>
      <c r="K175" s="255"/>
      <c r="L175" s="255"/>
      <c r="M175" s="255"/>
      <c r="N175" s="565"/>
      <c r="O175" s="565"/>
      <c r="P175" s="565"/>
      <c r="R175" s="991">
        <f t="shared" si="26"/>
        <v>0</v>
      </c>
    </row>
    <row r="176" spans="2:18" ht="28.5" customHeight="1" x14ac:dyDescent="0.25">
      <c r="B176" s="1257" t="str">
        <f>"per 31/12/"&amp;$K$13</f>
        <v>per 31/12/2019</v>
      </c>
      <c r="C176" s="1258"/>
      <c r="D176" s="1258"/>
      <c r="E176" s="1259"/>
      <c r="F176" s="168"/>
      <c r="G176" s="255">
        <f t="shared" si="27"/>
        <v>0</v>
      </c>
      <c r="H176" s="255">
        <f t="shared" si="28"/>
        <v>0</v>
      </c>
      <c r="I176" s="255">
        <f>+I175+I79</f>
        <v>0</v>
      </c>
      <c r="J176" s="255">
        <f>+J175+J79</f>
        <v>0</v>
      </c>
      <c r="K176" s="255">
        <f>+K$19+K79</f>
        <v>0</v>
      </c>
      <c r="L176" s="255"/>
      <c r="M176" s="255"/>
      <c r="N176" s="565"/>
      <c r="O176" s="565"/>
      <c r="P176" s="565"/>
      <c r="R176" s="991">
        <f t="shared" si="26"/>
        <v>0</v>
      </c>
    </row>
    <row r="177" spans="2:18" ht="28.5" customHeight="1" x14ac:dyDescent="0.25">
      <c r="B177" s="1257" t="str">
        <f>"per 31/12/"&amp;$L$13</f>
        <v>per 31/12/2020</v>
      </c>
      <c r="C177" s="1258"/>
      <c r="D177" s="1258"/>
      <c r="E177" s="1259"/>
      <c r="F177" s="168"/>
      <c r="G177" s="255">
        <f t="shared" si="27"/>
        <v>0</v>
      </c>
      <c r="H177" s="255">
        <f t="shared" si="28"/>
        <v>0</v>
      </c>
      <c r="I177" s="255">
        <f>+I176+I80</f>
        <v>0</v>
      </c>
      <c r="J177" s="255">
        <f>+J176+J80</f>
        <v>0</v>
      </c>
      <c r="K177" s="255">
        <f>+K176+K80</f>
        <v>0</v>
      </c>
      <c r="L177" s="255">
        <f>+L$19+L80</f>
        <v>0</v>
      </c>
      <c r="M177" s="255"/>
      <c r="N177" s="565"/>
      <c r="O177" s="565"/>
      <c r="P177" s="565"/>
      <c r="R177" s="991">
        <f t="shared" si="26"/>
        <v>0</v>
      </c>
    </row>
    <row r="178" spans="2:18" ht="28.5" customHeight="1" x14ac:dyDescent="0.25">
      <c r="B178" s="1257" t="str">
        <f>"per 31/12/"&amp;$M$13</f>
        <v>per 31/12/2021</v>
      </c>
      <c r="C178" s="1258"/>
      <c r="D178" s="1258"/>
      <c r="E178" s="1259"/>
      <c r="F178" s="168"/>
      <c r="G178" s="255">
        <f t="shared" si="27"/>
        <v>0</v>
      </c>
      <c r="H178" s="255">
        <f t="shared" si="28"/>
        <v>0</v>
      </c>
      <c r="I178" s="255">
        <f>+I177+I81</f>
        <v>0</v>
      </c>
      <c r="J178" s="255">
        <f>+J177+J81</f>
        <v>0</v>
      </c>
      <c r="K178" s="255">
        <f>+K177+K81</f>
        <v>0</v>
      </c>
      <c r="L178" s="255">
        <f>+L177+L81</f>
        <v>0</v>
      </c>
      <c r="M178" s="565"/>
      <c r="N178" s="565"/>
      <c r="O178" s="565"/>
      <c r="P178" s="565"/>
      <c r="R178" s="991">
        <f t="shared" si="26"/>
        <v>0</v>
      </c>
    </row>
    <row r="179" spans="2:18" ht="28.5" customHeight="1" x14ac:dyDescent="0.25">
      <c r="B179" s="1248" t="str">
        <f>"per 31/12/"&amp;$N$13</f>
        <v>per 31/12/2022</v>
      </c>
      <c r="C179" s="1249"/>
      <c r="D179" s="1249"/>
      <c r="E179" s="1250"/>
      <c r="F179" s="314"/>
      <c r="G179" s="565">
        <f t="shared" si="27"/>
        <v>0</v>
      </c>
      <c r="H179" s="565">
        <f t="shared" si="28"/>
        <v>0</v>
      </c>
      <c r="I179" s="565">
        <f>+I178+I82</f>
        <v>0</v>
      </c>
      <c r="J179" s="565">
        <f>+J178+J82</f>
        <v>0</v>
      </c>
      <c r="K179" s="565">
        <f>+K178+K82</f>
        <v>0</v>
      </c>
      <c r="L179" s="565">
        <f>+L178+L82</f>
        <v>0</v>
      </c>
      <c r="M179" s="565"/>
      <c r="N179" s="565"/>
      <c r="O179" s="565"/>
      <c r="P179" s="565"/>
      <c r="Q179" s="845"/>
      <c r="R179" s="994">
        <f t="shared" si="26"/>
        <v>0</v>
      </c>
    </row>
    <row r="180" spans="2:18" ht="28.5" customHeight="1" x14ac:dyDescent="0.25">
      <c r="B180" s="1248" t="str">
        <f>"per 31/12/"&amp;$O$13</f>
        <v>per 31/12/2023</v>
      </c>
      <c r="C180" s="1249"/>
      <c r="D180" s="1249"/>
      <c r="E180" s="1250"/>
      <c r="F180" s="314"/>
      <c r="G180" s="565"/>
      <c r="H180" s="565"/>
      <c r="I180" s="565"/>
      <c r="J180" s="565"/>
      <c r="K180" s="565"/>
      <c r="L180" s="565">
        <f>+L179+L83</f>
        <v>0</v>
      </c>
      <c r="M180" s="565"/>
      <c r="N180" s="565"/>
      <c r="O180" s="565"/>
      <c r="P180" s="565"/>
      <c r="Q180" s="845"/>
      <c r="R180" s="994">
        <f t="shared" si="26"/>
        <v>0</v>
      </c>
    </row>
    <row r="181" spans="2:18" ht="28.5" customHeight="1" x14ac:dyDescent="0.25">
      <c r="B181" s="1248" t="str">
        <f>"per 31/12/"&amp;$P$13</f>
        <v>per 31/12/2024</v>
      </c>
      <c r="C181" s="1249"/>
      <c r="D181" s="1249"/>
      <c r="E181" s="1250"/>
      <c r="F181" s="314"/>
      <c r="G181" s="565"/>
      <c r="H181" s="565"/>
      <c r="I181" s="565"/>
      <c r="J181" s="565"/>
      <c r="K181" s="565"/>
      <c r="L181" s="565"/>
      <c r="M181" s="565"/>
      <c r="N181" s="565"/>
      <c r="O181" s="565"/>
      <c r="P181" s="565"/>
      <c r="Q181" s="845"/>
      <c r="R181" s="994"/>
    </row>
    <row r="182" spans="2:18" ht="26.25" customHeight="1" x14ac:dyDescent="0.25">
      <c r="B182" s="1254" t="s">
        <v>118</v>
      </c>
      <c r="C182" s="1255"/>
      <c r="D182" s="1255"/>
      <c r="E182" s="1256"/>
      <c r="F182" s="168"/>
      <c r="G182" s="992"/>
      <c r="H182" s="992"/>
      <c r="I182" s="992"/>
      <c r="J182" s="992"/>
      <c r="K182" s="992"/>
      <c r="L182" s="992"/>
      <c r="M182" s="992"/>
      <c r="N182" s="993"/>
      <c r="O182" s="993"/>
      <c r="P182" s="993"/>
      <c r="R182" s="992"/>
    </row>
    <row r="183" spans="2:18" ht="28.5" customHeight="1" x14ac:dyDescent="0.25">
      <c r="B183" s="1257" t="str">
        <f>"per 31/12/"&amp;$G$13</f>
        <v>per 31/12/2015</v>
      </c>
      <c r="C183" s="1258"/>
      <c r="D183" s="1258"/>
      <c r="E183" s="1259"/>
      <c r="F183" s="168"/>
      <c r="G183" s="255">
        <f>+G$20+G86</f>
        <v>0</v>
      </c>
      <c r="H183" s="255"/>
      <c r="I183" s="255"/>
      <c r="J183" s="255"/>
      <c r="K183" s="255"/>
      <c r="L183" s="255"/>
      <c r="M183" s="255"/>
      <c r="N183" s="565"/>
      <c r="O183" s="565"/>
      <c r="P183" s="565"/>
      <c r="R183" s="991">
        <f t="shared" ref="R183:R192" si="29">SUM(G183:P183)</f>
        <v>0</v>
      </c>
    </row>
    <row r="184" spans="2:18" ht="28.5" customHeight="1" x14ac:dyDescent="0.25">
      <c r="B184" s="1257" t="str">
        <f>"per 31/12/"&amp;$H$13</f>
        <v>per 31/12/2016</v>
      </c>
      <c r="C184" s="1258"/>
      <c r="D184" s="1258"/>
      <c r="E184" s="1259"/>
      <c r="F184" s="168"/>
      <c r="G184" s="255">
        <f t="shared" ref="G184:G190" si="30">G183+G87</f>
        <v>0</v>
      </c>
      <c r="H184" s="255">
        <f>+H$20+H87</f>
        <v>0</v>
      </c>
      <c r="I184" s="255"/>
      <c r="J184" s="255"/>
      <c r="K184" s="255"/>
      <c r="L184" s="255"/>
      <c r="M184" s="255"/>
      <c r="N184" s="565"/>
      <c r="O184" s="565"/>
      <c r="P184" s="565"/>
      <c r="R184" s="991">
        <f t="shared" si="29"/>
        <v>0</v>
      </c>
    </row>
    <row r="185" spans="2:18" ht="28.5" customHeight="1" x14ac:dyDescent="0.25">
      <c r="B185" s="1257" t="str">
        <f>"per 31/12/"&amp;$I$13</f>
        <v>per 31/12/2017</v>
      </c>
      <c r="C185" s="1258"/>
      <c r="D185" s="1258"/>
      <c r="E185" s="1259"/>
      <c r="F185" s="168"/>
      <c r="G185" s="255">
        <f t="shared" si="30"/>
        <v>0</v>
      </c>
      <c r="H185" s="255">
        <f t="shared" ref="H185:H190" si="31">H184+H88</f>
        <v>0</v>
      </c>
      <c r="I185" s="255">
        <f>+I$20+I88</f>
        <v>0</v>
      </c>
      <c r="J185" s="255"/>
      <c r="K185" s="255"/>
      <c r="L185" s="255"/>
      <c r="M185" s="255"/>
      <c r="N185" s="565"/>
      <c r="O185" s="565"/>
      <c r="P185" s="565"/>
      <c r="R185" s="991">
        <f t="shared" si="29"/>
        <v>0</v>
      </c>
    </row>
    <row r="186" spans="2:18" ht="28.5" customHeight="1" x14ac:dyDescent="0.25">
      <c r="B186" s="1257" t="str">
        <f>"per 31/12/"&amp;$J$13</f>
        <v>per 31/12/2018</v>
      </c>
      <c r="C186" s="1258"/>
      <c r="D186" s="1258"/>
      <c r="E186" s="1259"/>
      <c r="F186" s="168"/>
      <c r="G186" s="255">
        <f t="shared" si="30"/>
        <v>0</v>
      </c>
      <c r="H186" s="255">
        <f t="shared" si="31"/>
        <v>0</v>
      </c>
      <c r="I186" s="255">
        <f>I185+I89</f>
        <v>0</v>
      </c>
      <c r="J186" s="255">
        <f>+J$20+J89</f>
        <v>0</v>
      </c>
      <c r="K186" s="255"/>
      <c r="L186" s="255"/>
      <c r="M186" s="255"/>
      <c r="N186" s="565"/>
      <c r="O186" s="565"/>
      <c r="P186" s="565"/>
      <c r="R186" s="991">
        <f t="shared" si="29"/>
        <v>0</v>
      </c>
    </row>
    <row r="187" spans="2:18" ht="28.5" customHeight="1" x14ac:dyDescent="0.25">
      <c r="B187" s="1257" t="str">
        <f>"per 31/12/"&amp;$K$13</f>
        <v>per 31/12/2019</v>
      </c>
      <c r="C187" s="1258"/>
      <c r="D187" s="1258"/>
      <c r="E187" s="1259"/>
      <c r="F187" s="168"/>
      <c r="G187" s="255">
        <f t="shared" si="30"/>
        <v>0</v>
      </c>
      <c r="H187" s="255">
        <f t="shared" si="31"/>
        <v>0</v>
      </c>
      <c r="I187" s="255">
        <f>I186+I90</f>
        <v>0</v>
      </c>
      <c r="J187" s="255">
        <f>J186+J90</f>
        <v>0</v>
      </c>
      <c r="K187" s="255">
        <f>+K$20+K90</f>
        <v>0</v>
      </c>
      <c r="L187" s="255"/>
      <c r="M187" s="255"/>
      <c r="N187" s="565"/>
      <c r="O187" s="565"/>
      <c r="P187" s="565"/>
      <c r="R187" s="991">
        <f t="shared" si="29"/>
        <v>0</v>
      </c>
    </row>
    <row r="188" spans="2:18" ht="28.5" customHeight="1" x14ac:dyDescent="0.25">
      <c r="B188" s="1257" t="str">
        <f>"per 31/12/"&amp;$L$13</f>
        <v>per 31/12/2020</v>
      </c>
      <c r="C188" s="1258"/>
      <c r="D188" s="1258"/>
      <c r="E188" s="1259"/>
      <c r="F188" s="168"/>
      <c r="G188" s="255">
        <f t="shared" si="30"/>
        <v>0</v>
      </c>
      <c r="H188" s="255">
        <f t="shared" si="31"/>
        <v>0</v>
      </c>
      <c r="I188" s="255">
        <f>I187+I91</f>
        <v>0</v>
      </c>
      <c r="J188" s="255">
        <f>J187+J91</f>
        <v>0</v>
      </c>
      <c r="K188" s="255">
        <f>K187+K91</f>
        <v>0</v>
      </c>
      <c r="L188" s="255">
        <f>+L$20+L91</f>
        <v>0</v>
      </c>
      <c r="M188" s="255"/>
      <c r="N188" s="565"/>
      <c r="O188" s="565"/>
      <c r="P188" s="565"/>
      <c r="R188" s="991">
        <f t="shared" si="29"/>
        <v>0</v>
      </c>
    </row>
    <row r="189" spans="2:18" ht="28.5" customHeight="1" x14ac:dyDescent="0.25">
      <c r="B189" s="1257" t="str">
        <f>"per 31/12/"&amp;$M$13</f>
        <v>per 31/12/2021</v>
      </c>
      <c r="C189" s="1258"/>
      <c r="D189" s="1258"/>
      <c r="E189" s="1259"/>
      <c r="F189" s="168"/>
      <c r="G189" s="255">
        <f t="shared" si="30"/>
        <v>0</v>
      </c>
      <c r="H189" s="255">
        <f t="shared" si="31"/>
        <v>0</v>
      </c>
      <c r="I189" s="255">
        <f>I188+I92</f>
        <v>0</v>
      </c>
      <c r="J189" s="255">
        <f>J188+J92</f>
        <v>0</v>
      </c>
      <c r="K189" s="255">
        <f>K188+K92</f>
        <v>0</v>
      </c>
      <c r="L189" s="255">
        <f>L188+L92</f>
        <v>0</v>
      </c>
      <c r="M189" s="255">
        <f>+M$20+M92</f>
        <v>0</v>
      </c>
      <c r="N189" s="565"/>
      <c r="O189" s="565"/>
      <c r="P189" s="565"/>
      <c r="R189" s="991">
        <f t="shared" si="29"/>
        <v>0</v>
      </c>
    </row>
    <row r="190" spans="2:18" ht="28.5" customHeight="1" x14ac:dyDescent="0.25">
      <c r="B190" s="1248" t="str">
        <f>"per 31/12/"&amp;$N$13</f>
        <v>per 31/12/2022</v>
      </c>
      <c r="C190" s="1249"/>
      <c r="D190" s="1249"/>
      <c r="E190" s="1250"/>
      <c r="F190" s="314"/>
      <c r="G190" s="565">
        <f t="shared" si="30"/>
        <v>0</v>
      </c>
      <c r="H190" s="565">
        <f t="shared" si="31"/>
        <v>0</v>
      </c>
      <c r="I190" s="565">
        <f>I189+I93</f>
        <v>0</v>
      </c>
      <c r="J190" s="565">
        <f>J189+J93</f>
        <v>0</v>
      </c>
      <c r="K190" s="565">
        <f>K189+K93</f>
        <v>0</v>
      </c>
      <c r="L190" s="565">
        <f>L189+L93</f>
        <v>0</v>
      </c>
      <c r="M190" s="565">
        <f>M189+M93</f>
        <v>0</v>
      </c>
      <c r="N190" s="565">
        <f>+N$20+N93</f>
        <v>0</v>
      </c>
      <c r="O190" s="565"/>
      <c r="P190" s="565"/>
      <c r="Q190" s="845"/>
      <c r="R190" s="994">
        <f t="shared" si="29"/>
        <v>0</v>
      </c>
    </row>
    <row r="191" spans="2:18" ht="28.5" customHeight="1" x14ac:dyDescent="0.25">
      <c r="B191" s="1248" t="str">
        <f>"per 31/12/"&amp;$O$13</f>
        <v>per 31/12/2023</v>
      </c>
      <c r="C191" s="1249"/>
      <c r="D191" s="1249"/>
      <c r="E191" s="1250"/>
      <c r="F191" s="314"/>
      <c r="G191" s="565"/>
      <c r="H191" s="565"/>
      <c r="I191" s="565"/>
      <c r="J191" s="565"/>
      <c r="K191" s="565"/>
      <c r="L191" s="565">
        <f>L190+L94</f>
        <v>0</v>
      </c>
      <c r="M191" s="565">
        <f>M190+M94</f>
        <v>0</v>
      </c>
      <c r="N191" s="565">
        <f>N190+N94</f>
        <v>0</v>
      </c>
      <c r="O191" s="565">
        <f>+O$20+O94</f>
        <v>0</v>
      </c>
      <c r="P191" s="565"/>
      <c r="Q191" s="845"/>
      <c r="R191" s="994">
        <f t="shared" si="29"/>
        <v>0</v>
      </c>
    </row>
    <row r="192" spans="2:18" ht="28.5" customHeight="1" x14ac:dyDescent="0.25">
      <c r="B192" s="1248" t="str">
        <f>"per 31/12/"&amp;$P$13</f>
        <v>per 31/12/2024</v>
      </c>
      <c r="C192" s="1249"/>
      <c r="D192" s="1249"/>
      <c r="E192" s="1250"/>
      <c r="F192" s="314"/>
      <c r="G192" s="565"/>
      <c r="H192" s="565"/>
      <c r="I192" s="565"/>
      <c r="J192" s="565"/>
      <c r="K192" s="565"/>
      <c r="L192" s="565"/>
      <c r="M192" s="565">
        <f>M191+M95</f>
        <v>0</v>
      </c>
      <c r="N192" s="565">
        <f>N191+N95</f>
        <v>0</v>
      </c>
      <c r="O192" s="565">
        <f>O191+O95</f>
        <v>0</v>
      </c>
      <c r="P192" s="565">
        <f>+P$20+P95</f>
        <v>0</v>
      </c>
      <c r="Q192" s="845"/>
      <c r="R192" s="994">
        <f t="shared" si="29"/>
        <v>0</v>
      </c>
    </row>
    <row r="193" spans="1:18" ht="33" customHeight="1" x14ac:dyDescent="0.25">
      <c r="B193" s="1254" t="s">
        <v>68</v>
      </c>
      <c r="C193" s="1255"/>
      <c r="D193" s="1255"/>
      <c r="E193" s="1256"/>
      <c r="F193" s="168"/>
      <c r="G193" s="992"/>
      <c r="H193" s="992"/>
      <c r="I193" s="992"/>
      <c r="J193" s="992"/>
      <c r="K193" s="992"/>
      <c r="L193" s="992"/>
      <c r="M193" s="992"/>
      <c r="N193" s="993"/>
      <c r="O193" s="993"/>
      <c r="P193" s="993"/>
      <c r="R193" s="992"/>
    </row>
    <row r="194" spans="1:18" ht="28.5" customHeight="1" x14ac:dyDescent="0.25">
      <c r="B194" s="1257" t="str">
        <f>"per 31/12/"&amp;$G$13</f>
        <v>per 31/12/2015</v>
      </c>
      <c r="C194" s="1258"/>
      <c r="D194" s="1258"/>
      <c r="E194" s="1259"/>
      <c r="F194" s="168"/>
      <c r="G194" s="999">
        <f>+G$21+G97</f>
        <v>0</v>
      </c>
      <c r="H194" s="255"/>
      <c r="I194" s="255"/>
      <c r="J194" s="255"/>
      <c r="K194" s="255"/>
      <c r="L194" s="255"/>
      <c r="M194" s="255"/>
      <c r="N194" s="565"/>
      <c r="O194" s="565"/>
      <c r="P194" s="565"/>
      <c r="R194" s="991">
        <f t="shared" ref="R194:R203" si="32">SUM(G194:P194)</f>
        <v>0</v>
      </c>
    </row>
    <row r="195" spans="1:18" ht="28.5" customHeight="1" x14ac:dyDescent="0.25">
      <c r="B195" s="1257" t="str">
        <f>"per 31/12/"&amp;$H$13</f>
        <v>per 31/12/2016</v>
      </c>
      <c r="C195" s="1258"/>
      <c r="D195" s="1258"/>
      <c r="E195" s="1259"/>
      <c r="F195" s="168"/>
      <c r="G195" s="255">
        <f t="shared" ref="G195:G201" si="33">+G194+G98</f>
        <v>0</v>
      </c>
      <c r="H195" s="255">
        <f>+H$21+H98</f>
        <v>0</v>
      </c>
      <c r="I195" s="255"/>
      <c r="J195" s="255"/>
      <c r="K195" s="255"/>
      <c r="L195" s="255"/>
      <c r="M195" s="255"/>
      <c r="N195" s="565"/>
      <c r="O195" s="565"/>
      <c r="P195" s="565"/>
      <c r="R195" s="991">
        <f t="shared" si="32"/>
        <v>0</v>
      </c>
    </row>
    <row r="196" spans="1:18" ht="28.5" customHeight="1" x14ac:dyDescent="0.25">
      <c r="B196" s="1257" t="str">
        <f>"per 31/12/"&amp;$I$13</f>
        <v>per 31/12/2017</v>
      </c>
      <c r="C196" s="1258"/>
      <c r="D196" s="1258"/>
      <c r="E196" s="1259"/>
      <c r="F196" s="168"/>
      <c r="G196" s="255">
        <f t="shared" si="33"/>
        <v>0</v>
      </c>
      <c r="H196" s="255">
        <f t="shared" ref="H196:H201" si="34">+H195+H99</f>
        <v>0</v>
      </c>
      <c r="I196" s="255">
        <f>+I$21+I99</f>
        <v>0</v>
      </c>
      <c r="J196" s="255"/>
      <c r="K196" s="255"/>
      <c r="L196" s="255"/>
      <c r="M196" s="255"/>
      <c r="N196" s="565"/>
      <c r="O196" s="565"/>
      <c r="P196" s="565"/>
      <c r="R196" s="991">
        <f t="shared" si="32"/>
        <v>0</v>
      </c>
    </row>
    <row r="197" spans="1:18" ht="28.5" customHeight="1" x14ac:dyDescent="0.25">
      <c r="B197" s="1257" t="str">
        <f>"per 31/12/"&amp;$J$13</f>
        <v>per 31/12/2018</v>
      </c>
      <c r="C197" s="1258"/>
      <c r="D197" s="1258"/>
      <c r="E197" s="1259"/>
      <c r="F197" s="168"/>
      <c r="G197" s="255">
        <f t="shared" si="33"/>
        <v>0</v>
      </c>
      <c r="H197" s="255">
        <f t="shared" si="34"/>
        <v>0</v>
      </c>
      <c r="I197" s="255">
        <f>+I196+I100</f>
        <v>0</v>
      </c>
      <c r="J197" s="255">
        <f>+J$21+J100</f>
        <v>0</v>
      </c>
      <c r="K197" s="255"/>
      <c r="L197" s="255"/>
      <c r="M197" s="255"/>
      <c r="N197" s="565"/>
      <c r="O197" s="565"/>
      <c r="P197" s="565"/>
      <c r="R197" s="991">
        <f t="shared" si="32"/>
        <v>0</v>
      </c>
    </row>
    <row r="198" spans="1:18" ht="28.5" customHeight="1" x14ac:dyDescent="0.25">
      <c r="B198" s="1257" t="str">
        <f>"per 31/12/"&amp;$K$13</f>
        <v>per 31/12/2019</v>
      </c>
      <c r="C198" s="1258"/>
      <c r="D198" s="1258"/>
      <c r="E198" s="1259"/>
      <c r="F198" s="168"/>
      <c r="G198" s="255">
        <f t="shared" si="33"/>
        <v>0</v>
      </c>
      <c r="H198" s="255">
        <f t="shared" si="34"/>
        <v>0</v>
      </c>
      <c r="I198" s="255">
        <f>+I197+I101</f>
        <v>0</v>
      </c>
      <c r="J198" s="255">
        <f>+J197+J101</f>
        <v>0</v>
      </c>
      <c r="K198" s="255">
        <f>+K$21+K101</f>
        <v>0</v>
      </c>
      <c r="L198" s="255"/>
      <c r="M198" s="255"/>
      <c r="N198" s="565"/>
      <c r="O198" s="565"/>
      <c r="P198" s="565"/>
      <c r="R198" s="991">
        <f t="shared" si="32"/>
        <v>0</v>
      </c>
    </row>
    <row r="199" spans="1:18" ht="28.5" customHeight="1" x14ac:dyDescent="0.25">
      <c r="B199" s="1257" t="str">
        <f>"per 31/12/"&amp;$L$13</f>
        <v>per 31/12/2020</v>
      </c>
      <c r="C199" s="1258"/>
      <c r="D199" s="1258"/>
      <c r="E199" s="1259"/>
      <c r="F199" s="168"/>
      <c r="G199" s="255">
        <f t="shared" si="33"/>
        <v>0</v>
      </c>
      <c r="H199" s="255">
        <f t="shared" si="34"/>
        <v>0</v>
      </c>
      <c r="I199" s="255">
        <f>+I198+I102</f>
        <v>0</v>
      </c>
      <c r="J199" s="255">
        <f>+J198+J102</f>
        <v>0</v>
      </c>
      <c r="K199" s="255">
        <f>+K198+K102</f>
        <v>0</v>
      </c>
      <c r="L199" s="255">
        <f>+L$21+L102</f>
        <v>0</v>
      </c>
      <c r="M199" s="255"/>
      <c r="N199" s="565"/>
      <c r="O199" s="565"/>
      <c r="P199" s="565"/>
      <c r="R199" s="991">
        <f t="shared" si="32"/>
        <v>0</v>
      </c>
    </row>
    <row r="200" spans="1:18" ht="28.5" customHeight="1" x14ac:dyDescent="0.25">
      <c r="B200" s="1257" t="str">
        <f>"per 31/12/"&amp;$M$13</f>
        <v>per 31/12/2021</v>
      </c>
      <c r="C200" s="1258"/>
      <c r="D200" s="1258"/>
      <c r="E200" s="1259"/>
      <c r="F200" s="168"/>
      <c r="G200" s="255">
        <f t="shared" si="33"/>
        <v>0</v>
      </c>
      <c r="H200" s="255">
        <f t="shared" si="34"/>
        <v>0</v>
      </c>
      <c r="I200" s="255">
        <f>+I199+I103</f>
        <v>0</v>
      </c>
      <c r="J200" s="255">
        <f>+J199+J103</f>
        <v>0</v>
      </c>
      <c r="K200" s="255">
        <f>+K199+K103</f>
        <v>0</v>
      </c>
      <c r="L200" s="255">
        <f>+L199+L103</f>
        <v>0</v>
      </c>
      <c r="M200" s="255">
        <f>+M$21+M103</f>
        <v>0</v>
      </c>
      <c r="N200" s="565"/>
      <c r="O200" s="565"/>
      <c r="P200" s="565"/>
      <c r="R200" s="991">
        <f t="shared" si="32"/>
        <v>0</v>
      </c>
    </row>
    <row r="201" spans="1:18" ht="28.5" customHeight="1" x14ac:dyDescent="0.25">
      <c r="B201" s="1248" t="str">
        <f>"per 31/12/"&amp;$N$13</f>
        <v>per 31/12/2022</v>
      </c>
      <c r="C201" s="1249"/>
      <c r="D201" s="1249"/>
      <c r="E201" s="1250"/>
      <c r="F201" s="314"/>
      <c r="G201" s="565">
        <f t="shared" si="33"/>
        <v>0</v>
      </c>
      <c r="H201" s="565">
        <f t="shared" si="34"/>
        <v>0</v>
      </c>
      <c r="I201" s="565">
        <f>+I200+I104</f>
        <v>0</v>
      </c>
      <c r="J201" s="565">
        <f>+J200+J104</f>
        <v>0</v>
      </c>
      <c r="K201" s="565">
        <f>+K200+K104</f>
        <v>0</v>
      </c>
      <c r="L201" s="565">
        <f>+L200+L104</f>
        <v>0</v>
      </c>
      <c r="M201" s="565">
        <f>+M200+M104</f>
        <v>0</v>
      </c>
      <c r="N201" s="565">
        <f>+N$21+N104</f>
        <v>0</v>
      </c>
      <c r="O201" s="565"/>
      <c r="P201" s="565"/>
      <c r="Q201" s="845"/>
      <c r="R201" s="994">
        <f t="shared" si="32"/>
        <v>0</v>
      </c>
    </row>
    <row r="202" spans="1:18" ht="28.5" customHeight="1" x14ac:dyDescent="0.25">
      <c r="B202" s="1248" t="str">
        <f>"per 31/12/"&amp;$O$13</f>
        <v>per 31/12/2023</v>
      </c>
      <c r="C202" s="1249"/>
      <c r="D202" s="1249"/>
      <c r="E202" s="1250"/>
      <c r="F202" s="314"/>
      <c r="G202" s="565"/>
      <c r="H202" s="565"/>
      <c r="I202" s="565"/>
      <c r="J202" s="565"/>
      <c r="K202" s="565"/>
      <c r="L202" s="565">
        <f>+L201+L105</f>
        <v>0</v>
      </c>
      <c r="M202" s="565">
        <f>+M201+M105</f>
        <v>0</v>
      </c>
      <c r="N202" s="565">
        <f>+N201+N105</f>
        <v>0</v>
      </c>
      <c r="O202" s="565">
        <f>+O$21+O105</f>
        <v>0</v>
      </c>
      <c r="P202" s="565"/>
      <c r="Q202" s="845"/>
      <c r="R202" s="994">
        <f t="shared" si="32"/>
        <v>0</v>
      </c>
    </row>
    <row r="203" spans="1:18" ht="28.5" customHeight="1" x14ac:dyDescent="0.25">
      <c r="B203" s="1248" t="str">
        <f>"per 31/12/"&amp;$P$13</f>
        <v>per 31/12/2024</v>
      </c>
      <c r="C203" s="1249"/>
      <c r="D203" s="1249"/>
      <c r="E203" s="1250"/>
      <c r="F203" s="314"/>
      <c r="G203" s="565"/>
      <c r="H203" s="565"/>
      <c r="I203" s="565"/>
      <c r="J203" s="565"/>
      <c r="K203" s="565"/>
      <c r="L203" s="565"/>
      <c r="M203" s="565">
        <f>+M202+M106</f>
        <v>0</v>
      </c>
      <c r="N203" s="565">
        <f>+N202+N106</f>
        <v>0</v>
      </c>
      <c r="O203" s="565">
        <f>+O202+O106</f>
        <v>0</v>
      </c>
      <c r="P203" s="565">
        <f>+P$21+P106</f>
        <v>0</v>
      </c>
      <c r="Q203" s="845"/>
      <c r="R203" s="994">
        <f t="shared" si="32"/>
        <v>0</v>
      </c>
    </row>
    <row r="204" spans="1:18" ht="13" x14ac:dyDescent="0.25">
      <c r="G204" s="306"/>
      <c r="H204" s="306"/>
      <c r="I204" s="306"/>
      <c r="J204" s="306"/>
      <c r="K204" s="306"/>
      <c r="L204" s="306"/>
      <c r="M204" s="306"/>
      <c r="N204" s="839"/>
      <c r="O204" s="839"/>
      <c r="P204" s="839"/>
      <c r="R204" s="307"/>
    </row>
    <row r="205" spans="1:18" s="224" customFormat="1" ht="13" x14ac:dyDescent="0.25">
      <c r="B205" s="315"/>
      <c r="C205" s="316"/>
      <c r="D205" s="316"/>
      <c r="E205" s="317"/>
      <c r="F205" s="283"/>
      <c r="G205" s="975">
        <v>2015</v>
      </c>
      <c r="H205" s="166">
        <f>+G205+1</f>
        <v>2016</v>
      </c>
      <c r="I205" s="166">
        <f>+H205+1</f>
        <v>2017</v>
      </c>
      <c r="J205" s="166">
        <f>+I205+1</f>
        <v>2018</v>
      </c>
      <c r="K205" s="166">
        <f>+J205+1</f>
        <v>2019</v>
      </c>
      <c r="L205" s="166">
        <f t="shared" ref="L205:P205" si="35">+K205+1</f>
        <v>2020</v>
      </c>
      <c r="M205" s="166">
        <f t="shared" si="35"/>
        <v>2021</v>
      </c>
      <c r="N205" s="837">
        <f t="shared" si="35"/>
        <v>2022</v>
      </c>
      <c r="O205" s="837">
        <f t="shared" si="35"/>
        <v>2023</v>
      </c>
      <c r="P205" s="837">
        <f t="shared" si="35"/>
        <v>2024</v>
      </c>
      <c r="Q205" s="209"/>
      <c r="R205" s="166" t="s">
        <v>20</v>
      </c>
    </row>
    <row r="206" spans="1:18" ht="20.25" customHeight="1" x14ac:dyDescent="0.25">
      <c r="B206" s="1251" t="s">
        <v>158</v>
      </c>
      <c r="C206" s="1252"/>
      <c r="D206" s="1252"/>
      <c r="E206" s="1253"/>
      <c r="F206" s="170"/>
      <c r="G206" s="171"/>
      <c r="H206" s="171"/>
      <c r="I206" s="171"/>
      <c r="J206" s="171"/>
      <c r="K206" s="171"/>
      <c r="L206" s="171"/>
      <c r="M206" s="171"/>
      <c r="N206" s="843"/>
      <c r="O206" s="843"/>
      <c r="P206" s="843"/>
      <c r="R206" s="171"/>
    </row>
    <row r="207" spans="1:18" ht="28.5" customHeight="1" x14ac:dyDescent="0.25">
      <c r="A207" s="209">
        <v>2015</v>
      </c>
      <c r="B207" s="1240" t="str">
        <f>"per 31/12/"&amp;$G$13</f>
        <v>per 31/12/2015</v>
      </c>
      <c r="C207" s="1241"/>
      <c r="D207" s="1241"/>
      <c r="E207" s="1242"/>
      <c r="F207" s="318"/>
      <c r="G207" s="995">
        <f t="shared" ref="G207:G213" si="36">SUMIFS(G$128:G$203,$B$128:$B$203,$B207)</f>
        <v>0</v>
      </c>
      <c r="H207" s="995"/>
      <c r="I207" s="995"/>
      <c r="J207" s="995"/>
      <c r="K207" s="995"/>
      <c r="L207" s="995"/>
      <c r="M207" s="995"/>
      <c r="N207" s="996"/>
      <c r="O207" s="996"/>
      <c r="P207" s="996"/>
      <c r="R207" s="997">
        <f t="shared" ref="R207:R213" si="37">SUMIFS(R$128:R$203,$B$128:$B$203,$B207)</f>
        <v>0</v>
      </c>
    </row>
    <row r="208" spans="1:18" ht="28.5" customHeight="1" x14ac:dyDescent="0.25">
      <c r="A208" s="209">
        <v>2016</v>
      </c>
      <c r="B208" s="1240" t="str">
        <f>"per 31/12/"&amp;$H$13</f>
        <v>per 31/12/2016</v>
      </c>
      <c r="C208" s="1241"/>
      <c r="D208" s="1241"/>
      <c r="E208" s="1242"/>
      <c r="F208" s="318"/>
      <c r="G208" s="995">
        <f t="shared" si="36"/>
        <v>0</v>
      </c>
      <c r="H208" s="995">
        <f t="shared" ref="H208:H213" si="38">SUMIFS(H$128:H$203,$B$128:$B$203,$B208)</f>
        <v>0</v>
      </c>
      <c r="I208" s="995"/>
      <c r="J208" s="995"/>
      <c r="K208" s="995"/>
      <c r="L208" s="995"/>
      <c r="M208" s="995"/>
      <c r="N208" s="996"/>
      <c r="O208" s="996"/>
      <c r="P208" s="996"/>
      <c r="R208" s="997">
        <f t="shared" si="37"/>
        <v>0</v>
      </c>
    </row>
    <row r="209" spans="1:18" ht="28.5" customHeight="1" x14ac:dyDescent="0.25">
      <c r="A209" s="209">
        <v>2017</v>
      </c>
      <c r="B209" s="1240" t="str">
        <f>"per 31/12/"&amp;$I$13</f>
        <v>per 31/12/2017</v>
      </c>
      <c r="C209" s="1241"/>
      <c r="D209" s="1241"/>
      <c r="E209" s="1242"/>
      <c r="F209" s="318"/>
      <c r="G209" s="995">
        <f t="shared" si="36"/>
        <v>0</v>
      </c>
      <c r="H209" s="995">
        <f t="shared" si="38"/>
        <v>0</v>
      </c>
      <c r="I209" s="995">
        <f>SUMIFS(I$128:I$203,$B$128:$B$203,$B209)</f>
        <v>0</v>
      </c>
      <c r="J209" s="995"/>
      <c r="K209" s="995"/>
      <c r="L209" s="995"/>
      <c r="M209" s="995"/>
      <c r="N209" s="996"/>
      <c r="O209" s="996"/>
      <c r="P209" s="996"/>
      <c r="R209" s="997">
        <f t="shared" si="37"/>
        <v>0</v>
      </c>
    </row>
    <row r="210" spans="1:18" ht="28.5" customHeight="1" x14ac:dyDescent="0.25">
      <c r="A210" s="209">
        <v>2018</v>
      </c>
      <c r="B210" s="1240" t="str">
        <f>"per 31/12/"&amp;$J$13</f>
        <v>per 31/12/2018</v>
      </c>
      <c r="C210" s="1241"/>
      <c r="D210" s="1241"/>
      <c r="E210" s="1242"/>
      <c r="F210" s="318"/>
      <c r="G210" s="995">
        <f t="shared" si="36"/>
        <v>0</v>
      </c>
      <c r="H210" s="995">
        <f t="shared" si="38"/>
        <v>0</v>
      </c>
      <c r="I210" s="995">
        <f>SUMIFS(I$128:I$203,$B$128:$B$203,$B210)</f>
        <v>0</v>
      </c>
      <c r="J210" s="995">
        <f>SUMIFS(J$128:J$203,$B$128:$B$203,$B210)</f>
        <v>0</v>
      </c>
      <c r="K210" s="995"/>
      <c r="L210" s="995"/>
      <c r="M210" s="995"/>
      <c r="N210" s="996"/>
      <c r="O210" s="996"/>
      <c r="P210" s="996"/>
      <c r="R210" s="997">
        <f t="shared" si="37"/>
        <v>0</v>
      </c>
    </row>
    <row r="211" spans="1:18" ht="28.5" customHeight="1" x14ac:dyDescent="0.25">
      <c r="A211" s="209">
        <v>2019</v>
      </c>
      <c r="B211" s="1240" t="str">
        <f>"per 31/12/"&amp;$K$13</f>
        <v>per 31/12/2019</v>
      </c>
      <c r="C211" s="1241"/>
      <c r="D211" s="1241"/>
      <c r="E211" s="1242"/>
      <c r="F211" s="318"/>
      <c r="G211" s="995">
        <f t="shared" si="36"/>
        <v>0</v>
      </c>
      <c r="H211" s="995">
        <f t="shared" si="38"/>
        <v>0</v>
      </c>
      <c r="I211" s="995">
        <f>SUMIFS(I$128:I$203,$B$128:$B$203,$B211)</f>
        <v>0</v>
      </c>
      <c r="J211" s="995">
        <f>SUMIFS(J$128:J$203,$B$128:$B$203,$B211)</f>
        <v>0</v>
      </c>
      <c r="K211" s="995">
        <f>SUMIFS(K$128:K$203,$B$128:$B$203,$B211)</f>
        <v>0</v>
      </c>
      <c r="L211" s="995"/>
      <c r="M211" s="995"/>
      <c r="N211" s="996"/>
      <c r="O211" s="996"/>
      <c r="P211" s="996"/>
      <c r="R211" s="997">
        <f t="shared" si="37"/>
        <v>0</v>
      </c>
    </row>
    <row r="212" spans="1:18" ht="28.5" customHeight="1" x14ac:dyDescent="0.25">
      <c r="A212" s="209">
        <v>2020</v>
      </c>
      <c r="B212" s="1240" t="str">
        <f>"per 31/12/"&amp;$L$13</f>
        <v>per 31/12/2020</v>
      </c>
      <c r="C212" s="1241"/>
      <c r="D212" s="1241"/>
      <c r="E212" s="1242"/>
      <c r="F212" s="318"/>
      <c r="G212" s="995">
        <f t="shared" si="36"/>
        <v>0</v>
      </c>
      <c r="H212" s="995">
        <f t="shared" si="38"/>
        <v>0</v>
      </c>
      <c r="I212" s="995">
        <f>SUMIFS(I$128:I$203,$B$128:$B$203,$B212)</f>
        <v>0</v>
      </c>
      <c r="J212" s="995">
        <f>SUMIFS(J$128:J$203,$B$128:$B$203,$B212)</f>
        <v>0</v>
      </c>
      <c r="K212" s="995">
        <f>SUMIFS(K$128:K$203,$B$128:$B$203,$B212)</f>
        <v>0</v>
      </c>
      <c r="L212" s="995">
        <f>SUMIFS(L$128:L$203,$B$128:$B$203,$B212)</f>
        <v>0</v>
      </c>
      <c r="M212" s="995"/>
      <c r="N212" s="996"/>
      <c r="O212" s="996"/>
      <c r="P212" s="996"/>
      <c r="R212" s="997">
        <f t="shared" si="37"/>
        <v>0</v>
      </c>
    </row>
    <row r="213" spans="1:18" ht="28.5" customHeight="1" x14ac:dyDescent="0.25">
      <c r="A213" s="209">
        <v>2021</v>
      </c>
      <c r="B213" s="1240" t="str">
        <f>"per 31/12/"&amp;$M$13</f>
        <v>per 31/12/2021</v>
      </c>
      <c r="C213" s="1241"/>
      <c r="D213" s="1241"/>
      <c r="E213" s="1242"/>
      <c r="F213" s="318"/>
      <c r="G213" s="995">
        <f t="shared" si="36"/>
        <v>0</v>
      </c>
      <c r="H213" s="995">
        <f t="shared" si="38"/>
        <v>0</v>
      </c>
      <c r="I213" s="995">
        <f>SUMIFS(I$128:I$203,$B$128:$B$203,$B213)</f>
        <v>0</v>
      </c>
      <c r="J213" s="995">
        <f>SUMIFS(J$128:J$203,$B$128:$B$203,$B213)</f>
        <v>0</v>
      </c>
      <c r="K213" s="995">
        <f>SUMIFS(K$128:K$203,$B$128:$B$203,$B213)</f>
        <v>0</v>
      </c>
      <c r="L213" s="995">
        <f>SUMIFS(L$128:L$203,$B$128:$B$203,$B213)</f>
        <v>0</v>
      </c>
      <c r="M213" s="995">
        <f>SUMIFS(M$128:M$203,$B$128:$B$203,$B213)</f>
        <v>0</v>
      </c>
      <c r="N213" s="996"/>
      <c r="O213" s="996"/>
      <c r="P213" s="996"/>
      <c r="R213" s="997">
        <f t="shared" si="37"/>
        <v>0</v>
      </c>
    </row>
    <row r="214" spans="1:18" ht="28.5" customHeight="1" x14ac:dyDescent="0.25">
      <c r="A214" s="209">
        <v>2022</v>
      </c>
      <c r="B214" s="1243" t="str">
        <f>"per 31/12/"&amp;$N$13</f>
        <v>per 31/12/2022</v>
      </c>
      <c r="C214" s="1244"/>
      <c r="D214" s="1244"/>
      <c r="E214" s="1245"/>
      <c r="F214" s="846"/>
      <c r="G214" s="996">
        <f t="shared" ref="G214" si="39">SUMIFS(G$128:G$203,$B$128:$B$203,$B214)</f>
        <v>0</v>
      </c>
      <c r="H214" s="996">
        <f t="shared" ref="H214" si="40">SUMIFS(H$128:H$203,$B$128:$B$203,$B214)</f>
        <v>0</v>
      </c>
      <c r="I214" s="996">
        <f t="shared" ref="I214" si="41">SUMIFS(I$128:I$203,$B$128:$B$203,$B214)</f>
        <v>0</v>
      </c>
      <c r="J214" s="996">
        <f>SUMIFS(J$128:J$203,$B$128:$B$203,$B214)</f>
        <v>0</v>
      </c>
      <c r="K214" s="996">
        <f>SUMIFS(K$128:K$203,$B$128:$B$203,$B214)</f>
        <v>0</v>
      </c>
      <c r="L214" s="996">
        <f>SUMIFS(L$128:L$203,$B$128:$B$203,$B214)</f>
        <v>0</v>
      </c>
      <c r="M214" s="996">
        <f>SUMIFS(M$128:M$203,$B$128:$B$203,$B214)</f>
        <v>0</v>
      </c>
      <c r="N214" s="996">
        <f>SUMIFS(N$128:N$203,$B$128:$B$203,$B214)</f>
        <v>0</v>
      </c>
      <c r="O214" s="996"/>
      <c r="P214" s="996"/>
      <c r="Q214" s="845"/>
      <c r="R214" s="998">
        <f t="shared" ref="R214:R216" si="42">SUMIFS(R$128:R$203,$B$128:$B$203,$B214)</f>
        <v>0</v>
      </c>
    </row>
    <row r="215" spans="1:18" ht="28.5" customHeight="1" x14ac:dyDescent="0.25">
      <c r="A215" s="209">
        <v>2023</v>
      </c>
      <c r="B215" s="1243" t="str">
        <f>"per 31/12/"&amp;$O$13</f>
        <v>per 31/12/2023</v>
      </c>
      <c r="C215" s="1244"/>
      <c r="D215" s="1244"/>
      <c r="E215" s="1245"/>
      <c r="F215" s="846"/>
      <c r="G215" s="996"/>
      <c r="H215" s="996"/>
      <c r="I215" s="996"/>
      <c r="J215" s="996"/>
      <c r="K215" s="996"/>
      <c r="L215" s="996">
        <f>SUMIFS(L$128:L$203,$B$128:$B$203,$B215)</f>
        <v>0</v>
      </c>
      <c r="M215" s="996">
        <f>SUMIFS(M$128:M$203,$B$128:$B$203,$B215)</f>
        <v>0</v>
      </c>
      <c r="N215" s="996">
        <f>SUMIFS(N$128:N$203,$B$128:$B$203,$B215)</f>
        <v>0</v>
      </c>
      <c r="O215" s="996">
        <f>SUMIFS(O$128:O$203,$B$128:$B$203,$B215)</f>
        <v>0</v>
      </c>
      <c r="P215" s="996"/>
      <c r="Q215" s="845"/>
      <c r="R215" s="998">
        <f t="shared" si="42"/>
        <v>0</v>
      </c>
    </row>
    <row r="216" spans="1:18" ht="28.5" customHeight="1" x14ac:dyDescent="0.25">
      <c r="A216" s="209">
        <v>2024</v>
      </c>
      <c r="B216" s="1243" t="str">
        <f>"per 31/12/"&amp;$P$13</f>
        <v>per 31/12/2024</v>
      </c>
      <c r="C216" s="1244"/>
      <c r="D216" s="1244"/>
      <c r="E216" s="1245"/>
      <c r="F216" s="846"/>
      <c r="G216" s="996"/>
      <c r="H216" s="996"/>
      <c r="I216" s="996"/>
      <c r="J216" s="996"/>
      <c r="K216" s="996"/>
      <c r="L216" s="996"/>
      <c r="M216" s="996">
        <f>SUMIFS(M$128:M$203,$B$128:$B$203,$B216)</f>
        <v>0</v>
      </c>
      <c r="N216" s="996">
        <f>SUMIFS(N$128:N$203,$B$128:$B$203,$B216)</f>
        <v>0</v>
      </c>
      <c r="O216" s="996">
        <f>SUMIFS(O$128:O$203,$B$128:$B$203,$B216)</f>
        <v>0</v>
      </c>
      <c r="P216" s="996">
        <f>SUMIFS(P$128:P$203,$B$128:$B$203,$B216)</f>
        <v>0</v>
      </c>
      <c r="Q216" s="845"/>
      <c r="R216" s="998">
        <f t="shared" si="42"/>
        <v>0</v>
      </c>
    </row>
    <row r="217" spans="1:18" s="224" customFormat="1" ht="13" x14ac:dyDescent="0.25">
      <c r="B217" s="1246" t="s">
        <v>120</v>
      </c>
      <c r="C217" s="1246"/>
      <c r="D217" s="1246"/>
      <c r="E217" s="1246"/>
      <c r="G217" s="309">
        <f>IF($E$2="ex-ante",(INDEX(G$207:G$216,MATCH($D$2,$A$207:$A$216,0),1))-T4A!C32,IF($E$2="ex-post",(INDEX(G$207:G$216,MATCH($D$2,$A$207:$A$216,0),1))-T4A!C32+SUMIFS(T4A!C$38:C$47,T4A!$B$38:$B$47,$D$2+1),"FOUT"))</f>
        <v>0</v>
      </c>
      <c r="H217" s="309">
        <f>IF($E$2="ex-ante",(INDEX(H$207:H$216,MATCH($D$2,$A$207:$A$216,0),1))-T4A!D32,IF($E$2="ex-post",(INDEX(H$207:H$216,MATCH($D$2,$A$207:$A$216,0),1))-T4A!D32+SUMIFS(T4A!D$38:D$47,T4A!$B$38:$B$47,$D$2+1),"FOUT"))</f>
        <v>0</v>
      </c>
      <c r="I217" s="309">
        <f>IF($E$2="ex-ante",(INDEX(I$207:I$216,MATCH($D$2,$A$207:$A$216,0),1))-T4A!E32,IF($E$2="ex-post",(INDEX(I$207:I$216,MATCH($D$2,$A$207:$A$216,0),1))-T4A!E32+SUMIFS(T4A!E$38:E$47,T4A!$B$38:$B$47,$D$2+1),"FOUT"))</f>
        <v>0</v>
      </c>
      <c r="J217" s="309">
        <f>IF($E$2="ex-ante",(INDEX(J$207:J$216,MATCH($D$2,$A$207:$A$216,0),1))-T4A!F32,IF($E$2="ex-post",(INDEX(J$207:J$216,MATCH($D$2,$A$207:$A$216,0),1))-T4A!F32+SUMIFS(T4A!F$38:F$47,T4A!$B$38:$B$47,$D$2+1),"FOUT"))</f>
        <v>0</v>
      </c>
      <c r="K217" s="309">
        <f>IF($E$2="ex-ante",(INDEX(K$207:K$216,MATCH($D$2,$A$207:$A$216,0),1))-T4A!G32,IF($E$2="ex-post",(INDEX(K$207:K$216,MATCH($D$2,$A$207:$A$216,0),1))-T4A!G32+SUMIFS(T4A!G$38:G$47,T4A!$B$38:$B$47,$D$2+1),"FOUT"))</f>
        <v>0</v>
      </c>
      <c r="L217" s="309">
        <f>IF($E$2="ex-ante",(INDEX(L$207:L$216,MATCH($D$2,$A$207:$A$216,0),1))-T4A!H32,IF($E$2="ex-post",(INDEX(L$207:L$216,MATCH($D$2,$A$207:$A$216,0),1))-T4A!H32+SUMIFS(T4A!H$38:H$47,T4A!$B$38:$B$47,$D$2+1),"FOUT"))</f>
        <v>0</v>
      </c>
      <c r="M217" s="309">
        <f>IF($E$2="ex-ante",(INDEX(M$207:M$216,MATCH($D$2,$A$207:$A$216,0),1))-T4A!I32,IF($E$2="ex-post",(INDEX(M$207:M$216,MATCH($D$2,$A$207:$A$216,0),1))-T4A!I32+SUMIFS(T4A!I$38:I$47,T4A!$B$38:$B$47,$D$2+1),"FOUT"))</f>
        <v>0</v>
      </c>
      <c r="N217" s="841">
        <f>IF($E$2="ex-ante",(INDEX(N$207:N$216,MATCH($D$2,$A$207:$A$216,0),1))-T4A!J32,IF($E$2="ex-post",(INDEX(N$207:N$216,MATCH($D$2,$A$207:$A$216,0),1))-T4A!J32+SUMIFS(T4A!J$38:J$47,T4A!$B$38:$B$47,$D$2+1),"FOUT"))</f>
        <v>0</v>
      </c>
      <c r="O217" s="841">
        <f>IF($E$2="ex-ante",(INDEX(O$207:O$216,MATCH($D$2,$A$207:$A$216,0),1))-T4A!K32,IF($E$2="ex-post",(INDEX(O$207:O$216,MATCH($D$2,$A$207:$A$216,0),1))-T4A!K32+SUMIFS(T4A!K$38:K$47,T4A!$B$38:$B$47,$D$2+1),"FOUT"))</f>
        <v>0</v>
      </c>
      <c r="P217" s="841">
        <f>IF($E$2="ex-ante",(INDEX(P$207:P$216,MATCH($D$2,$A$207:$A$216,0),1))-T4A!L32,IF($E$2="ex-post",(INDEX(P$207:P$216,MATCH($D$2,$A$207:$A$216,0),1))-T4A!L32+SUMIFS(T4A!L$38:L$47,T4A!$B$38:$B$47,$D$2+1),"FOUT"))</f>
        <v>0</v>
      </c>
      <c r="Q217" s="211"/>
      <c r="R217" s="309">
        <f>IF($E$2="ex-ante",(INDEX(R$207:R$216,MATCH($D$2,$A$207:$A$216,0),1))-T4A!N32,IF($E$2="ex-post",(INDEX(R$207:R$216,MATCH($D$2,$A$207:$A$216,0),1))-T4A!N32+SUMIFS(T4A!N$38:N$47,T4A!$B$38:$B$47,$D$2+1),"FOUT"))</f>
        <v>0</v>
      </c>
    </row>
    <row r="218" spans="1:18" ht="13" x14ac:dyDescent="0.25">
      <c r="B218" s="310"/>
      <c r="C218" s="310"/>
      <c r="D218" s="310"/>
      <c r="E218" s="310"/>
      <c r="F218" s="311"/>
      <c r="G218" s="312"/>
      <c r="H218" s="312"/>
      <c r="I218" s="312"/>
      <c r="J218" s="312"/>
      <c r="K218" s="312"/>
      <c r="L218" s="312"/>
      <c r="M218" s="312"/>
      <c r="N218" s="312"/>
      <c r="O218" s="312"/>
      <c r="P218" s="312"/>
      <c r="R218" s="312"/>
    </row>
    <row r="219" spans="1:18" ht="13" x14ac:dyDescent="0.25">
      <c r="B219" s="310"/>
      <c r="C219" s="310"/>
      <c r="D219" s="310"/>
      <c r="E219" s="310"/>
      <c r="F219" s="311"/>
      <c r="G219" s="312"/>
      <c r="H219" s="312"/>
      <c r="I219" s="312"/>
      <c r="J219" s="312"/>
      <c r="K219" s="312"/>
      <c r="L219" s="312"/>
      <c r="M219" s="312"/>
      <c r="N219" s="312"/>
      <c r="O219" s="312"/>
      <c r="P219" s="312"/>
      <c r="R219" s="312"/>
    </row>
    <row r="220" spans="1:18" ht="13" x14ac:dyDescent="0.25">
      <c r="B220" s="310"/>
      <c r="C220" s="310"/>
      <c r="D220" s="310"/>
      <c r="E220" s="310"/>
      <c r="F220" s="311"/>
      <c r="G220" s="313" t="s">
        <v>32</v>
      </c>
      <c r="H220" s="312"/>
      <c r="I220" s="312"/>
      <c r="J220" s="312"/>
      <c r="K220" s="312"/>
      <c r="L220" s="312"/>
      <c r="M220" s="312"/>
      <c r="N220" s="312"/>
      <c r="O220" s="312"/>
      <c r="P220" s="312"/>
      <c r="R220" s="312"/>
    </row>
    <row r="221" spans="1:18" ht="13" x14ac:dyDescent="0.25">
      <c r="G221" s="313" t="s">
        <v>33</v>
      </c>
      <c r="H221" s="312"/>
      <c r="I221" s="312"/>
      <c r="J221" s="312"/>
    </row>
    <row r="222" spans="1:18" ht="78" x14ac:dyDescent="0.25">
      <c r="B222" s="1268" t="s">
        <v>65</v>
      </c>
      <c r="C222" s="1269"/>
      <c r="D222" s="1269"/>
      <c r="E222" s="1270"/>
      <c r="F222" s="168"/>
      <c r="G222" s="166" t="str">
        <f>"Afbouw van het regulatoir saldo inzake exogene kosten m.b.t. distributie op te nemen in het toegelaten inkomen voor boekjaar "&amp;D2</f>
        <v>Afbouw van het regulatoir saldo inzake exogene kosten m.b.t. distributie op te nemen in het toegelaten inkomen voor boekjaar 2021</v>
      </c>
      <c r="H222" s="312"/>
      <c r="I222" s="312"/>
      <c r="J222" s="312"/>
    </row>
    <row r="223" spans="1:18" ht="13" x14ac:dyDescent="0.25">
      <c r="B223" s="325"/>
      <c r="C223" s="302"/>
      <c r="D223" s="302"/>
      <c r="E223" s="302"/>
      <c r="F223" s="303"/>
      <c r="G223" s="981"/>
      <c r="H223" s="312"/>
      <c r="I223" s="312"/>
      <c r="J223" s="312"/>
    </row>
    <row r="224" spans="1:18" ht="25" customHeight="1" x14ac:dyDescent="0.25">
      <c r="B224" s="1261" t="s">
        <v>250</v>
      </c>
      <c r="C224" s="1261"/>
      <c r="D224" s="1261"/>
      <c r="E224" s="1261"/>
      <c r="F224" s="168"/>
      <c r="G224" s="255">
        <f>VLOOKUP($D$2,B301:C304,2,FALSE)+VLOOKUP($D$2,B443:C446,2,FALSE)+VLOOKUP($D$2,B584:C587,2,FALSE)</f>
        <v>0</v>
      </c>
      <c r="H224" s="312"/>
      <c r="I224" s="312"/>
      <c r="J224" s="312"/>
    </row>
    <row r="225" spans="2:18" ht="25" customHeight="1" x14ac:dyDescent="0.25">
      <c r="B225" s="1261" t="s">
        <v>66</v>
      </c>
      <c r="C225" s="1261"/>
      <c r="D225" s="1261"/>
      <c r="E225" s="1261"/>
      <c r="F225" s="168"/>
      <c r="G225" s="255">
        <f>VLOOKUP($D$2,B376:C379,2,FALSE)</f>
        <v>0</v>
      </c>
      <c r="H225" s="312"/>
      <c r="I225" s="312"/>
      <c r="J225" s="312"/>
    </row>
    <row r="226" spans="2:18" ht="25" customHeight="1" x14ac:dyDescent="0.25">
      <c r="B226" s="1261" t="s">
        <v>67</v>
      </c>
      <c r="C226" s="1261"/>
      <c r="D226" s="1261"/>
      <c r="E226" s="1261"/>
      <c r="F226" s="168"/>
      <c r="G226" s="255">
        <f>VLOOKUP($D$2,B518:C521,2,FALSE)</f>
        <v>0</v>
      </c>
      <c r="H226" s="312"/>
      <c r="I226" s="312"/>
      <c r="J226" s="312"/>
    </row>
    <row r="227" spans="2:18" ht="25" customHeight="1" x14ac:dyDescent="0.25">
      <c r="B227" s="1261" t="s">
        <v>118</v>
      </c>
      <c r="C227" s="1261"/>
      <c r="D227" s="1261"/>
      <c r="E227" s="1261"/>
      <c r="F227" s="168"/>
      <c r="G227" s="255">
        <f>VLOOKUP($D$2,B659:C662,2,FALSE)</f>
        <v>0</v>
      </c>
      <c r="H227" s="312"/>
      <c r="I227" s="312"/>
      <c r="J227" s="312"/>
    </row>
    <row r="228" spans="2:18" ht="28" customHeight="1" x14ac:dyDescent="0.25">
      <c r="B228" s="1261" t="s">
        <v>68</v>
      </c>
      <c r="C228" s="1261"/>
      <c r="D228" s="1261"/>
      <c r="E228" s="1261"/>
      <c r="F228" s="168"/>
      <c r="G228" s="255">
        <f>VLOOKUP($D$2,B734:C737,2,FALSE)</f>
        <v>0</v>
      </c>
      <c r="H228" s="312"/>
      <c r="I228" s="312"/>
      <c r="J228" s="312"/>
    </row>
    <row r="229" spans="2:18" ht="13" x14ac:dyDescent="0.25">
      <c r="H229" s="312"/>
      <c r="I229" s="312"/>
      <c r="J229" s="312"/>
    </row>
    <row r="230" spans="2:18" ht="25" customHeight="1" x14ac:dyDescent="0.25">
      <c r="B230" s="1265" t="s">
        <v>22</v>
      </c>
      <c r="C230" s="1266"/>
      <c r="D230" s="1266"/>
      <c r="E230" s="1267"/>
      <c r="F230" s="182"/>
      <c r="G230" s="169">
        <f>SUM(G224:G228)</f>
        <v>0</v>
      </c>
      <c r="H230" s="312"/>
      <c r="I230" s="312"/>
      <c r="J230" s="312"/>
    </row>
    <row r="231" spans="2:18" x14ac:dyDescent="0.25">
      <c r="Q231" s="212"/>
    </row>
    <row r="232" spans="2:18" x14ac:dyDescent="0.25">
      <c r="Q232" s="212"/>
    </row>
    <row r="233" spans="2:18" ht="13" x14ac:dyDescent="0.25">
      <c r="B233" s="326" t="s">
        <v>240</v>
      </c>
      <c r="C233" s="327"/>
      <c r="D233" s="327"/>
      <c r="E233" s="327"/>
      <c r="F233" s="328"/>
      <c r="G233" s="328"/>
      <c r="H233" s="328"/>
      <c r="I233" s="328"/>
      <c r="J233" s="328"/>
      <c r="K233" s="328"/>
      <c r="L233" s="328"/>
      <c r="M233" s="328"/>
      <c r="N233" s="328"/>
      <c r="O233" s="328"/>
      <c r="P233" s="328"/>
      <c r="Q233" s="329"/>
      <c r="R233" s="328"/>
    </row>
    <row r="234" spans="2:18" x14ac:dyDescent="0.25">
      <c r="Q234" s="212"/>
    </row>
    <row r="235" spans="2:18" ht="13" x14ac:dyDescent="0.25">
      <c r="B235" s="281" t="s">
        <v>172</v>
      </c>
      <c r="F235" s="1000">
        <v>2017</v>
      </c>
      <c r="Q235" s="212"/>
    </row>
    <row r="236" spans="2:18" x14ac:dyDescent="0.25">
      <c r="P236" s="212"/>
      <c r="Q236" s="167"/>
    </row>
    <row r="237" spans="2:18" ht="104" x14ac:dyDescent="0.25">
      <c r="B237" s="1231" t="s">
        <v>173</v>
      </c>
      <c r="C237" s="1232"/>
      <c r="D237" s="1232"/>
      <c r="E237" s="1233"/>
      <c r="F237" s="282"/>
      <c r="G237" s="166" t="str">
        <f>"Nog af te bouwen regulatoir saldo einde "&amp;F235-1</f>
        <v>Nog af te bouwen regulatoir saldo einde 2016</v>
      </c>
      <c r="H237" s="166" t="str">
        <f>"Afbouw oudste openstaande regulatoir saldo vanaf boekjaar "&amp;F235-3&amp;" en vroeger, door aanwending van compensatie met regulatoir saldo ontstaan over boekjaar "&amp;F235-2</f>
        <v>Afbouw oudste openstaande regulatoir saldo vanaf boekjaar 2014 en vroeger, door aanwending van compensatie met regulatoir saldo ontstaan over boekjaar 2015</v>
      </c>
      <c r="I237" s="166" t="str">
        <f>"Nog af te bouwen regulatoir saldo na compensatie einde "&amp;F235-1</f>
        <v>Nog af te bouwen regulatoir saldo na compensatie einde 2016</v>
      </c>
      <c r="J237" s="166" t="str">
        <f>"Aanwending van 60% van het geaccumuleerd regulatoir saldo door te rekenen volgens de tariefmethodologie in het boekjaar "&amp;F235</f>
        <v>Aanwending van 60% van het geaccumuleerd regulatoir saldo door te rekenen volgens de tariefmethodologie in het boekjaar 2017</v>
      </c>
      <c r="K237" s="166" t="str">
        <f>"Nog af te bouwen regulatoir saldo einde "&amp;F235</f>
        <v>Nog af te bouwen regulatoir saldo einde 2017</v>
      </c>
      <c r="L237" s="228"/>
      <c r="M237" s="228"/>
      <c r="N237" s="228"/>
      <c r="O237" s="228"/>
      <c r="P237" s="212"/>
      <c r="Q237" s="167"/>
    </row>
    <row r="238" spans="2:18" ht="13" x14ac:dyDescent="0.25">
      <c r="B238" s="1228">
        <v>2015</v>
      </c>
      <c r="C238" s="1229"/>
      <c r="D238" s="1229"/>
      <c r="E238" s="1230"/>
      <c r="F238" s="283"/>
      <c r="G238" s="177">
        <f>G129</f>
        <v>0</v>
      </c>
      <c r="H238" s="566">
        <v>0</v>
      </c>
      <c r="I238" s="177">
        <f>+G238+H238</f>
        <v>0</v>
      </c>
      <c r="J238" s="177">
        <f>-I238*0.6</f>
        <v>0</v>
      </c>
      <c r="K238" s="1001">
        <f>+J238+G238</f>
        <v>0</v>
      </c>
      <c r="L238" s="1002"/>
      <c r="M238" s="1002"/>
      <c r="N238" s="1002"/>
      <c r="O238" s="1002"/>
      <c r="P238" s="212"/>
      <c r="Q238" s="167"/>
    </row>
    <row r="239" spans="2:18" x14ac:dyDescent="0.25">
      <c r="P239" s="212"/>
      <c r="Q239" s="167"/>
    </row>
    <row r="240" spans="2:18" ht="13" x14ac:dyDescent="0.25">
      <c r="B240" s="281" t="s">
        <v>172</v>
      </c>
      <c r="F240" s="1000">
        <v>2018</v>
      </c>
      <c r="Q240" s="212"/>
    </row>
    <row r="241" spans="2:17" x14ac:dyDescent="0.25">
      <c r="Q241" s="212"/>
    </row>
    <row r="242" spans="2:17" ht="104" x14ac:dyDescent="0.25">
      <c r="B242" s="1231" t="s">
        <v>173</v>
      </c>
      <c r="C242" s="1232"/>
      <c r="D242" s="1232"/>
      <c r="E242" s="1233"/>
      <c r="F242" s="282"/>
      <c r="G242" s="166" t="str">
        <f>"Nog af te bouwen regulatoir saldo einde "&amp;F240-1</f>
        <v>Nog af te bouwen regulatoir saldo einde 2017</v>
      </c>
      <c r="H242" s="166" t="str">
        <f>"Afbouw oudste openstaande regulatoir saldo vanaf boekjaar "&amp;F240-3&amp;" en vroeger, door aanwending van compensatie met regulatoir saldo ontstaan over boekjaar "&amp;F240-2</f>
        <v>Afbouw oudste openstaande regulatoir saldo vanaf boekjaar 2015 en vroeger, door aanwending van compensatie met regulatoir saldo ontstaan over boekjaar 2016</v>
      </c>
      <c r="I242" s="166" t="str">
        <f>"Nog af te bouwen regulatoir saldo na compensatie einde "&amp;F240-1</f>
        <v>Nog af te bouwen regulatoir saldo na compensatie einde 2017</v>
      </c>
      <c r="J242" s="166" t="str">
        <f>"60% van het geaccumuleerd regulatoir saldo door te rekenen volgens de tariefmethodologie in het boekjaar "&amp;F240</f>
        <v>60% van het geaccumuleerd regulatoir saldo door te rekenen volgens de tariefmethodologie in het boekjaar 2018</v>
      </c>
      <c r="K242" s="166" t="str">
        <f>"Aanwending van 60% van het geaccumuleerd regulatoir saldo door te rekenen volgens de tariefmethodologie in het boekjaar "&amp;F240</f>
        <v>Aanwending van 60% van het geaccumuleerd regulatoir saldo door te rekenen volgens de tariefmethodologie in het boekjaar 2018</v>
      </c>
      <c r="L242" s="166" t="str">
        <f>"Totale afbouw over "&amp;F240</f>
        <v>Totale afbouw over 2018</v>
      </c>
      <c r="M242" s="166" t="str">
        <f>"Nog af te bouwen regulatoir saldo einde "&amp;F240</f>
        <v>Nog af te bouwen regulatoir saldo einde 2018</v>
      </c>
      <c r="N242" s="212"/>
      <c r="Q242" s="167"/>
    </row>
    <row r="243" spans="2:17" ht="13" x14ac:dyDescent="0.25">
      <c r="B243" s="1228">
        <v>2015</v>
      </c>
      <c r="C243" s="1229"/>
      <c r="D243" s="1229"/>
      <c r="E243" s="1230"/>
      <c r="F243" s="283"/>
      <c r="G243" s="177">
        <f>K238</f>
        <v>0</v>
      </c>
      <c r="H243" s="566">
        <f>IF(SIGN(G244*K238)&lt;0,IF(G243&lt;&gt;0,-SIGN(G243)*MIN(ABS(G244),ABS(G243)),0),0)</f>
        <v>0</v>
      </c>
      <c r="I243" s="177">
        <f>+G243+H243</f>
        <v>0</v>
      </c>
      <c r="J243" s="995"/>
      <c r="K243" s="566">
        <f>-MIN(ABS(I243),ABS(J245))*SIGN(I243)</f>
        <v>0</v>
      </c>
      <c r="L243" s="1003">
        <f>+K243+H243</f>
        <v>0</v>
      </c>
      <c r="M243" s="177">
        <f>+I243+K243</f>
        <v>0</v>
      </c>
      <c r="N243" s="212"/>
      <c r="Q243" s="167"/>
    </row>
    <row r="244" spans="2:17" ht="13" x14ac:dyDescent="0.25">
      <c r="B244" s="1228">
        <v>2016</v>
      </c>
      <c r="C244" s="1229"/>
      <c r="D244" s="1229"/>
      <c r="E244" s="1230"/>
      <c r="F244" s="283"/>
      <c r="G244" s="177">
        <f>H130</f>
        <v>0</v>
      </c>
      <c r="H244" s="1003">
        <f>IF(SIGN(G244*K238)&lt;0,-H243,0)</f>
        <v>0</v>
      </c>
      <c r="I244" s="177">
        <f>+G244+H244</f>
        <v>0</v>
      </c>
      <c r="J244" s="995"/>
      <c r="K244" s="566">
        <f>-MIN(ABS(I244),ABS(J245-K243))*SIGN(I244)</f>
        <v>0</v>
      </c>
      <c r="L244" s="1003">
        <f>+K244+H244</f>
        <v>0</v>
      </c>
      <c r="M244" s="177">
        <f>+I244+K244</f>
        <v>0</v>
      </c>
      <c r="N244" s="212"/>
      <c r="Q244" s="167"/>
    </row>
    <row r="245" spans="2:17" s="281" customFormat="1" ht="13" x14ac:dyDescent="0.25">
      <c r="G245" s="284">
        <f>SUM(G243:G244)</f>
        <v>0</v>
      </c>
      <c r="H245" s="169">
        <f>SUM(H243:H244)</f>
        <v>0</v>
      </c>
      <c r="I245" s="284">
        <f>SUM(I243:I244)</f>
        <v>0</v>
      </c>
      <c r="J245" s="284">
        <f>-I245*0.6</f>
        <v>0</v>
      </c>
      <c r="K245" s="169">
        <f>SUM(K243:K244)</f>
        <v>0</v>
      </c>
      <c r="L245" s="570"/>
      <c r="M245" s="284">
        <f>SUM(M243:M244)</f>
        <v>0</v>
      </c>
    </row>
    <row r="246" spans="2:17" x14ac:dyDescent="0.25">
      <c r="Q246" s="167"/>
    </row>
    <row r="247" spans="2:17" ht="13" x14ac:dyDescent="0.25">
      <c r="B247" s="281" t="s">
        <v>172</v>
      </c>
      <c r="F247" s="1000">
        <v>2019</v>
      </c>
      <c r="Q247" s="167"/>
    </row>
    <row r="248" spans="2:17" x14ac:dyDescent="0.25">
      <c r="Q248" s="167"/>
    </row>
    <row r="249" spans="2:17" ht="104" x14ac:dyDescent="0.25">
      <c r="B249" s="1231" t="s">
        <v>173</v>
      </c>
      <c r="C249" s="1232"/>
      <c r="D249" s="1232"/>
      <c r="E249" s="1233"/>
      <c r="F249" s="282"/>
      <c r="G249" s="166" t="str">
        <f>"Nog af te bouwen regulatoir saldo einde "&amp;F247-1</f>
        <v>Nog af te bouwen regulatoir saldo einde 2018</v>
      </c>
      <c r="H249" s="166" t="str">
        <f>"Afbouw oudste openstaande regulatoir saldo vanaf boekjaar "&amp;F247-3&amp;" en vroeger, door aanwending van compensatie met regulatoir saldo ontstaan over boekjaar "&amp;F247-2</f>
        <v>Afbouw oudste openstaande regulatoir saldo vanaf boekjaar 2016 en vroeger, door aanwending van compensatie met regulatoir saldo ontstaan over boekjaar 2017</v>
      </c>
      <c r="I249" s="166" t="str">
        <f>"Nog af te bouwen regulatoir saldo na compensatie einde "&amp;F247-1</f>
        <v>Nog af te bouwen regulatoir saldo na compensatie einde 2018</v>
      </c>
      <c r="J249" s="166" t="str">
        <f>"60% van het geaccumuleerd regulatoir saldo door te rekenen volgens de tariefmethodologie in het boekjaar "&amp;F247</f>
        <v>60% van het geaccumuleerd regulatoir saldo door te rekenen volgens de tariefmethodologie in het boekjaar 2019</v>
      </c>
      <c r="K249" s="166" t="str">
        <f>"Aanwending van het 60% van het geaccumuleerd regulatoir saldo door te rekenen volgens de tariefmethodologie in het boekjaar "&amp;F247</f>
        <v>Aanwending van het 60% van het geaccumuleerd regulatoir saldo door te rekenen volgens de tariefmethodologie in het boekjaar 2019</v>
      </c>
      <c r="L249" s="166" t="str">
        <f>"Totale afbouw over "&amp;F247</f>
        <v>Totale afbouw over 2019</v>
      </c>
      <c r="M249" s="166" t="str">
        <f>"Nog af te bouwen regulatoir saldo einde "&amp;F247</f>
        <v>Nog af te bouwen regulatoir saldo einde 2019</v>
      </c>
      <c r="N249" s="212"/>
      <c r="Q249" s="167"/>
    </row>
    <row r="250" spans="2:17" ht="13" x14ac:dyDescent="0.25">
      <c r="B250" s="1228">
        <v>2015</v>
      </c>
      <c r="C250" s="1229"/>
      <c r="D250" s="1229"/>
      <c r="E250" s="1230"/>
      <c r="F250" s="283"/>
      <c r="G250" s="177">
        <f>+M243</f>
        <v>0</v>
      </c>
      <c r="H250" s="1003">
        <f>IF(SIGN(G252*M245)&lt;0,IF(G250&lt;&gt;0,-SIGN(G250)*MIN(ABS(G252),ABS(G250)),0),0)</f>
        <v>0</v>
      </c>
      <c r="I250" s="177">
        <f>+G250+H250</f>
        <v>0</v>
      </c>
      <c r="J250" s="995"/>
      <c r="K250" s="566">
        <f>-MIN(ABS(I250),ABS(J253))*SIGN(I250)</f>
        <v>0</v>
      </c>
      <c r="L250" s="1003">
        <f>+K250+H250</f>
        <v>0</v>
      </c>
      <c r="M250" s="177">
        <f>+I250+K250</f>
        <v>0</v>
      </c>
      <c r="N250" s="212"/>
      <c r="Q250" s="167"/>
    </row>
    <row r="251" spans="2:17" ht="13" x14ac:dyDescent="0.25">
      <c r="B251" s="1228">
        <v>2016</v>
      </c>
      <c r="C251" s="1229"/>
      <c r="D251" s="1229">
        <v>2016</v>
      </c>
      <c r="E251" s="1230"/>
      <c r="F251" s="283"/>
      <c r="G251" s="177">
        <f>+M244</f>
        <v>0</v>
      </c>
      <c r="H251" s="1003">
        <f>IF(SIGN(G252*M245)&lt;0,IF(G251&lt;&gt;0,-SIGN(G251)*MIN(ABS(G252-H250),ABS(G251)),0),0)</f>
        <v>0</v>
      </c>
      <c r="I251" s="177">
        <f>+G251+H251</f>
        <v>0</v>
      </c>
      <c r="J251" s="995"/>
      <c r="K251" s="566">
        <f>-MIN(ABS(I251),ABS(J253-K250))*SIGN(I251)</f>
        <v>0</v>
      </c>
      <c r="L251" s="1003">
        <f>+K251+H251</f>
        <v>0</v>
      </c>
      <c r="M251" s="177">
        <f>+I251+K251</f>
        <v>0</v>
      </c>
      <c r="N251" s="212"/>
      <c r="Q251" s="167"/>
    </row>
    <row r="252" spans="2:17" ht="13" x14ac:dyDescent="0.25">
      <c r="B252" s="1228">
        <v>2017</v>
      </c>
      <c r="C252" s="1229"/>
      <c r="D252" s="1229"/>
      <c r="E252" s="1230"/>
      <c r="F252" s="283"/>
      <c r="G252" s="177">
        <f>I131</f>
        <v>0</v>
      </c>
      <c r="H252" s="1003">
        <f>IF(SIGN(G252*M245)&lt;0,-SUM(H250:H251),0)</f>
        <v>0</v>
      </c>
      <c r="I252" s="177">
        <f>+G252+H252</f>
        <v>0</v>
      </c>
      <c r="J252" s="995"/>
      <c r="K252" s="566">
        <f>-MIN(ABS(I252),ABS(J253-K250-K251))*SIGN(I252)</f>
        <v>0</v>
      </c>
      <c r="L252" s="1003">
        <f>+K252+H252</f>
        <v>0</v>
      </c>
      <c r="M252" s="177">
        <f>+I252+K252</f>
        <v>0</v>
      </c>
      <c r="N252" s="212"/>
      <c r="Q252" s="167"/>
    </row>
    <row r="253" spans="2:17" s="281" customFormat="1" ht="13" x14ac:dyDescent="0.25">
      <c r="G253" s="284">
        <f>SUM(G250:G252)</f>
        <v>0</v>
      </c>
      <c r="H253" s="169">
        <f>SUM(H250:H252)</f>
        <v>0</v>
      </c>
      <c r="I253" s="284">
        <f>SUM(I250:I252)</f>
        <v>0</v>
      </c>
      <c r="J253" s="284">
        <f>-I253*0.6</f>
        <v>0</v>
      </c>
      <c r="K253" s="169">
        <f>SUM(K250:K252)</f>
        <v>0</v>
      </c>
      <c r="L253" s="570"/>
      <c r="M253" s="284">
        <f>SUM(M250:M252)</f>
        <v>0</v>
      </c>
    </row>
    <row r="254" spans="2:17" x14ac:dyDescent="0.25">
      <c r="Q254" s="167"/>
    </row>
    <row r="255" spans="2:17" ht="13" x14ac:dyDescent="0.25">
      <c r="B255" s="281" t="s">
        <v>172</v>
      </c>
      <c r="F255" s="1000">
        <v>2020</v>
      </c>
      <c r="Q255" s="167"/>
    </row>
    <row r="256" spans="2:17" x14ac:dyDescent="0.25">
      <c r="Q256" s="167"/>
    </row>
    <row r="257" spans="2:17" ht="102" customHeight="1" x14ac:dyDescent="0.25">
      <c r="B257" s="1231" t="s">
        <v>173</v>
      </c>
      <c r="C257" s="1232"/>
      <c r="D257" s="1232"/>
      <c r="E257" s="1233"/>
      <c r="F257" s="282"/>
      <c r="G257" s="166" t="str">
        <f>"Nog af te bouwen regulatoir saldo einde "&amp;F255-1</f>
        <v>Nog af te bouwen regulatoir saldo einde 2019</v>
      </c>
      <c r="H257" s="166" t="str">
        <f>"Afbouw oudste openstaande regulatoir saldo vanaf boekjaar "&amp;F255-3&amp;" en vroeger, door aanwending van compensatie met regulatoir saldo ontstaan over boekjaar "&amp;F255-2</f>
        <v>Afbouw oudste openstaande regulatoir saldo vanaf boekjaar 2017 en vroeger, door aanwending van compensatie met regulatoir saldo ontstaan over boekjaar 2018</v>
      </c>
      <c r="I257" s="166" t="str">
        <f>"Nog af te bouwen regulatoir saldo na compensatie einde "&amp;F255-1</f>
        <v>Nog af te bouwen regulatoir saldo na compensatie einde 2019</v>
      </c>
      <c r="J257" s="166" t="str">
        <f>"60% van het geaccumuleerd regulatoir saldo door te rekenen volgens de tariefmethodologie in het boekjaar "&amp;F255</f>
        <v>60% van het geaccumuleerd regulatoir saldo door te rekenen volgens de tariefmethodologie in het boekjaar 2020</v>
      </c>
      <c r="K257" s="166" t="str">
        <f>"Aanwending van het 60% van het geaccumuleerd regulatoir saldo door te rekenen volgens de tariefmethodologie in het boekjaar "&amp;F255</f>
        <v>Aanwending van het 60% van het geaccumuleerd regulatoir saldo door te rekenen volgens de tariefmethodologie in het boekjaar 2020</v>
      </c>
      <c r="L257" s="166" t="str">
        <f>"Totale afbouw over "&amp;F255</f>
        <v>Totale afbouw over 2020</v>
      </c>
      <c r="M257" s="166" t="str">
        <f>"Nog af te bouwen regulatoir saldo einde "&amp;F255</f>
        <v>Nog af te bouwen regulatoir saldo einde 2020</v>
      </c>
      <c r="N257" s="212"/>
      <c r="Q257" s="167"/>
    </row>
    <row r="258" spans="2:17" ht="13" x14ac:dyDescent="0.25">
      <c r="B258" s="1228">
        <v>2015</v>
      </c>
      <c r="C258" s="1229"/>
      <c r="D258" s="1229"/>
      <c r="E258" s="1230"/>
      <c r="F258" s="283"/>
      <c r="G258" s="177">
        <f>+M250</f>
        <v>0</v>
      </c>
      <c r="H258" s="1003">
        <f>IF(SIGN(G261*M253)&lt;0,IF(G258&lt;&gt;0,-SIGN(G258)*MIN(ABS(G261),ABS(G258)),0),0)</f>
        <v>0</v>
      </c>
      <c r="I258" s="177">
        <f>+G258+H258</f>
        <v>0</v>
      </c>
      <c r="J258" s="995"/>
      <c r="K258" s="566">
        <f>-MIN(ABS(I258),ABS(J262))*SIGN(I258)</f>
        <v>0</v>
      </c>
      <c r="L258" s="1003">
        <f>+K258+H258</f>
        <v>0</v>
      </c>
      <c r="M258" s="177">
        <f>+I258+K258</f>
        <v>0</v>
      </c>
      <c r="N258" s="212"/>
      <c r="Q258" s="167"/>
    </row>
    <row r="259" spans="2:17" ht="13" x14ac:dyDescent="0.25">
      <c r="B259" s="1228">
        <v>2016</v>
      </c>
      <c r="C259" s="1229"/>
      <c r="D259" s="1229"/>
      <c r="E259" s="1230"/>
      <c r="F259" s="283"/>
      <c r="G259" s="177">
        <f>+M251</f>
        <v>0</v>
      </c>
      <c r="H259" s="1003">
        <f>IF(SIGN(G261*M253)&lt;0,IF(G259&lt;&gt;0,-SIGN(G259)*MIN(ABS(G261-H258),ABS(G259)),0),0)</f>
        <v>0</v>
      </c>
      <c r="I259" s="177">
        <f>+G259+H259</f>
        <v>0</v>
      </c>
      <c r="J259" s="995"/>
      <c r="K259" s="566">
        <f>-MIN(ABS(I259),ABS(J262-K258))*SIGN(I259)</f>
        <v>0</v>
      </c>
      <c r="L259" s="1003">
        <f>+K259+H259</f>
        <v>0</v>
      </c>
      <c r="M259" s="177">
        <f>+I259+K259</f>
        <v>0</v>
      </c>
      <c r="N259" s="212"/>
      <c r="Q259" s="167"/>
    </row>
    <row r="260" spans="2:17" ht="13" x14ac:dyDescent="0.25">
      <c r="B260" s="1228">
        <v>2017</v>
      </c>
      <c r="C260" s="1229"/>
      <c r="D260" s="1229">
        <v>2016</v>
      </c>
      <c r="E260" s="1230"/>
      <c r="F260" s="283"/>
      <c r="G260" s="177">
        <f>+M252</f>
        <v>0</v>
      </c>
      <c r="H260" s="1003">
        <f>IF(SIGN(G261*M253)&lt;0,IF(G260&lt;&gt;0,-SIGN(G260)*MIN(ABS(G261-H258-H259),ABS(G260)),0),0)</f>
        <v>0</v>
      </c>
      <c r="I260" s="177">
        <f>+G260+H260</f>
        <v>0</v>
      </c>
      <c r="J260" s="995"/>
      <c r="K260" s="566">
        <f>-MIN(ABS(I260),ABS(J262-K258-K259))*SIGN(I260)</f>
        <v>0</v>
      </c>
      <c r="L260" s="1003">
        <f>+K260+H260</f>
        <v>0</v>
      </c>
      <c r="M260" s="177">
        <f>+I260+K260</f>
        <v>0</v>
      </c>
      <c r="N260" s="212"/>
      <c r="Q260" s="167"/>
    </row>
    <row r="261" spans="2:17" ht="13" x14ac:dyDescent="0.25">
      <c r="B261" s="1228">
        <v>2018</v>
      </c>
      <c r="C261" s="1229"/>
      <c r="D261" s="1229"/>
      <c r="E261" s="1230"/>
      <c r="F261" s="283"/>
      <c r="G261" s="177">
        <f>J132</f>
        <v>0</v>
      </c>
      <c r="H261" s="1003">
        <f>IF(SIGN(G261*M253)&lt;0,-SUM(H258:H260),0)</f>
        <v>0</v>
      </c>
      <c r="I261" s="177">
        <f>+G261+H261</f>
        <v>0</v>
      </c>
      <c r="J261" s="995"/>
      <c r="K261" s="566">
        <f>-MIN(ABS(I261),ABS(J262-K258-K259-K260))*SIGN(I261)</f>
        <v>0</v>
      </c>
      <c r="L261" s="1003">
        <f>+K261+H261</f>
        <v>0</v>
      </c>
      <c r="M261" s="177">
        <f>+I261+K261</f>
        <v>0</v>
      </c>
      <c r="N261" s="212"/>
      <c r="Q261" s="167"/>
    </row>
    <row r="262" spans="2:17" s="281" customFormat="1" ht="13" x14ac:dyDescent="0.25">
      <c r="G262" s="284">
        <f>SUM(G258:G261)</f>
        <v>0</v>
      </c>
      <c r="H262" s="169">
        <f>SUM(H258:H261)</f>
        <v>0</v>
      </c>
      <c r="I262" s="284">
        <f>SUM(I258:I261)</f>
        <v>0</v>
      </c>
      <c r="J262" s="284">
        <f>-I262*0.6</f>
        <v>0</v>
      </c>
      <c r="K262" s="169">
        <f>SUM(K258:K261)</f>
        <v>0</v>
      </c>
      <c r="L262" s="169"/>
      <c r="M262" s="284">
        <f>SUM(M258:M261)</f>
        <v>0</v>
      </c>
    </row>
    <row r="263" spans="2:17" x14ac:dyDescent="0.25">
      <c r="K263" s="221"/>
      <c r="L263" s="221"/>
      <c r="Q263" s="167"/>
    </row>
    <row r="264" spans="2:17" ht="13" x14ac:dyDescent="0.25">
      <c r="B264" s="281" t="s">
        <v>172</v>
      </c>
      <c r="F264" s="1000">
        <v>2021</v>
      </c>
      <c r="Q264" s="167"/>
    </row>
    <row r="265" spans="2:17" x14ac:dyDescent="0.25">
      <c r="Q265" s="167"/>
    </row>
    <row r="266" spans="2:17" ht="102" customHeight="1" x14ac:dyDescent="0.25">
      <c r="B266" s="1231" t="s">
        <v>173</v>
      </c>
      <c r="C266" s="1232"/>
      <c r="D266" s="1232"/>
      <c r="E266" s="1233"/>
      <c r="F266" s="282"/>
      <c r="G266" s="166" t="str">
        <f>"Nog af te bouwen regulatoir saldo einde "&amp;F264-1</f>
        <v>Nog af te bouwen regulatoir saldo einde 2020</v>
      </c>
      <c r="H266" s="166" t="str">
        <f>"50% van oorspronkelijk saldo door te rekenen volgens de tariefmethodologie in het boekjaar "&amp;F264</f>
        <v>50% van oorspronkelijk saldo door te rekenen volgens de tariefmethodologie in het boekjaar 2021</v>
      </c>
      <c r="I266" s="166" t="str">
        <f>"Nog af te bouwen regulatoir saldo einde "&amp;F264</f>
        <v>Nog af te bouwen regulatoir saldo einde 2021</v>
      </c>
      <c r="J266" s="212"/>
      <c r="Q266" s="167"/>
    </row>
    <row r="267" spans="2:17" ht="13" x14ac:dyDescent="0.25">
      <c r="B267" s="1228">
        <v>2015</v>
      </c>
      <c r="C267" s="1229"/>
      <c r="D267" s="1229"/>
      <c r="E267" s="1230"/>
      <c r="F267" s="283"/>
      <c r="G267" s="177">
        <f>M258</f>
        <v>0</v>
      </c>
      <c r="H267" s="177">
        <f>-G267*0.5</f>
        <v>0</v>
      </c>
      <c r="I267" s="177">
        <f>+G267+H267</f>
        <v>0</v>
      </c>
      <c r="J267" s="212"/>
      <c r="Q267" s="167"/>
    </row>
    <row r="268" spans="2:17" ht="13" x14ac:dyDescent="0.25">
      <c r="B268" s="1228">
        <v>2016</v>
      </c>
      <c r="C268" s="1229"/>
      <c r="D268" s="1229"/>
      <c r="E268" s="1230"/>
      <c r="F268" s="283"/>
      <c r="G268" s="177">
        <f t="shared" ref="G268:G270" si="43">M259</f>
        <v>0</v>
      </c>
      <c r="H268" s="177">
        <f t="shared" ref="H268:H271" si="44">-G268*0.5</f>
        <v>0</v>
      </c>
      <c r="I268" s="177">
        <f t="shared" ref="I268:I271" si="45">+G268+H268</f>
        <v>0</v>
      </c>
      <c r="J268" s="212"/>
      <c r="Q268" s="167"/>
    </row>
    <row r="269" spans="2:17" ht="13" x14ac:dyDescent="0.25">
      <c r="B269" s="1228">
        <v>2017</v>
      </c>
      <c r="C269" s="1229"/>
      <c r="D269" s="1229">
        <v>2016</v>
      </c>
      <c r="E269" s="1230"/>
      <c r="F269" s="283"/>
      <c r="G269" s="177">
        <f t="shared" si="43"/>
        <v>0</v>
      </c>
      <c r="H269" s="177">
        <f t="shared" si="44"/>
        <v>0</v>
      </c>
      <c r="I269" s="177">
        <f t="shared" si="45"/>
        <v>0</v>
      </c>
      <c r="J269" s="212"/>
      <c r="Q269" s="167"/>
    </row>
    <row r="270" spans="2:17" ht="13" x14ac:dyDescent="0.25">
      <c r="B270" s="1228">
        <v>2018</v>
      </c>
      <c r="C270" s="1229"/>
      <c r="D270" s="1229"/>
      <c r="E270" s="1230"/>
      <c r="F270" s="283"/>
      <c r="G270" s="177">
        <f t="shared" si="43"/>
        <v>0</v>
      </c>
      <c r="H270" s="177">
        <f t="shared" si="44"/>
        <v>0</v>
      </c>
      <c r="I270" s="177">
        <f t="shared" si="45"/>
        <v>0</v>
      </c>
      <c r="J270" s="212"/>
      <c r="Q270" s="167"/>
    </row>
    <row r="271" spans="2:17" ht="13" x14ac:dyDescent="0.25">
      <c r="B271" s="1228">
        <v>2019</v>
      </c>
      <c r="C271" s="1229"/>
      <c r="D271" s="1229"/>
      <c r="E271" s="1230"/>
      <c r="F271" s="283"/>
      <c r="G271" s="177">
        <f>K133</f>
        <v>0</v>
      </c>
      <c r="H271" s="177">
        <f t="shared" si="44"/>
        <v>0</v>
      </c>
      <c r="I271" s="177">
        <f t="shared" si="45"/>
        <v>0</v>
      </c>
      <c r="J271" s="212"/>
      <c r="Q271" s="167"/>
    </row>
    <row r="272" spans="2:17" s="281" customFormat="1" ht="13" x14ac:dyDescent="0.25">
      <c r="G272" s="284">
        <f>SUM(G267:G271)</f>
        <v>0</v>
      </c>
      <c r="H272" s="284">
        <f>SUM(H267:H271)</f>
        <v>0</v>
      </c>
      <c r="I272" s="284">
        <f>SUM(I267:I271)</f>
        <v>0</v>
      </c>
    </row>
    <row r="273" spans="2:17" x14ac:dyDescent="0.25">
      <c r="Q273" s="167"/>
    </row>
    <row r="274" spans="2:17" ht="13" x14ac:dyDescent="0.25">
      <c r="B274" s="847" t="s">
        <v>172</v>
      </c>
      <c r="C274" s="842"/>
      <c r="D274" s="842"/>
      <c r="E274" s="842"/>
      <c r="F274" s="1004">
        <v>2022</v>
      </c>
      <c r="G274" s="842"/>
      <c r="H274" s="842"/>
      <c r="I274" s="842"/>
      <c r="Q274" s="167"/>
    </row>
    <row r="275" spans="2:17" x14ac:dyDescent="0.25">
      <c r="B275" s="842"/>
      <c r="C275" s="842"/>
      <c r="D275" s="842"/>
      <c r="E275" s="842"/>
      <c r="F275" s="842"/>
      <c r="G275" s="842"/>
      <c r="H275" s="842"/>
      <c r="I275" s="842"/>
      <c r="Q275" s="167"/>
    </row>
    <row r="276" spans="2:17" ht="102" customHeight="1" x14ac:dyDescent="0.25">
      <c r="B276" s="1237" t="s">
        <v>173</v>
      </c>
      <c r="C276" s="1238"/>
      <c r="D276" s="1238"/>
      <c r="E276" s="1239"/>
      <c r="F276" s="848"/>
      <c r="G276" s="837" t="str">
        <f>"Nog af te bouwen regulatoir saldo einde "&amp;F274-1</f>
        <v>Nog af te bouwen regulatoir saldo einde 2021</v>
      </c>
      <c r="H276" s="837" t="str">
        <f>"50% van oorspronkelijk saldo door te rekenen volgens de tariefmethodologie in het boekjaar "&amp;F274</f>
        <v>50% van oorspronkelijk saldo door te rekenen volgens de tariefmethodologie in het boekjaar 2022</v>
      </c>
      <c r="I276" s="837" t="str">
        <f>"Nog af te bouwen regulatoir saldo einde "&amp;F274</f>
        <v>Nog af te bouwen regulatoir saldo einde 2022</v>
      </c>
      <c r="J276" s="212"/>
      <c r="Q276" s="167"/>
    </row>
    <row r="277" spans="2:17" ht="13" x14ac:dyDescent="0.25">
      <c r="B277" s="1234">
        <v>2015</v>
      </c>
      <c r="C277" s="1235"/>
      <c r="D277" s="1235"/>
      <c r="E277" s="1236"/>
      <c r="F277" s="341"/>
      <c r="G277" s="339">
        <f>+I267</f>
        <v>0</v>
      </c>
      <c r="H277" s="339">
        <f>-G267*0.5</f>
        <v>0</v>
      </c>
      <c r="I277" s="339">
        <f>+G277+H277</f>
        <v>0</v>
      </c>
      <c r="J277" s="212"/>
      <c r="Q277" s="167"/>
    </row>
    <row r="278" spans="2:17" ht="13" x14ac:dyDescent="0.25">
      <c r="B278" s="1234">
        <v>2016</v>
      </c>
      <c r="C278" s="1235"/>
      <c r="D278" s="1235"/>
      <c r="E278" s="1236"/>
      <c r="F278" s="341"/>
      <c r="G278" s="339">
        <f t="shared" ref="G278:G281" si="46">+I268</f>
        <v>0</v>
      </c>
      <c r="H278" s="339">
        <f t="shared" ref="H278:H281" si="47">-G268*0.5</f>
        <v>0</v>
      </c>
      <c r="I278" s="339">
        <f t="shared" ref="I278:I281" si="48">+G278+H278</f>
        <v>0</v>
      </c>
      <c r="J278" s="212"/>
      <c r="Q278" s="167"/>
    </row>
    <row r="279" spans="2:17" ht="13" x14ac:dyDescent="0.25">
      <c r="B279" s="1234">
        <v>2017</v>
      </c>
      <c r="C279" s="1235"/>
      <c r="D279" s="1235">
        <v>2016</v>
      </c>
      <c r="E279" s="1236"/>
      <c r="F279" s="341"/>
      <c r="G279" s="339">
        <f t="shared" si="46"/>
        <v>0</v>
      </c>
      <c r="H279" s="339">
        <f t="shared" si="47"/>
        <v>0</v>
      </c>
      <c r="I279" s="339">
        <f t="shared" si="48"/>
        <v>0</v>
      </c>
      <c r="J279" s="212"/>
      <c r="Q279" s="167"/>
    </row>
    <row r="280" spans="2:17" ht="13" x14ac:dyDescent="0.25">
      <c r="B280" s="1234">
        <v>2018</v>
      </c>
      <c r="C280" s="1235"/>
      <c r="D280" s="1235"/>
      <c r="E280" s="1236"/>
      <c r="F280" s="341"/>
      <c r="G280" s="339">
        <f t="shared" si="46"/>
        <v>0</v>
      </c>
      <c r="H280" s="339">
        <f t="shared" si="47"/>
        <v>0</v>
      </c>
      <c r="I280" s="339">
        <f t="shared" si="48"/>
        <v>0</v>
      </c>
      <c r="J280" s="212"/>
      <c r="Q280" s="167"/>
    </row>
    <row r="281" spans="2:17" ht="13" x14ac:dyDescent="0.25">
      <c r="B281" s="1234">
        <v>2019</v>
      </c>
      <c r="C281" s="1235"/>
      <c r="D281" s="1235"/>
      <c r="E281" s="1236"/>
      <c r="F281" s="341"/>
      <c r="G281" s="339">
        <f t="shared" si="46"/>
        <v>0</v>
      </c>
      <c r="H281" s="339">
        <f t="shared" si="47"/>
        <v>0</v>
      </c>
      <c r="I281" s="339">
        <f t="shared" si="48"/>
        <v>0</v>
      </c>
      <c r="J281" s="212"/>
      <c r="Q281" s="167"/>
    </row>
    <row r="282" spans="2:17" ht="13" x14ac:dyDescent="0.25">
      <c r="B282" s="1234">
        <v>2020</v>
      </c>
      <c r="C282" s="1235"/>
      <c r="D282" s="1235"/>
      <c r="E282" s="1236"/>
      <c r="F282" s="341"/>
      <c r="G282" s="339">
        <f>L134</f>
        <v>0</v>
      </c>
      <c r="H282" s="339">
        <f t="shared" ref="H282" si="49">-G282*0.5</f>
        <v>0</v>
      </c>
      <c r="I282" s="339">
        <f t="shared" ref="I282" si="50">+G282+H282</f>
        <v>0</v>
      </c>
      <c r="J282" s="212"/>
      <c r="Q282" s="167"/>
    </row>
    <row r="283" spans="2:17" s="281" customFormat="1" ht="13" x14ac:dyDescent="0.25">
      <c r="B283" s="847"/>
      <c r="C283" s="847"/>
      <c r="D283" s="847"/>
      <c r="E283" s="847"/>
      <c r="F283" s="847"/>
      <c r="G283" s="849">
        <f>SUM(G277:G282)</f>
        <v>0</v>
      </c>
      <c r="H283" s="849">
        <f t="shared" ref="H283:I283" si="51">SUM(H277:H282)</f>
        <v>0</v>
      </c>
      <c r="I283" s="849">
        <f t="shared" si="51"/>
        <v>0</v>
      </c>
    </row>
    <row r="284" spans="2:17" x14ac:dyDescent="0.25">
      <c r="B284" s="842"/>
      <c r="C284" s="842"/>
      <c r="D284" s="842"/>
      <c r="E284" s="842"/>
      <c r="F284" s="842"/>
      <c r="G284" s="842"/>
      <c r="H284" s="842"/>
      <c r="I284" s="842"/>
      <c r="Q284" s="167"/>
    </row>
    <row r="285" spans="2:17" ht="13" x14ac:dyDescent="0.25">
      <c r="B285" s="847" t="s">
        <v>172</v>
      </c>
      <c r="C285" s="842"/>
      <c r="D285" s="842"/>
      <c r="E285" s="842"/>
      <c r="F285" s="1004">
        <v>2023</v>
      </c>
      <c r="G285" s="842"/>
      <c r="H285" s="842"/>
      <c r="I285" s="842"/>
      <c r="Q285" s="167"/>
    </row>
    <row r="286" spans="2:17" x14ac:dyDescent="0.25">
      <c r="B286" s="842"/>
      <c r="C286" s="842"/>
      <c r="D286" s="842"/>
      <c r="E286" s="842"/>
      <c r="F286" s="842"/>
      <c r="G286" s="842"/>
      <c r="H286" s="842"/>
      <c r="I286" s="842"/>
      <c r="Q286" s="167"/>
    </row>
    <row r="287" spans="2:17" ht="102" customHeight="1" x14ac:dyDescent="0.25">
      <c r="B287" s="1237" t="s">
        <v>173</v>
      </c>
      <c r="C287" s="1238"/>
      <c r="D287" s="1238"/>
      <c r="E287" s="1239"/>
      <c r="F287" s="848"/>
      <c r="G287" s="837" t="str">
        <f>"Nog af te bouwen regulatoir saldo einde "&amp;F285-1</f>
        <v>Nog af te bouwen regulatoir saldo einde 2022</v>
      </c>
      <c r="H287" s="837" t="str">
        <f>"50% van oorspronkelijk saldo door te rekenen volgens de tariefmethodologie in het boekjaar "&amp;F285</f>
        <v>50% van oorspronkelijk saldo door te rekenen volgens de tariefmethodologie in het boekjaar 2023</v>
      </c>
      <c r="I287" s="837" t="str">
        <f>"Nog af te bouwen regulatoir saldo einde "&amp;F285</f>
        <v>Nog af te bouwen regulatoir saldo einde 2023</v>
      </c>
      <c r="J287" s="212"/>
      <c r="Q287" s="167"/>
    </row>
    <row r="288" spans="2:17" ht="13" x14ac:dyDescent="0.25">
      <c r="B288" s="1234">
        <v>2020</v>
      </c>
      <c r="C288" s="1235"/>
      <c r="D288" s="1235"/>
      <c r="E288" s="1236"/>
      <c r="F288" s="341"/>
      <c r="G288" s="339">
        <f>+I282</f>
        <v>0</v>
      </c>
      <c r="H288" s="339">
        <f>-G282*0.5</f>
        <v>0</v>
      </c>
      <c r="I288" s="339">
        <f t="shared" ref="I288" si="52">+G288+H288</f>
        <v>0</v>
      </c>
      <c r="J288" s="212"/>
      <c r="Q288" s="167"/>
    </row>
    <row r="289" spans="2:17" ht="13" x14ac:dyDescent="0.25">
      <c r="B289" s="1234">
        <v>2021</v>
      </c>
      <c r="C289" s="1235"/>
      <c r="D289" s="1235"/>
      <c r="E289" s="1236"/>
      <c r="F289" s="341"/>
      <c r="G289" s="339">
        <f>M135</f>
        <v>0</v>
      </c>
      <c r="H289" s="339">
        <f t="shared" ref="H289" si="53">-G289*0.5</f>
        <v>0</v>
      </c>
      <c r="I289" s="339">
        <f t="shared" ref="I289" si="54">+G289+H289</f>
        <v>0</v>
      </c>
      <c r="J289" s="212"/>
      <c r="Q289" s="167"/>
    </row>
    <row r="290" spans="2:17" s="281" customFormat="1" ht="13" x14ac:dyDescent="0.25">
      <c r="B290" s="847"/>
      <c r="C290" s="847"/>
      <c r="D290" s="847"/>
      <c r="E290" s="847"/>
      <c r="F290" s="847"/>
      <c r="G290" s="849">
        <f>SUM(G288:G289)</f>
        <v>0</v>
      </c>
      <c r="H290" s="849">
        <f>SUM(H288:H289)</f>
        <v>0</v>
      </c>
      <c r="I290" s="849">
        <f>SUM(I288:I289)</f>
        <v>0</v>
      </c>
    </row>
    <row r="291" spans="2:17" x14ac:dyDescent="0.25">
      <c r="B291" s="842"/>
      <c r="C291" s="842"/>
      <c r="D291" s="842"/>
      <c r="E291" s="842"/>
      <c r="F291" s="842"/>
      <c r="G291" s="842"/>
      <c r="H291" s="842"/>
      <c r="I291" s="842"/>
      <c r="Q291" s="167"/>
    </row>
    <row r="292" spans="2:17" ht="13" x14ac:dyDescent="0.25">
      <c r="B292" s="847" t="s">
        <v>172</v>
      </c>
      <c r="C292" s="842"/>
      <c r="D292" s="842"/>
      <c r="E292" s="842"/>
      <c r="F292" s="1004">
        <v>2024</v>
      </c>
      <c r="G292" s="842"/>
      <c r="H292" s="842"/>
      <c r="I292" s="842"/>
      <c r="Q292" s="167"/>
    </row>
    <row r="293" spans="2:17" x14ac:dyDescent="0.25">
      <c r="B293" s="842"/>
      <c r="C293" s="842"/>
      <c r="D293" s="842"/>
      <c r="E293" s="842"/>
      <c r="F293" s="842"/>
      <c r="G293" s="842"/>
      <c r="H293" s="842"/>
      <c r="I293" s="842"/>
      <c r="Q293" s="167"/>
    </row>
    <row r="294" spans="2:17" ht="102" customHeight="1" x14ac:dyDescent="0.25">
      <c r="B294" s="1237" t="s">
        <v>173</v>
      </c>
      <c r="C294" s="1238"/>
      <c r="D294" s="1238"/>
      <c r="E294" s="1239"/>
      <c r="F294" s="848"/>
      <c r="G294" s="837" t="str">
        <f>"Nog af te bouwen regulatoir saldo einde "&amp;F292-1</f>
        <v>Nog af te bouwen regulatoir saldo einde 2023</v>
      </c>
      <c r="H294" s="837" t="str">
        <f>"50% van oorspronkelijk saldo door te rekenen volgens de tariefmethodologie in het boekjaar "&amp;F292</f>
        <v>50% van oorspronkelijk saldo door te rekenen volgens de tariefmethodologie in het boekjaar 2024</v>
      </c>
      <c r="I294" s="837" t="str">
        <f>"Nog af te bouwen regulatoir saldo einde "&amp;F292</f>
        <v>Nog af te bouwen regulatoir saldo einde 2024</v>
      </c>
      <c r="J294" s="212"/>
      <c r="Q294" s="167"/>
    </row>
    <row r="295" spans="2:17" ht="13" x14ac:dyDescent="0.25">
      <c r="B295" s="1234">
        <v>2021</v>
      </c>
      <c r="C295" s="1235"/>
      <c r="D295" s="1235"/>
      <c r="E295" s="1236"/>
      <c r="F295" s="341"/>
      <c r="G295" s="339">
        <f>+I289</f>
        <v>0</v>
      </c>
      <c r="H295" s="339">
        <f>-G289*0.5</f>
        <v>0</v>
      </c>
      <c r="I295" s="339">
        <f t="shared" ref="I295:I296" si="55">+G295+H295</f>
        <v>0</v>
      </c>
      <c r="J295" s="212"/>
      <c r="Q295" s="167"/>
    </row>
    <row r="296" spans="2:17" ht="13" x14ac:dyDescent="0.25">
      <c r="B296" s="1234">
        <v>2022</v>
      </c>
      <c r="C296" s="1235"/>
      <c r="D296" s="1235"/>
      <c r="E296" s="1236"/>
      <c r="F296" s="341"/>
      <c r="G296" s="339">
        <f>N136</f>
        <v>0</v>
      </c>
      <c r="H296" s="339">
        <f t="shared" ref="H296" si="56">-G296*0.5</f>
        <v>0</v>
      </c>
      <c r="I296" s="339">
        <f t="shared" si="55"/>
        <v>0</v>
      </c>
      <c r="J296" s="212"/>
      <c r="Q296" s="167"/>
    </row>
    <row r="297" spans="2:17" s="281" customFormat="1" ht="13" x14ac:dyDescent="0.25">
      <c r="B297" s="847"/>
      <c r="C297" s="847"/>
      <c r="D297" s="847"/>
      <c r="E297" s="847"/>
      <c r="F297" s="847"/>
      <c r="G297" s="849">
        <f>SUM(G295:G296)</f>
        <v>0</v>
      </c>
      <c r="H297" s="849">
        <f>SUM(H295:H296)</f>
        <v>0</v>
      </c>
      <c r="I297" s="849">
        <f>SUM(I295:I296)</f>
        <v>0</v>
      </c>
    </row>
    <row r="298" spans="2:17" ht="13" x14ac:dyDescent="0.25">
      <c r="B298" s="281" t="str">
        <f>B233</f>
        <v xml:space="preserve">Het basistarief voor het gebruik van het net </v>
      </c>
      <c r="Q298" s="167"/>
    </row>
    <row r="299" spans="2:17" ht="13" x14ac:dyDescent="0.25">
      <c r="B299" s="281" t="s">
        <v>174</v>
      </c>
      <c r="C299" s="224"/>
      <c r="D299" s="224"/>
      <c r="E299" s="224"/>
      <c r="Q299" s="167"/>
    </row>
    <row r="300" spans="2:17" ht="13" x14ac:dyDescent="0.25">
      <c r="C300" s="224"/>
      <c r="D300" s="224"/>
      <c r="E300" s="224"/>
      <c r="Q300" s="167"/>
    </row>
    <row r="301" spans="2:17" ht="13" x14ac:dyDescent="0.25">
      <c r="B301" s="283">
        <f>F264</f>
        <v>2021</v>
      </c>
      <c r="C301" s="287">
        <f>+H272</f>
        <v>0</v>
      </c>
      <c r="D301" s="224"/>
      <c r="E301" s="224"/>
      <c r="Q301" s="167"/>
    </row>
    <row r="302" spans="2:17" ht="13" x14ac:dyDescent="0.25">
      <c r="B302" s="341">
        <v>2022</v>
      </c>
      <c r="C302" s="342">
        <f>+H283</f>
        <v>0</v>
      </c>
      <c r="D302" s="224"/>
      <c r="E302" s="224"/>
      <c r="Q302" s="167"/>
    </row>
    <row r="303" spans="2:17" ht="13" x14ac:dyDescent="0.25">
      <c r="B303" s="341">
        <v>2023</v>
      </c>
      <c r="C303" s="342">
        <f>+H290</f>
        <v>0</v>
      </c>
      <c r="D303" s="224"/>
      <c r="E303" s="224"/>
      <c r="Q303" s="167"/>
    </row>
    <row r="304" spans="2:17" ht="13" x14ac:dyDescent="0.25">
      <c r="B304" s="341">
        <v>2024</v>
      </c>
      <c r="C304" s="342">
        <f>+H297</f>
        <v>0</v>
      </c>
      <c r="D304" s="224"/>
      <c r="E304" s="224"/>
      <c r="Q304" s="167"/>
    </row>
    <row r="305" spans="2:17" x14ac:dyDescent="0.25">
      <c r="Q305" s="167"/>
    </row>
    <row r="306" spans="2:17" x14ac:dyDescent="0.25">
      <c r="Q306" s="167"/>
    </row>
    <row r="307" spans="2:17" ht="13" x14ac:dyDescent="0.25">
      <c r="B307" s="326" t="s">
        <v>66</v>
      </c>
      <c r="C307" s="327"/>
      <c r="D307" s="327"/>
      <c r="E307" s="327"/>
      <c r="F307" s="328"/>
      <c r="G307" s="328"/>
      <c r="H307" s="328"/>
      <c r="I307" s="328"/>
      <c r="J307" s="328"/>
      <c r="K307" s="328"/>
      <c r="L307" s="328"/>
      <c r="M307" s="328"/>
      <c r="Q307" s="167"/>
    </row>
    <row r="308" spans="2:17" x14ac:dyDescent="0.25">
      <c r="Q308" s="167"/>
    </row>
    <row r="309" spans="2:17" ht="13" x14ac:dyDescent="0.25">
      <c r="B309" s="281" t="s">
        <v>172</v>
      </c>
      <c r="F309" s="1000">
        <v>2017</v>
      </c>
      <c r="Q309" s="167"/>
    </row>
    <row r="310" spans="2:17" x14ac:dyDescent="0.25">
      <c r="L310" s="212"/>
      <c r="Q310" s="167"/>
    </row>
    <row r="311" spans="2:17" ht="102" customHeight="1" x14ac:dyDescent="0.25">
      <c r="B311" s="1231" t="s">
        <v>173</v>
      </c>
      <c r="C311" s="1232"/>
      <c r="D311" s="1232"/>
      <c r="E311" s="1233"/>
      <c r="F311" s="282"/>
      <c r="G311" s="166" t="str">
        <f>"Nog af te bouwen regulatoir saldo einde "&amp;F309-1</f>
        <v>Nog af te bouwen regulatoir saldo einde 2016</v>
      </c>
      <c r="H311" s="166" t="str">
        <f>"Afbouw oudste openstaande regulatoir saldo vanaf boekjaar "&amp;F309-3&amp;" en vroeger, door aanwending van compensatie met regulatoir saldo ontstaan over boekjaar "&amp;F309-2</f>
        <v>Afbouw oudste openstaande regulatoir saldo vanaf boekjaar 2014 en vroeger, door aanwending van compensatie met regulatoir saldo ontstaan over boekjaar 2015</v>
      </c>
      <c r="I311" s="166" t="str">
        <f>"Nog af te bouwen regulatoir saldo na compensatie einde "&amp;F309-1</f>
        <v>Nog af te bouwen regulatoir saldo na compensatie einde 2016</v>
      </c>
      <c r="J311" s="166" t="str">
        <f>"Aanwending van 60% van het geaccumuleerd regulatoir saldo door te rekenen volgens de tariefmethodologie in het boekjaar "&amp;F309</f>
        <v>Aanwending van 60% van het geaccumuleerd regulatoir saldo door te rekenen volgens de tariefmethodologie in het boekjaar 2017</v>
      </c>
      <c r="K311" s="166" t="str">
        <f>"Nog af te bouwen regulatoir saldo einde "&amp;F309</f>
        <v>Nog af te bouwen regulatoir saldo einde 2017</v>
      </c>
      <c r="L311" s="212"/>
      <c r="Q311" s="167"/>
    </row>
    <row r="312" spans="2:17" ht="13" x14ac:dyDescent="0.25">
      <c r="B312" s="1228">
        <v>2015</v>
      </c>
      <c r="C312" s="1229"/>
      <c r="D312" s="1229"/>
      <c r="E312" s="1230"/>
      <c r="F312" s="283"/>
      <c r="G312" s="177">
        <f>G140</f>
        <v>0</v>
      </c>
      <c r="H312" s="566">
        <v>0</v>
      </c>
      <c r="I312" s="177">
        <f>+G312+H312</f>
        <v>0</v>
      </c>
      <c r="J312" s="177">
        <f>-I312*0.6</f>
        <v>0</v>
      </c>
      <c r="K312" s="1001">
        <f>+J312+G312</f>
        <v>0</v>
      </c>
      <c r="L312" s="212"/>
      <c r="Q312" s="167"/>
    </row>
    <row r="313" spans="2:17" x14ac:dyDescent="0.25">
      <c r="L313" s="212"/>
      <c r="Q313" s="167"/>
    </row>
    <row r="314" spans="2:17" ht="13" x14ac:dyDescent="0.25">
      <c r="B314" s="281" t="s">
        <v>172</v>
      </c>
      <c r="F314" s="1000">
        <v>2018</v>
      </c>
      <c r="Q314" s="167"/>
    </row>
    <row r="315" spans="2:17" x14ac:dyDescent="0.25">
      <c r="Q315" s="167"/>
    </row>
    <row r="316" spans="2:17" ht="102" customHeight="1" x14ac:dyDescent="0.25">
      <c r="B316" s="1231" t="s">
        <v>173</v>
      </c>
      <c r="C316" s="1232"/>
      <c r="D316" s="1232"/>
      <c r="E316" s="1233"/>
      <c r="F316" s="282"/>
      <c r="G316" s="166" t="str">
        <f>"Nog af te bouwen regulatoir saldo einde "&amp;F314-1</f>
        <v>Nog af te bouwen regulatoir saldo einde 2017</v>
      </c>
      <c r="H316" s="166" t="str">
        <f>"Afbouw oudste openstaande regulatoir saldo vanaf boekjaar "&amp;F314-3&amp;" en vroeger, door aanwending van compensatie met regulatoir saldo ontstaan over boekjaar "&amp;F314-2</f>
        <v>Afbouw oudste openstaande regulatoir saldo vanaf boekjaar 2015 en vroeger, door aanwending van compensatie met regulatoir saldo ontstaan over boekjaar 2016</v>
      </c>
      <c r="I316" s="166" t="str">
        <f>"Nog af te bouwen regulatoir saldo na compensatie einde "&amp;F314-1</f>
        <v>Nog af te bouwen regulatoir saldo na compensatie einde 2017</v>
      </c>
      <c r="J316" s="166" t="str">
        <f>"60% van het geaccumuleerd regulatoir saldo door te rekenen volgens de tariefmethodologie in het boekjaar "&amp;F314</f>
        <v>60% van het geaccumuleerd regulatoir saldo door te rekenen volgens de tariefmethodologie in het boekjaar 2018</v>
      </c>
      <c r="K316" s="166" t="str">
        <f>"Aanwending van het 60% van het geaccumuleerd regulatoir saldo door te rekenen volgens de tariefmethodologie in het boekjaar "&amp;F314</f>
        <v>Aanwending van het 60% van het geaccumuleerd regulatoir saldo door te rekenen volgens de tariefmethodologie in het boekjaar 2018</v>
      </c>
      <c r="L316" s="166" t="str">
        <f>"Totale afbouw over "&amp;F314</f>
        <v>Totale afbouw over 2018</v>
      </c>
      <c r="M316" s="166" t="str">
        <f>"Nog af te bouwen regulatoir saldo einde "&amp;F314</f>
        <v>Nog af te bouwen regulatoir saldo einde 2018</v>
      </c>
      <c r="N316" s="212"/>
      <c r="Q316" s="167"/>
    </row>
    <row r="317" spans="2:17" ht="13" x14ac:dyDescent="0.25">
      <c r="B317" s="1228">
        <v>2015</v>
      </c>
      <c r="C317" s="1229"/>
      <c r="D317" s="1229"/>
      <c r="E317" s="1230"/>
      <c r="F317" s="283"/>
      <c r="G317" s="177">
        <f>K312</f>
        <v>0</v>
      </c>
      <c r="H317" s="566">
        <f>IF(SIGN(G318*K312)&lt;0,IF(G317&lt;&gt;0,-SIGN(G317)*MIN(ABS(G318),ABS(G317)),0),0)</f>
        <v>0</v>
      </c>
      <c r="I317" s="177">
        <f>+G317+H317</f>
        <v>0</v>
      </c>
      <c r="J317" s="995"/>
      <c r="K317" s="566">
        <f>-MIN(ABS(I317),ABS(J319))*SIGN(I317)</f>
        <v>0</v>
      </c>
      <c r="L317" s="1003">
        <f>+K317+H317</f>
        <v>0</v>
      </c>
      <c r="M317" s="177">
        <f>+I317+K317</f>
        <v>0</v>
      </c>
      <c r="N317" s="212"/>
      <c r="Q317" s="167"/>
    </row>
    <row r="318" spans="2:17" ht="13" x14ac:dyDescent="0.25">
      <c r="B318" s="1228">
        <v>2016</v>
      </c>
      <c r="C318" s="1229"/>
      <c r="D318" s="1229"/>
      <c r="E318" s="1230"/>
      <c r="F318" s="283"/>
      <c r="G318" s="177">
        <f>H141</f>
        <v>0</v>
      </c>
      <c r="H318" s="1003">
        <f>IF(SIGN(G318*K312)&lt;0,-H317,0)</f>
        <v>0</v>
      </c>
      <c r="I318" s="177">
        <f>+G318+H318</f>
        <v>0</v>
      </c>
      <c r="J318" s="995"/>
      <c r="K318" s="566">
        <f>-MIN(ABS(I318),ABS(J319-K317))*SIGN(I318)</f>
        <v>0</v>
      </c>
      <c r="L318" s="1003">
        <f>+K318+H318</f>
        <v>0</v>
      </c>
      <c r="M318" s="177">
        <f>+I318+K318</f>
        <v>0</v>
      </c>
      <c r="N318" s="212"/>
      <c r="Q318" s="167"/>
    </row>
    <row r="319" spans="2:17" s="281" customFormat="1" ht="13" x14ac:dyDescent="0.25">
      <c r="G319" s="284">
        <f>SUM(G317:G318)</f>
        <v>0</v>
      </c>
      <c r="H319" s="169">
        <f>SUM(H317:H318)</f>
        <v>0</v>
      </c>
      <c r="I319" s="284">
        <f>SUM(I317:I318)</f>
        <v>0</v>
      </c>
      <c r="J319" s="284">
        <f>-I319*0.6</f>
        <v>0</v>
      </c>
      <c r="K319" s="169">
        <f>SUM(K317:K318)</f>
        <v>0</v>
      </c>
      <c r="L319" s="570"/>
      <c r="M319" s="284">
        <f>SUM(M317:M318)</f>
        <v>0</v>
      </c>
    </row>
    <row r="320" spans="2:17" x14ac:dyDescent="0.25">
      <c r="Q320" s="167"/>
    </row>
    <row r="321" spans="2:17" ht="13" x14ac:dyDescent="0.25">
      <c r="B321" s="281" t="s">
        <v>172</v>
      </c>
      <c r="F321" s="1000">
        <v>2019</v>
      </c>
      <c r="Q321" s="167"/>
    </row>
    <row r="322" spans="2:17" x14ac:dyDescent="0.25">
      <c r="Q322" s="167"/>
    </row>
    <row r="323" spans="2:17" ht="102" customHeight="1" x14ac:dyDescent="0.25">
      <c r="B323" s="1231" t="s">
        <v>173</v>
      </c>
      <c r="C323" s="1232"/>
      <c r="D323" s="1232"/>
      <c r="E323" s="1233"/>
      <c r="F323" s="282"/>
      <c r="G323" s="166" t="str">
        <f>"Nog af te bouwen regulatoir saldo einde "&amp;F321-1</f>
        <v>Nog af te bouwen regulatoir saldo einde 2018</v>
      </c>
      <c r="H323" s="166" t="str">
        <f>"Afbouw oudste openstaande regulatoir saldo vanaf boekjaar "&amp;F321-3&amp;" en vroeger, door aanwending van compensatie met regulatoir saldo ontstaan over boekjaar "&amp;F321-2</f>
        <v>Afbouw oudste openstaande regulatoir saldo vanaf boekjaar 2016 en vroeger, door aanwending van compensatie met regulatoir saldo ontstaan over boekjaar 2017</v>
      </c>
      <c r="I323" s="166" t="str">
        <f>"Nog af te bouwen regulatoir saldo na compensatie einde "&amp;F321-1</f>
        <v>Nog af te bouwen regulatoir saldo na compensatie einde 2018</v>
      </c>
      <c r="J323" s="166" t="str">
        <f>"60% van het geaccumuleerd regulatoir saldo door te rekenen volgens de tariefmethodologie in het boekjaar "&amp;F321</f>
        <v>60% van het geaccumuleerd regulatoir saldo door te rekenen volgens de tariefmethodologie in het boekjaar 2019</v>
      </c>
      <c r="K323" s="166" t="str">
        <f>"Aanwending van het 60% van het geaccumuleerd regulatoir saldo door te rekenen volgens de tariefmethodologie in het boekjaar "&amp;F321</f>
        <v>Aanwending van het 60% van het geaccumuleerd regulatoir saldo door te rekenen volgens de tariefmethodologie in het boekjaar 2019</v>
      </c>
      <c r="L323" s="166" t="str">
        <f>"Totale afbouw over "&amp;F321</f>
        <v>Totale afbouw over 2019</v>
      </c>
      <c r="M323" s="166" t="str">
        <f>"Nog af te bouwen regulatoir saldo einde "&amp;F321</f>
        <v>Nog af te bouwen regulatoir saldo einde 2019</v>
      </c>
      <c r="N323" s="212"/>
      <c r="Q323" s="167"/>
    </row>
    <row r="324" spans="2:17" ht="13" x14ac:dyDescent="0.25">
      <c r="B324" s="1228">
        <v>2015</v>
      </c>
      <c r="C324" s="1229"/>
      <c r="D324" s="1229"/>
      <c r="E324" s="1230"/>
      <c r="F324" s="283"/>
      <c r="G324" s="177">
        <f>+M317</f>
        <v>0</v>
      </c>
      <c r="H324" s="1003">
        <f>IF(SIGN(G326*M319)&lt;0,IF(G324&lt;&gt;0,-SIGN(G324)*MIN(ABS(G326),ABS(G324)),0),0)</f>
        <v>0</v>
      </c>
      <c r="I324" s="177">
        <f>+G324+H324</f>
        <v>0</v>
      </c>
      <c r="J324" s="995"/>
      <c r="K324" s="566">
        <f>-MIN(ABS(I324),ABS(J327))*SIGN(I324)</f>
        <v>0</v>
      </c>
      <c r="L324" s="1003">
        <f>+K324+H324</f>
        <v>0</v>
      </c>
      <c r="M324" s="177">
        <f>+I324+K324</f>
        <v>0</v>
      </c>
      <c r="N324" s="212"/>
      <c r="Q324" s="167"/>
    </row>
    <row r="325" spans="2:17" ht="13" x14ac:dyDescent="0.25">
      <c r="B325" s="1228">
        <v>2016</v>
      </c>
      <c r="C325" s="1229"/>
      <c r="D325" s="1229">
        <v>2016</v>
      </c>
      <c r="E325" s="1230"/>
      <c r="F325" s="283"/>
      <c r="G325" s="177">
        <f>+M318</f>
        <v>0</v>
      </c>
      <c r="H325" s="1003">
        <f>IF(SIGN(G326*M319)&lt;0,IF(G325&lt;&gt;0,-SIGN(G325)*MIN(ABS(G326-H324),ABS(G325)),0),0)</f>
        <v>0</v>
      </c>
      <c r="I325" s="177">
        <f>+G325+H325</f>
        <v>0</v>
      </c>
      <c r="J325" s="995"/>
      <c r="K325" s="566">
        <f>-MIN(ABS(I325),ABS(J327-K324))*SIGN(I325)</f>
        <v>0</v>
      </c>
      <c r="L325" s="1003">
        <f>+K325+H325</f>
        <v>0</v>
      </c>
      <c r="M325" s="177">
        <f>+I325+K325</f>
        <v>0</v>
      </c>
      <c r="N325" s="212"/>
      <c r="Q325" s="167"/>
    </row>
    <row r="326" spans="2:17" ht="13" x14ac:dyDescent="0.25">
      <c r="B326" s="1228">
        <v>2017</v>
      </c>
      <c r="C326" s="1229"/>
      <c r="D326" s="1229"/>
      <c r="E326" s="1230"/>
      <c r="F326" s="283"/>
      <c r="G326" s="177">
        <f>I142</f>
        <v>0</v>
      </c>
      <c r="H326" s="1003">
        <f>IF(SIGN(G326*M319)&lt;0,-SUM(H324:H325),0)</f>
        <v>0</v>
      </c>
      <c r="I326" s="177">
        <f>+G326+H326</f>
        <v>0</v>
      </c>
      <c r="J326" s="995"/>
      <c r="K326" s="566">
        <f>-MIN(ABS(I326),ABS(J327-K324-K325))*SIGN(I326)</f>
        <v>0</v>
      </c>
      <c r="L326" s="1003">
        <f>+K326+H326</f>
        <v>0</v>
      </c>
      <c r="M326" s="177">
        <f>+I326+K326</f>
        <v>0</v>
      </c>
      <c r="N326" s="212"/>
      <c r="Q326" s="167"/>
    </row>
    <row r="327" spans="2:17" s="281" customFormat="1" ht="13" x14ac:dyDescent="0.25">
      <c r="G327" s="284">
        <f>SUM(G324:G326)</f>
        <v>0</v>
      </c>
      <c r="H327" s="169">
        <f>SUM(H324:H326)</f>
        <v>0</v>
      </c>
      <c r="I327" s="284">
        <f>SUM(I324:I326)</f>
        <v>0</v>
      </c>
      <c r="J327" s="284">
        <f>-I327*0.6</f>
        <v>0</v>
      </c>
      <c r="K327" s="169">
        <f>SUM(K324:K326)</f>
        <v>0</v>
      </c>
      <c r="L327" s="570"/>
      <c r="M327" s="284">
        <f>SUM(M324:M326)</f>
        <v>0</v>
      </c>
    </row>
    <row r="328" spans="2:17" x14ac:dyDescent="0.25">
      <c r="H328" s="221"/>
      <c r="Q328" s="167"/>
    </row>
    <row r="329" spans="2:17" ht="13" x14ac:dyDescent="0.25">
      <c r="B329" s="281" t="s">
        <v>172</v>
      </c>
      <c r="F329" s="1000">
        <v>2020</v>
      </c>
      <c r="Q329" s="167"/>
    </row>
    <row r="330" spans="2:17" x14ac:dyDescent="0.25">
      <c r="Q330" s="167"/>
    </row>
    <row r="331" spans="2:17" ht="102" customHeight="1" x14ac:dyDescent="0.25">
      <c r="B331" s="1231" t="s">
        <v>173</v>
      </c>
      <c r="C331" s="1232"/>
      <c r="D331" s="1232"/>
      <c r="E331" s="1233"/>
      <c r="F331" s="282"/>
      <c r="G331" s="166" t="str">
        <f>"Nog af te bouwen regulatoir saldo einde "&amp;F329-1</f>
        <v>Nog af te bouwen regulatoir saldo einde 2019</v>
      </c>
      <c r="H331" s="166" t="str">
        <f>"Afbouw oudste openstaande regulatoir saldo vanaf boekjaar "&amp;F329-3&amp;" en vroeger, door aanwending van compensatie met regulatoir saldo ontstaan over boekjaar "&amp;F329-2</f>
        <v>Afbouw oudste openstaande regulatoir saldo vanaf boekjaar 2017 en vroeger, door aanwending van compensatie met regulatoir saldo ontstaan over boekjaar 2018</v>
      </c>
      <c r="I331" s="166" t="str">
        <f>"Nog af te bouwen regulatoir saldo na compensatie einde "&amp;F329-1</f>
        <v>Nog af te bouwen regulatoir saldo na compensatie einde 2019</v>
      </c>
      <c r="J331" s="166" t="str">
        <f>"60% van het geaccumuleerd regulatoir saldo door te rekenen volgens de tariefmethodologie in het boekjaar "&amp;F329</f>
        <v>60% van het geaccumuleerd regulatoir saldo door te rekenen volgens de tariefmethodologie in het boekjaar 2020</v>
      </c>
      <c r="K331" s="166" t="str">
        <f>"Aanwending van het 60% van het geaccumuleerd regulatoir saldo door te rekenen volgens de tariefmethodologie in het boekjaar "&amp;F329</f>
        <v>Aanwending van het 60% van het geaccumuleerd regulatoir saldo door te rekenen volgens de tariefmethodologie in het boekjaar 2020</v>
      </c>
      <c r="L331" s="166" t="str">
        <f>"Totale afbouw over "&amp;F329</f>
        <v>Totale afbouw over 2020</v>
      </c>
      <c r="M331" s="166" t="str">
        <f>"Nog af te bouwen regulatoir saldo einde "&amp;F329</f>
        <v>Nog af te bouwen regulatoir saldo einde 2020</v>
      </c>
      <c r="N331" s="212"/>
      <c r="Q331" s="167"/>
    </row>
    <row r="332" spans="2:17" ht="13" x14ac:dyDescent="0.25">
      <c r="B332" s="1228">
        <v>2015</v>
      </c>
      <c r="C332" s="1229"/>
      <c r="D332" s="1229"/>
      <c r="E332" s="1230"/>
      <c r="F332" s="283"/>
      <c r="G332" s="177">
        <f>+M324</f>
        <v>0</v>
      </c>
      <c r="H332" s="1003">
        <f>IF(SIGN(G335*M327)&lt;0,IF(G332&lt;&gt;0,-SIGN(G332)*MIN(ABS(G335),ABS(G332)),0),0)</f>
        <v>0</v>
      </c>
      <c r="I332" s="177">
        <f>+G332+H332</f>
        <v>0</v>
      </c>
      <c r="J332" s="995"/>
      <c r="K332" s="566">
        <f>-MIN(ABS(I332),ABS(J336))*SIGN(I332)</f>
        <v>0</v>
      </c>
      <c r="L332" s="1003">
        <f>+K332+H332</f>
        <v>0</v>
      </c>
      <c r="M332" s="177">
        <f>+I332+K332</f>
        <v>0</v>
      </c>
      <c r="N332" s="212"/>
      <c r="Q332" s="167"/>
    </row>
    <row r="333" spans="2:17" ht="13" x14ac:dyDescent="0.25">
      <c r="B333" s="1228">
        <v>2016</v>
      </c>
      <c r="C333" s="1229"/>
      <c r="D333" s="1229"/>
      <c r="E333" s="1230"/>
      <c r="F333" s="283"/>
      <c r="G333" s="177">
        <f>+M325</f>
        <v>0</v>
      </c>
      <c r="H333" s="1003">
        <f>IF(SIGN(G335*M327)&lt;0,IF(G333&lt;&gt;0,-SIGN(G333)*MIN(ABS(G335-H332),ABS(G333)),0),0)</f>
        <v>0</v>
      </c>
      <c r="I333" s="177">
        <f>+G333+H333</f>
        <v>0</v>
      </c>
      <c r="J333" s="995"/>
      <c r="K333" s="566">
        <f>-MIN(ABS(I333),ABS(J336-K332))*SIGN(I333)</f>
        <v>0</v>
      </c>
      <c r="L333" s="1003">
        <f>+K333+H333</f>
        <v>0</v>
      </c>
      <c r="M333" s="177">
        <f>+I333+K333</f>
        <v>0</v>
      </c>
      <c r="N333" s="212"/>
      <c r="Q333" s="167"/>
    </row>
    <row r="334" spans="2:17" ht="13" x14ac:dyDescent="0.25">
      <c r="B334" s="1228">
        <v>2017</v>
      </c>
      <c r="C334" s="1229"/>
      <c r="D334" s="1229">
        <v>2016</v>
      </c>
      <c r="E334" s="1230"/>
      <c r="F334" s="283"/>
      <c r="G334" s="177">
        <f>+M326</f>
        <v>0</v>
      </c>
      <c r="H334" s="1003">
        <f>IF(SIGN(G335*M327)&lt;0,IF(G334&lt;&gt;0,-SIGN(G334)*MIN(ABS(G335-H332-H333),ABS(G334)),0),0)</f>
        <v>0</v>
      </c>
      <c r="I334" s="177">
        <f>+G334+H334</f>
        <v>0</v>
      </c>
      <c r="J334" s="995"/>
      <c r="K334" s="566">
        <f>-MIN(ABS(I334),ABS(J336-K332-K333))*SIGN(I334)</f>
        <v>0</v>
      </c>
      <c r="L334" s="1003">
        <f>+K334+H334</f>
        <v>0</v>
      </c>
      <c r="M334" s="177">
        <f>+I334+K334</f>
        <v>0</v>
      </c>
      <c r="N334" s="212"/>
      <c r="Q334" s="167"/>
    </row>
    <row r="335" spans="2:17" ht="13" x14ac:dyDescent="0.25">
      <c r="B335" s="1228">
        <v>2018</v>
      </c>
      <c r="C335" s="1229"/>
      <c r="D335" s="1229"/>
      <c r="E335" s="1230"/>
      <c r="F335" s="283"/>
      <c r="G335" s="177">
        <f>J143</f>
        <v>0</v>
      </c>
      <c r="H335" s="1003">
        <f>IF(SIGN(G335*M327)&lt;0,-SUM(H332:H334),0)</f>
        <v>0</v>
      </c>
      <c r="I335" s="177">
        <f>+G335+H335</f>
        <v>0</v>
      </c>
      <c r="J335" s="995"/>
      <c r="K335" s="566">
        <f>-MIN(ABS(I335),ABS(J336-K332-K333-K334))*SIGN(I335)</f>
        <v>0</v>
      </c>
      <c r="L335" s="1003">
        <f>+K335+H335</f>
        <v>0</v>
      </c>
      <c r="M335" s="177">
        <f>+I335+K335</f>
        <v>0</v>
      </c>
      <c r="N335" s="212"/>
      <c r="Q335" s="167"/>
    </row>
    <row r="336" spans="2:17" s="281" customFormat="1" ht="13" x14ac:dyDescent="0.25">
      <c r="G336" s="284">
        <f>SUM(G332:G335)</f>
        <v>0</v>
      </c>
      <c r="H336" s="169">
        <f>SUM(H332:H335)</f>
        <v>0</v>
      </c>
      <c r="I336" s="284">
        <f>SUM(I332:I335)</f>
        <v>0</v>
      </c>
      <c r="J336" s="284">
        <f>-I336*0.6</f>
        <v>0</v>
      </c>
      <c r="K336" s="169">
        <f>SUM(K332:K335)</f>
        <v>0</v>
      </c>
      <c r="L336" s="169"/>
      <c r="M336" s="284">
        <f>SUM(M332:M335)</f>
        <v>0</v>
      </c>
    </row>
    <row r="337" spans="2:17" x14ac:dyDescent="0.25">
      <c r="Q337" s="167"/>
    </row>
    <row r="338" spans="2:17" ht="13" x14ac:dyDescent="0.25">
      <c r="B338" s="281" t="s">
        <v>172</v>
      </c>
      <c r="F338" s="1000">
        <v>2021</v>
      </c>
      <c r="Q338" s="167"/>
    </row>
    <row r="339" spans="2:17" x14ac:dyDescent="0.25">
      <c r="Q339" s="167"/>
    </row>
    <row r="340" spans="2:17" ht="102" customHeight="1" x14ac:dyDescent="0.25">
      <c r="B340" s="1231" t="s">
        <v>173</v>
      </c>
      <c r="C340" s="1232"/>
      <c r="D340" s="1232"/>
      <c r="E340" s="1233"/>
      <c r="F340" s="282"/>
      <c r="G340" s="166" t="str">
        <f>"Nog af te bouwen regulatoir saldo einde "&amp;F338-1</f>
        <v>Nog af te bouwen regulatoir saldo einde 2020</v>
      </c>
      <c r="H340" s="166" t="str">
        <f>"50% van oorspronkelijk saldo door te rekenen volgens de tariefmethodologie in het boekjaar "&amp;F338</f>
        <v>50% van oorspronkelijk saldo door te rekenen volgens de tariefmethodologie in het boekjaar 2021</v>
      </c>
      <c r="I340" s="166" t="str">
        <f>"Nog af te bouwen regulatoir saldo einde "&amp;F338</f>
        <v>Nog af te bouwen regulatoir saldo einde 2021</v>
      </c>
      <c r="J340" s="212"/>
      <c r="Q340" s="167"/>
    </row>
    <row r="341" spans="2:17" ht="13" x14ac:dyDescent="0.25">
      <c r="B341" s="1228">
        <v>2015</v>
      </c>
      <c r="C341" s="1229"/>
      <c r="D341" s="1229"/>
      <c r="E341" s="1230"/>
      <c r="F341" s="283"/>
      <c r="G341" s="177">
        <f>M332</f>
        <v>0</v>
      </c>
      <c r="H341" s="177">
        <f>-G341*0.5</f>
        <v>0</v>
      </c>
      <c r="I341" s="177">
        <f>+G341+H341</f>
        <v>0</v>
      </c>
      <c r="J341" s="212"/>
      <c r="Q341" s="167"/>
    </row>
    <row r="342" spans="2:17" ht="13" x14ac:dyDescent="0.25">
      <c r="B342" s="1228">
        <v>2016</v>
      </c>
      <c r="C342" s="1229"/>
      <c r="D342" s="1229"/>
      <c r="E342" s="1230"/>
      <c r="F342" s="283"/>
      <c r="G342" s="177">
        <f t="shared" ref="G342:G344" si="57">M333</f>
        <v>0</v>
      </c>
      <c r="H342" s="177">
        <f t="shared" ref="H342:H345" si="58">-G342*0.5</f>
        <v>0</v>
      </c>
      <c r="I342" s="177">
        <f t="shared" ref="I342:I345" si="59">+G342+H342</f>
        <v>0</v>
      </c>
      <c r="J342" s="212"/>
      <c r="Q342" s="167"/>
    </row>
    <row r="343" spans="2:17" ht="13" x14ac:dyDescent="0.25">
      <c r="B343" s="1228">
        <v>2017</v>
      </c>
      <c r="C343" s="1229"/>
      <c r="D343" s="1229">
        <v>2016</v>
      </c>
      <c r="E343" s="1230"/>
      <c r="F343" s="283"/>
      <c r="G343" s="177">
        <f t="shared" si="57"/>
        <v>0</v>
      </c>
      <c r="H343" s="177">
        <f t="shared" si="58"/>
        <v>0</v>
      </c>
      <c r="I343" s="177">
        <f t="shared" si="59"/>
        <v>0</v>
      </c>
      <c r="J343" s="212"/>
      <c r="Q343" s="167"/>
    </row>
    <row r="344" spans="2:17" ht="13" x14ac:dyDescent="0.25">
      <c r="B344" s="1228">
        <v>2018</v>
      </c>
      <c r="C344" s="1229"/>
      <c r="D344" s="1229"/>
      <c r="E344" s="1230"/>
      <c r="F344" s="283"/>
      <c r="G344" s="177">
        <f t="shared" si="57"/>
        <v>0</v>
      </c>
      <c r="H344" s="177">
        <f t="shared" si="58"/>
        <v>0</v>
      </c>
      <c r="I344" s="177">
        <f t="shared" si="59"/>
        <v>0</v>
      </c>
      <c r="J344" s="212"/>
      <c r="Q344" s="167"/>
    </row>
    <row r="345" spans="2:17" ht="13" x14ac:dyDescent="0.25">
      <c r="B345" s="1228">
        <v>2019</v>
      </c>
      <c r="C345" s="1229"/>
      <c r="D345" s="1229"/>
      <c r="E345" s="1230"/>
      <c r="F345" s="283"/>
      <c r="G345" s="177">
        <f>K144</f>
        <v>0</v>
      </c>
      <c r="H345" s="177">
        <f t="shared" si="58"/>
        <v>0</v>
      </c>
      <c r="I345" s="177">
        <f t="shared" si="59"/>
        <v>0</v>
      </c>
      <c r="J345" s="212"/>
      <c r="Q345" s="167"/>
    </row>
    <row r="346" spans="2:17" s="281" customFormat="1" ht="13" x14ac:dyDescent="0.25">
      <c r="G346" s="284">
        <f>SUM(G341:G345)</f>
        <v>0</v>
      </c>
      <c r="H346" s="284">
        <f>SUM(H341:H345)</f>
        <v>0</v>
      </c>
      <c r="I346" s="284">
        <f>SUM(I341:I345)</f>
        <v>0</v>
      </c>
    </row>
    <row r="347" spans="2:17" x14ac:dyDescent="0.25">
      <c r="Q347" s="167"/>
    </row>
    <row r="348" spans="2:17" ht="13" x14ac:dyDescent="0.25">
      <c r="B348" s="847" t="s">
        <v>172</v>
      </c>
      <c r="C348" s="842"/>
      <c r="D348" s="842"/>
      <c r="E348" s="842"/>
      <c r="F348" s="1004">
        <v>2022</v>
      </c>
      <c r="G348" s="842"/>
      <c r="H348" s="842"/>
      <c r="I348" s="842"/>
      <c r="Q348" s="167"/>
    </row>
    <row r="349" spans="2:17" x14ac:dyDescent="0.25">
      <c r="B349" s="842"/>
      <c r="C349" s="842"/>
      <c r="D349" s="842"/>
      <c r="E349" s="842"/>
      <c r="F349" s="842"/>
      <c r="G349" s="842"/>
      <c r="H349" s="842"/>
      <c r="I349" s="842"/>
      <c r="Q349" s="167"/>
    </row>
    <row r="350" spans="2:17" ht="102" customHeight="1" x14ac:dyDescent="0.25">
      <c r="B350" s="1237" t="s">
        <v>173</v>
      </c>
      <c r="C350" s="1238"/>
      <c r="D350" s="1238"/>
      <c r="E350" s="1239"/>
      <c r="F350" s="848"/>
      <c r="G350" s="837" t="str">
        <f>"Nog af te bouwen regulatoir saldo einde "&amp;F348-1</f>
        <v>Nog af te bouwen regulatoir saldo einde 2021</v>
      </c>
      <c r="H350" s="837" t="str">
        <f>"50% van oorspronkelijk saldo door te rekenen volgens de tariefmethodologie in het boekjaar "&amp;F348</f>
        <v>50% van oorspronkelijk saldo door te rekenen volgens de tariefmethodologie in het boekjaar 2022</v>
      </c>
      <c r="I350" s="837" t="str">
        <f>"Nog af te bouwen regulatoir saldo einde "&amp;F348</f>
        <v>Nog af te bouwen regulatoir saldo einde 2022</v>
      </c>
      <c r="J350" s="212"/>
      <c r="Q350" s="167"/>
    </row>
    <row r="351" spans="2:17" ht="13" x14ac:dyDescent="0.25">
      <c r="B351" s="1234">
        <v>2015</v>
      </c>
      <c r="C351" s="1235"/>
      <c r="D351" s="1235"/>
      <c r="E351" s="1236"/>
      <c r="F351" s="341"/>
      <c r="G351" s="339">
        <f>+I341</f>
        <v>0</v>
      </c>
      <c r="H351" s="339">
        <f>-G341*0.5</f>
        <v>0</v>
      </c>
      <c r="I351" s="339">
        <f>+G351+H351</f>
        <v>0</v>
      </c>
      <c r="J351" s="212"/>
      <c r="Q351" s="167"/>
    </row>
    <row r="352" spans="2:17" ht="13" x14ac:dyDescent="0.25">
      <c r="B352" s="1234">
        <v>2016</v>
      </c>
      <c r="C352" s="1235"/>
      <c r="D352" s="1235"/>
      <c r="E352" s="1236"/>
      <c r="F352" s="341"/>
      <c r="G352" s="339">
        <f t="shared" ref="G352:G355" si="60">+I342</f>
        <v>0</v>
      </c>
      <c r="H352" s="339">
        <f t="shared" ref="H352:H355" si="61">-G342*0.5</f>
        <v>0</v>
      </c>
      <c r="I352" s="339">
        <f t="shared" ref="I352:I356" si="62">+G352+H352</f>
        <v>0</v>
      </c>
      <c r="J352" s="212"/>
      <c r="Q352" s="167"/>
    </row>
    <row r="353" spans="2:17" ht="13" x14ac:dyDescent="0.25">
      <c r="B353" s="1234">
        <v>2017</v>
      </c>
      <c r="C353" s="1235"/>
      <c r="D353" s="1235">
        <v>2016</v>
      </c>
      <c r="E353" s="1236"/>
      <c r="F353" s="341"/>
      <c r="G353" s="339">
        <f t="shared" si="60"/>
        <v>0</v>
      </c>
      <c r="H353" s="339">
        <f t="shared" si="61"/>
        <v>0</v>
      </c>
      <c r="I353" s="339">
        <f t="shared" si="62"/>
        <v>0</v>
      </c>
      <c r="J353" s="212"/>
      <c r="Q353" s="167"/>
    </row>
    <row r="354" spans="2:17" ht="13" x14ac:dyDescent="0.25">
      <c r="B354" s="1234">
        <v>2018</v>
      </c>
      <c r="C354" s="1235"/>
      <c r="D354" s="1235"/>
      <c r="E354" s="1236"/>
      <c r="F354" s="341"/>
      <c r="G354" s="339">
        <f t="shared" si="60"/>
        <v>0</v>
      </c>
      <c r="H354" s="339">
        <f t="shared" si="61"/>
        <v>0</v>
      </c>
      <c r="I354" s="339">
        <f t="shared" si="62"/>
        <v>0</v>
      </c>
      <c r="J354" s="212"/>
      <c r="Q354" s="167"/>
    </row>
    <row r="355" spans="2:17" ht="13" x14ac:dyDescent="0.25">
      <c r="B355" s="1234">
        <v>2019</v>
      </c>
      <c r="C355" s="1235"/>
      <c r="D355" s="1235"/>
      <c r="E355" s="1236"/>
      <c r="F355" s="341"/>
      <c r="G355" s="339">
        <f t="shared" si="60"/>
        <v>0</v>
      </c>
      <c r="H355" s="339">
        <f t="shared" si="61"/>
        <v>0</v>
      </c>
      <c r="I355" s="339">
        <f t="shared" si="62"/>
        <v>0</v>
      </c>
      <c r="J355" s="212"/>
      <c r="Q355" s="167"/>
    </row>
    <row r="356" spans="2:17" ht="13" x14ac:dyDescent="0.25">
      <c r="B356" s="1234">
        <v>2020</v>
      </c>
      <c r="C356" s="1235"/>
      <c r="D356" s="1235"/>
      <c r="E356" s="1236"/>
      <c r="F356" s="341"/>
      <c r="G356" s="339">
        <f>L145</f>
        <v>0</v>
      </c>
      <c r="H356" s="339">
        <f t="shared" ref="H356" si="63">-G356*0.5</f>
        <v>0</v>
      </c>
      <c r="I356" s="339">
        <f t="shared" si="62"/>
        <v>0</v>
      </c>
      <c r="J356" s="212"/>
      <c r="Q356" s="167"/>
    </row>
    <row r="357" spans="2:17" s="281" customFormat="1" ht="13" x14ac:dyDescent="0.25">
      <c r="B357" s="847"/>
      <c r="C357" s="847"/>
      <c r="D357" s="847"/>
      <c r="E357" s="847"/>
      <c r="F357" s="847"/>
      <c r="G357" s="849">
        <f>SUM(G351:G356)</f>
        <v>0</v>
      </c>
      <c r="H357" s="849">
        <f t="shared" ref="H357" si="64">SUM(H351:H356)</f>
        <v>0</v>
      </c>
      <c r="I357" s="849">
        <f t="shared" ref="I357" si="65">SUM(I351:I356)</f>
        <v>0</v>
      </c>
    </row>
    <row r="358" spans="2:17" x14ac:dyDescent="0.25">
      <c r="B358" s="842"/>
      <c r="C358" s="842"/>
      <c r="D358" s="842"/>
      <c r="E358" s="842"/>
      <c r="F358" s="842"/>
      <c r="G358" s="842"/>
      <c r="H358" s="842"/>
      <c r="I358" s="842"/>
      <c r="Q358" s="167"/>
    </row>
    <row r="359" spans="2:17" ht="13" x14ac:dyDescent="0.25">
      <c r="B359" s="847" t="s">
        <v>172</v>
      </c>
      <c r="C359" s="842"/>
      <c r="D359" s="842"/>
      <c r="E359" s="842"/>
      <c r="F359" s="1004">
        <v>2023</v>
      </c>
      <c r="G359" s="842"/>
      <c r="H359" s="842"/>
      <c r="I359" s="842"/>
      <c r="Q359" s="167"/>
    </row>
    <row r="360" spans="2:17" x14ac:dyDescent="0.25">
      <c r="B360" s="842"/>
      <c r="C360" s="842"/>
      <c r="D360" s="842"/>
      <c r="E360" s="842"/>
      <c r="F360" s="842"/>
      <c r="G360" s="842"/>
      <c r="H360" s="842"/>
      <c r="I360" s="842"/>
      <c r="Q360" s="167"/>
    </row>
    <row r="361" spans="2:17" ht="102" customHeight="1" x14ac:dyDescent="0.25">
      <c r="B361" s="1237" t="s">
        <v>173</v>
      </c>
      <c r="C361" s="1238"/>
      <c r="D361" s="1238"/>
      <c r="E361" s="1239"/>
      <c r="F361" s="848"/>
      <c r="G361" s="837" t="str">
        <f>"Nog af te bouwen regulatoir saldo einde "&amp;F359-1</f>
        <v>Nog af te bouwen regulatoir saldo einde 2022</v>
      </c>
      <c r="H361" s="837" t="str">
        <f>"50% van oorspronkelijk saldo door te rekenen volgens de tariefmethodologie in het boekjaar "&amp;F359</f>
        <v>50% van oorspronkelijk saldo door te rekenen volgens de tariefmethodologie in het boekjaar 2023</v>
      </c>
      <c r="I361" s="837" t="str">
        <f>"Nog af te bouwen regulatoir saldo einde "&amp;F359</f>
        <v>Nog af te bouwen regulatoir saldo einde 2023</v>
      </c>
      <c r="J361" s="212"/>
      <c r="Q361" s="167"/>
    </row>
    <row r="362" spans="2:17" ht="13" x14ac:dyDescent="0.25">
      <c r="B362" s="1234">
        <v>2020</v>
      </c>
      <c r="C362" s="1235"/>
      <c r="D362" s="1235"/>
      <c r="E362" s="1236"/>
      <c r="F362" s="341"/>
      <c r="G362" s="339">
        <f>+I356</f>
        <v>0</v>
      </c>
      <c r="H362" s="339">
        <f>-G356*0.5</f>
        <v>0</v>
      </c>
      <c r="I362" s="339">
        <f t="shared" ref="I362:I363" si="66">+G362+H362</f>
        <v>0</v>
      </c>
      <c r="J362" s="212"/>
      <c r="Q362" s="167"/>
    </row>
    <row r="363" spans="2:17" ht="13" x14ac:dyDescent="0.25">
      <c r="B363" s="1234">
        <v>2021</v>
      </c>
      <c r="C363" s="1235"/>
      <c r="D363" s="1235"/>
      <c r="E363" s="1236"/>
      <c r="F363" s="341"/>
      <c r="G363" s="339">
        <f>M146</f>
        <v>0</v>
      </c>
      <c r="H363" s="339">
        <f t="shared" ref="H363" si="67">-G363*0.5</f>
        <v>0</v>
      </c>
      <c r="I363" s="339">
        <f t="shared" si="66"/>
        <v>0</v>
      </c>
      <c r="J363" s="212"/>
      <c r="Q363" s="167"/>
    </row>
    <row r="364" spans="2:17" s="281" customFormat="1" ht="13" x14ac:dyDescent="0.25">
      <c r="B364" s="847"/>
      <c r="C364" s="847"/>
      <c r="D364" s="847"/>
      <c r="E364" s="847"/>
      <c r="F364" s="847"/>
      <c r="G364" s="849">
        <f>SUM(G362:G363)</f>
        <v>0</v>
      </c>
      <c r="H364" s="849">
        <f>SUM(H362:H363)</f>
        <v>0</v>
      </c>
      <c r="I364" s="849">
        <f>SUM(I362:I363)</f>
        <v>0</v>
      </c>
    </row>
    <row r="365" spans="2:17" x14ac:dyDescent="0.25">
      <c r="B365" s="842"/>
      <c r="C365" s="842"/>
      <c r="D365" s="842"/>
      <c r="E365" s="842"/>
      <c r="F365" s="842"/>
      <c r="G365" s="842"/>
      <c r="H365" s="842"/>
      <c r="I365" s="842"/>
      <c r="Q365" s="167"/>
    </row>
    <row r="366" spans="2:17" ht="13" x14ac:dyDescent="0.25">
      <c r="B366" s="847" t="s">
        <v>172</v>
      </c>
      <c r="C366" s="842"/>
      <c r="D366" s="842"/>
      <c r="E366" s="842"/>
      <c r="F366" s="1004">
        <v>2024</v>
      </c>
      <c r="G366" s="842"/>
      <c r="H366" s="842"/>
      <c r="I366" s="842"/>
      <c r="Q366" s="167"/>
    </row>
    <row r="367" spans="2:17" x14ac:dyDescent="0.25">
      <c r="B367" s="842"/>
      <c r="C367" s="842"/>
      <c r="D367" s="842"/>
      <c r="E367" s="842"/>
      <c r="F367" s="842"/>
      <c r="G367" s="842"/>
      <c r="H367" s="842"/>
      <c r="I367" s="842"/>
      <c r="Q367" s="167"/>
    </row>
    <row r="368" spans="2:17" ht="102" customHeight="1" x14ac:dyDescent="0.25">
      <c r="B368" s="1237" t="s">
        <v>173</v>
      </c>
      <c r="C368" s="1238"/>
      <c r="D368" s="1238"/>
      <c r="E368" s="1239"/>
      <c r="F368" s="848"/>
      <c r="G368" s="837" t="str">
        <f>"Nog af te bouwen regulatoir saldo einde "&amp;F366-1</f>
        <v>Nog af te bouwen regulatoir saldo einde 2023</v>
      </c>
      <c r="H368" s="837" t="str">
        <f>"50% van oorspronkelijk saldo door te rekenen volgens de tariefmethodologie in het boekjaar "&amp;F366</f>
        <v>50% van oorspronkelijk saldo door te rekenen volgens de tariefmethodologie in het boekjaar 2024</v>
      </c>
      <c r="I368" s="837" t="str">
        <f>"Nog af te bouwen regulatoir saldo einde "&amp;F366</f>
        <v>Nog af te bouwen regulatoir saldo einde 2024</v>
      </c>
      <c r="J368" s="212"/>
      <c r="Q368" s="167"/>
    </row>
    <row r="369" spans="2:17" ht="13" x14ac:dyDescent="0.25">
      <c r="B369" s="1234">
        <v>2021</v>
      </c>
      <c r="C369" s="1235"/>
      <c r="D369" s="1235"/>
      <c r="E369" s="1236"/>
      <c r="F369" s="341"/>
      <c r="G369" s="339">
        <f>+I363</f>
        <v>0</v>
      </c>
      <c r="H369" s="339">
        <f>-G363*0.5</f>
        <v>0</v>
      </c>
      <c r="I369" s="339">
        <f t="shared" ref="I369:I370" si="68">+G369+H369</f>
        <v>0</v>
      </c>
      <c r="J369" s="212"/>
      <c r="Q369" s="167"/>
    </row>
    <row r="370" spans="2:17" ht="13" x14ac:dyDescent="0.25">
      <c r="B370" s="1234">
        <v>2022</v>
      </c>
      <c r="C370" s="1235"/>
      <c r="D370" s="1235"/>
      <c r="E370" s="1236"/>
      <c r="F370" s="341"/>
      <c r="G370" s="339">
        <f>N147</f>
        <v>0</v>
      </c>
      <c r="H370" s="339">
        <f>-G370*0.5</f>
        <v>0</v>
      </c>
      <c r="I370" s="339">
        <f t="shared" si="68"/>
        <v>0</v>
      </c>
      <c r="J370" s="212"/>
      <c r="Q370" s="167"/>
    </row>
    <row r="371" spans="2:17" s="281" customFormat="1" ht="13" x14ac:dyDescent="0.25">
      <c r="B371" s="847"/>
      <c r="C371" s="847"/>
      <c r="D371" s="847"/>
      <c r="E371" s="847"/>
      <c r="F371" s="847"/>
      <c r="G371" s="849">
        <f>SUM(G369:G370)</f>
        <v>0</v>
      </c>
      <c r="H371" s="849">
        <f>SUM(H369:H370)</f>
        <v>0</v>
      </c>
      <c r="I371" s="849">
        <f>SUM(I369:I370)</f>
        <v>0</v>
      </c>
    </row>
    <row r="372" spans="2:17" x14ac:dyDescent="0.25">
      <c r="Q372" s="167"/>
    </row>
    <row r="373" spans="2:17" ht="13" x14ac:dyDescent="0.25">
      <c r="B373" s="281" t="str">
        <f>B307</f>
        <v>Het tarief voor het systeembeheer</v>
      </c>
      <c r="Q373" s="167"/>
    </row>
    <row r="374" spans="2:17" ht="13" x14ac:dyDescent="0.25">
      <c r="B374" s="281" t="s">
        <v>174</v>
      </c>
      <c r="C374" s="224"/>
      <c r="D374" s="224"/>
      <c r="E374" s="224"/>
      <c r="Q374" s="167"/>
    </row>
    <row r="375" spans="2:17" ht="13" x14ac:dyDescent="0.25">
      <c r="C375" s="224"/>
      <c r="D375" s="224"/>
      <c r="E375" s="224"/>
      <c r="Q375" s="167"/>
    </row>
    <row r="376" spans="2:17" ht="13" x14ac:dyDescent="0.25">
      <c r="B376" s="283">
        <v>2021</v>
      </c>
      <c r="C376" s="287">
        <f>+H346</f>
        <v>0</v>
      </c>
      <c r="D376" s="224"/>
      <c r="E376" s="224"/>
      <c r="Q376" s="167"/>
    </row>
    <row r="377" spans="2:17" ht="13" x14ac:dyDescent="0.25">
      <c r="B377" s="341">
        <v>2022</v>
      </c>
      <c r="C377" s="342">
        <f>+H357</f>
        <v>0</v>
      </c>
      <c r="D377" s="224"/>
      <c r="E377" s="224"/>
      <c r="Q377" s="167"/>
    </row>
    <row r="378" spans="2:17" ht="13" x14ac:dyDescent="0.25">
      <c r="B378" s="341">
        <v>2023</v>
      </c>
      <c r="C378" s="342">
        <f>+H364</f>
        <v>0</v>
      </c>
      <c r="D378" s="224"/>
      <c r="E378" s="224"/>
      <c r="Q378" s="167"/>
    </row>
    <row r="379" spans="2:17" ht="13" x14ac:dyDescent="0.25">
      <c r="B379" s="341">
        <v>2024</v>
      </c>
      <c r="C379" s="342">
        <f>+H371</f>
        <v>0</v>
      </c>
      <c r="D379" s="224"/>
      <c r="E379" s="224"/>
      <c r="Q379" s="167"/>
    </row>
    <row r="380" spans="2:17" x14ac:dyDescent="0.25">
      <c r="Q380" s="167"/>
    </row>
    <row r="381" spans="2:17" x14ac:dyDescent="0.25">
      <c r="Q381" s="167"/>
    </row>
    <row r="382" spans="2:17" ht="13" x14ac:dyDescent="0.25">
      <c r="B382" s="326" t="s">
        <v>205</v>
      </c>
      <c r="C382" s="327"/>
      <c r="D382" s="327"/>
      <c r="E382" s="327"/>
      <c r="F382" s="328"/>
      <c r="G382" s="328"/>
      <c r="H382" s="328"/>
      <c r="I382" s="328"/>
      <c r="J382" s="328"/>
      <c r="K382" s="328"/>
      <c r="L382" s="328"/>
      <c r="M382" s="328"/>
      <c r="Q382" s="167"/>
    </row>
    <row r="383" spans="2:17" x14ac:dyDescent="0.25">
      <c r="Q383" s="167"/>
    </row>
    <row r="384" spans="2:17" ht="13" x14ac:dyDescent="0.25">
      <c r="B384" s="281" t="s">
        <v>172</v>
      </c>
      <c r="F384" s="1000">
        <v>2017</v>
      </c>
      <c r="Q384" s="167"/>
    </row>
    <row r="385" spans="2:17" x14ac:dyDescent="0.25">
      <c r="L385" s="212"/>
      <c r="Q385" s="167"/>
    </row>
    <row r="386" spans="2:17" ht="102" customHeight="1" x14ac:dyDescent="0.25">
      <c r="B386" s="1231" t="s">
        <v>173</v>
      </c>
      <c r="C386" s="1232"/>
      <c r="D386" s="1232"/>
      <c r="E386" s="1233"/>
      <c r="F386" s="282"/>
      <c r="G386" s="166" t="str">
        <f>"Nog af te bouwen regulatoir saldo einde "&amp;F384-1</f>
        <v>Nog af te bouwen regulatoir saldo einde 2016</v>
      </c>
      <c r="H386" s="166" t="str">
        <f>"Afbouw oudste openstaande regulatoir saldo vanaf boekjaar "&amp;F384-3&amp;" en vroeger, door aanwending van compensatie met regulatoir saldo ontstaan over boekjaar "&amp;F384-2</f>
        <v>Afbouw oudste openstaande regulatoir saldo vanaf boekjaar 2014 en vroeger, door aanwending van compensatie met regulatoir saldo ontstaan over boekjaar 2015</v>
      </c>
      <c r="I386" s="166" t="str">
        <f>"Nog af te bouwen regulatoir saldo na compensatie einde "&amp;F384-1</f>
        <v>Nog af te bouwen regulatoir saldo na compensatie einde 2016</v>
      </c>
      <c r="J386" s="166" t="str">
        <f>"Aanwending van 60% van het geaccumuleerd regulatoir saldo door te rekenen volgens de tariefmethodologie in het boekjaar "&amp;F384</f>
        <v>Aanwending van 60% van het geaccumuleerd regulatoir saldo door te rekenen volgens de tariefmethodologie in het boekjaar 2017</v>
      </c>
      <c r="K386" s="166" t="str">
        <f>"Nog af te bouwen regulatoir saldo einde "&amp;F384</f>
        <v>Nog af te bouwen regulatoir saldo einde 2017</v>
      </c>
      <c r="L386" s="212"/>
      <c r="Q386" s="167"/>
    </row>
    <row r="387" spans="2:17" ht="13" x14ac:dyDescent="0.25">
      <c r="B387" s="1228">
        <v>2015</v>
      </c>
      <c r="C387" s="1229"/>
      <c r="D387" s="1229"/>
      <c r="E387" s="1230"/>
      <c r="F387" s="283"/>
      <c r="G387" s="177">
        <f>G151</f>
        <v>0</v>
      </c>
      <c r="H387" s="566">
        <v>0</v>
      </c>
      <c r="I387" s="177">
        <f>+G387+H387</f>
        <v>0</v>
      </c>
      <c r="J387" s="177">
        <f>-I387*0.6</f>
        <v>0</v>
      </c>
      <c r="K387" s="1001">
        <f>+J387+G387</f>
        <v>0</v>
      </c>
      <c r="L387" s="212"/>
      <c r="Q387" s="167"/>
    </row>
    <row r="388" spans="2:17" x14ac:dyDescent="0.25">
      <c r="L388" s="212"/>
      <c r="Q388" s="167"/>
    </row>
    <row r="389" spans="2:17" ht="13" x14ac:dyDescent="0.25">
      <c r="B389" s="281" t="s">
        <v>172</v>
      </c>
      <c r="F389" s="1000">
        <v>2018</v>
      </c>
      <c r="Q389" s="167"/>
    </row>
    <row r="390" spans="2:17" x14ac:dyDescent="0.25">
      <c r="Q390" s="167"/>
    </row>
    <row r="391" spans="2:17" ht="102" customHeight="1" x14ac:dyDescent="0.25">
      <c r="B391" s="1231" t="s">
        <v>173</v>
      </c>
      <c r="C391" s="1232"/>
      <c r="D391" s="1232"/>
      <c r="E391" s="1233"/>
      <c r="F391" s="282"/>
      <c r="G391" s="166" t="str">
        <f>"Nog af te bouwen regulatoir saldo einde "&amp;F389-1</f>
        <v>Nog af te bouwen regulatoir saldo einde 2017</v>
      </c>
      <c r="H391" s="166" t="str">
        <f>"Afbouw oudste openstaande regulatoir saldo vanaf boekjaar "&amp;F389-3&amp;" en vroeger, door aanwending van compensatie met regulatoir saldo ontstaan over boekjaar "&amp;F389-2</f>
        <v>Afbouw oudste openstaande regulatoir saldo vanaf boekjaar 2015 en vroeger, door aanwending van compensatie met regulatoir saldo ontstaan over boekjaar 2016</v>
      </c>
      <c r="I391" s="166" t="str">
        <f>"Nog af te bouwen regulatoir saldo na compensatie einde "&amp;F389-1</f>
        <v>Nog af te bouwen regulatoir saldo na compensatie einde 2017</v>
      </c>
      <c r="J391" s="166" t="str">
        <f>"60% van het geaccumuleerd regulatoir saldo door te rekenen volgens de tariefmethodologie in het boekjaar "&amp;F389</f>
        <v>60% van het geaccumuleerd regulatoir saldo door te rekenen volgens de tariefmethodologie in het boekjaar 2018</v>
      </c>
      <c r="K391" s="166" t="str">
        <f>"Aanwending van 60% van het geaccumuleerd regulatoir saldo door te rekenen volgens de tariefmethodologie in het boekjaar "&amp;F389</f>
        <v>Aanwending van 60% van het geaccumuleerd regulatoir saldo door te rekenen volgens de tariefmethodologie in het boekjaar 2018</v>
      </c>
      <c r="L391" s="166" t="str">
        <f>"Totale afbouw over "&amp;F389</f>
        <v>Totale afbouw over 2018</v>
      </c>
      <c r="M391" s="166" t="str">
        <f>"Nog af te bouwen regulatoir saldo einde "&amp;F389</f>
        <v>Nog af te bouwen regulatoir saldo einde 2018</v>
      </c>
      <c r="N391" s="212"/>
      <c r="Q391" s="167"/>
    </row>
    <row r="392" spans="2:17" ht="13" x14ac:dyDescent="0.25">
      <c r="B392" s="1228">
        <v>2015</v>
      </c>
      <c r="C392" s="1229"/>
      <c r="D392" s="1229"/>
      <c r="E392" s="1230"/>
      <c r="F392" s="283"/>
      <c r="G392" s="177">
        <f>K387</f>
        <v>0</v>
      </c>
      <c r="H392" s="566">
        <f>IF(SIGN(G393*K387)&lt;0,IF(G392&lt;&gt;0,-SIGN(G392)*MIN(ABS(G393),ABS(G392)),0),0)</f>
        <v>0</v>
      </c>
      <c r="I392" s="177">
        <f>+G392+H392</f>
        <v>0</v>
      </c>
      <c r="J392" s="995"/>
      <c r="K392" s="566">
        <f>-MIN(ABS(I392),ABS(J394))*SIGN(I392)</f>
        <v>0</v>
      </c>
      <c r="L392" s="1003">
        <f>+K392+H392</f>
        <v>0</v>
      </c>
      <c r="M392" s="177">
        <f>+I392+K392</f>
        <v>0</v>
      </c>
      <c r="N392" s="212"/>
      <c r="Q392" s="167"/>
    </row>
    <row r="393" spans="2:17" ht="13" x14ac:dyDescent="0.25">
      <c r="B393" s="1228">
        <v>2016</v>
      </c>
      <c r="C393" s="1229"/>
      <c r="D393" s="1229"/>
      <c r="E393" s="1230"/>
      <c r="F393" s="283"/>
      <c r="G393" s="177">
        <f>H152</f>
        <v>0</v>
      </c>
      <c r="H393" s="1003">
        <f>IF(SIGN(G393*K387)&lt;0,-H392,0)</f>
        <v>0</v>
      </c>
      <c r="I393" s="177">
        <f>+G393+H393</f>
        <v>0</v>
      </c>
      <c r="J393" s="995"/>
      <c r="K393" s="566">
        <f>-MIN(ABS(I393),ABS(J394-K392))*SIGN(I393)</f>
        <v>0</v>
      </c>
      <c r="L393" s="1003">
        <f>+K393+H393</f>
        <v>0</v>
      </c>
      <c r="M393" s="177">
        <f>+I393+K393</f>
        <v>0</v>
      </c>
      <c r="N393" s="212"/>
      <c r="Q393" s="167"/>
    </row>
    <row r="394" spans="2:17" s="281" customFormat="1" ht="13" x14ac:dyDescent="0.25">
      <c r="G394" s="284">
        <f>SUM(G392:G393)</f>
        <v>0</v>
      </c>
      <c r="H394" s="169">
        <f>SUM(H392:H393)</f>
        <v>0</v>
      </c>
      <c r="I394" s="284">
        <f>SUM(I392:I393)</f>
        <v>0</v>
      </c>
      <c r="J394" s="284">
        <f>-I394*0.6</f>
        <v>0</v>
      </c>
      <c r="K394" s="169">
        <f>SUM(K392:K393)</f>
        <v>0</v>
      </c>
      <c r="L394" s="570"/>
      <c r="M394" s="284">
        <f>SUM(M392:M393)</f>
        <v>0</v>
      </c>
    </row>
    <row r="395" spans="2:17" x14ac:dyDescent="0.25">
      <c r="H395" s="221"/>
      <c r="Q395" s="167"/>
    </row>
    <row r="396" spans="2:17" ht="13" x14ac:dyDescent="0.25">
      <c r="B396" s="281" t="s">
        <v>172</v>
      </c>
      <c r="F396" s="1000">
        <v>2019</v>
      </c>
      <c r="Q396" s="167"/>
    </row>
    <row r="397" spans="2:17" x14ac:dyDescent="0.25">
      <c r="Q397" s="167"/>
    </row>
    <row r="398" spans="2:17" ht="102" customHeight="1" x14ac:dyDescent="0.25">
      <c r="B398" s="1231" t="s">
        <v>173</v>
      </c>
      <c r="C398" s="1232"/>
      <c r="D398" s="1232"/>
      <c r="E398" s="1233"/>
      <c r="F398" s="282"/>
      <c r="G398" s="166" t="str">
        <f>"Nog af te bouwen regulatoir saldo einde "&amp;F396-1</f>
        <v>Nog af te bouwen regulatoir saldo einde 2018</v>
      </c>
      <c r="H398" s="166" t="str">
        <f>"Afbouw oudste openstaande regulatoir saldo vanaf boekjaar "&amp;F396-3&amp;" en vroeger, door aanwending van compensatie met regulatoir saldo ontstaan over boekjaar "&amp;F396-2</f>
        <v>Afbouw oudste openstaande regulatoir saldo vanaf boekjaar 2016 en vroeger, door aanwending van compensatie met regulatoir saldo ontstaan over boekjaar 2017</v>
      </c>
      <c r="I398" s="166" t="str">
        <f>"Nog af te bouwen regulatoir saldo na compensatie einde "&amp;F396-1</f>
        <v>Nog af te bouwen regulatoir saldo na compensatie einde 2018</v>
      </c>
      <c r="J398" s="166" t="str">
        <f>"60% van het geaccumuleerd regulatoir saldo door te rekenen volgens de tariefmethodologie in het boekjaar "&amp;F396</f>
        <v>60% van het geaccumuleerd regulatoir saldo door te rekenen volgens de tariefmethodologie in het boekjaar 2019</v>
      </c>
      <c r="K398" s="166" t="str">
        <f>"Aanwending van het 60% van het geaccumuleerd regulatoir saldo door te rekenen volgens de tariefmethodologie in het boekjaar "&amp;F396</f>
        <v>Aanwending van het 60% van het geaccumuleerd regulatoir saldo door te rekenen volgens de tariefmethodologie in het boekjaar 2019</v>
      </c>
      <c r="L398" s="166" t="str">
        <f>"Totale afbouw over "&amp;F396</f>
        <v>Totale afbouw over 2019</v>
      </c>
      <c r="M398" s="166" t="str">
        <f>"Nog af te bouwen regulatoir saldo einde "&amp;F396</f>
        <v>Nog af te bouwen regulatoir saldo einde 2019</v>
      </c>
      <c r="N398" s="212"/>
      <c r="Q398" s="167"/>
    </row>
    <row r="399" spans="2:17" ht="13" x14ac:dyDescent="0.25">
      <c r="B399" s="1228">
        <v>2015</v>
      </c>
      <c r="C399" s="1229"/>
      <c r="D399" s="1229"/>
      <c r="E399" s="1230"/>
      <c r="F399" s="283"/>
      <c r="G399" s="177">
        <f>+M392</f>
        <v>0</v>
      </c>
      <c r="H399" s="1003">
        <f>IF(SIGN(G401*M394)&lt;0,IF(G399&lt;&gt;0,-SIGN(G399)*MIN(ABS(G401),ABS(G399)),0),0)</f>
        <v>0</v>
      </c>
      <c r="I399" s="177">
        <f>+G399+H399</f>
        <v>0</v>
      </c>
      <c r="J399" s="995"/>
      <c r="K399" s="566">
        <f>-MIN(ABS(I399),ABS(J402))*SIGN(I399)</f>
        <v>0</v>
      </c>
      <c r="L399" s="1003">
        <f>+K399+H399</f>
        <v>0</v>
      </c>
      <c r="M399" s="177">
        <f>+I399+K399</f>
        <v>0</v>
      </c>
      <c r="N399" s="212"/>
      <c r="Q399" s="167"/>
    </row>
    <row r="400" spans="2:17" ht="13" x14ac:dyDescent="0.25">
      <c r="B400" s="1228">
        <v>2016</v>
      </c>
      <c r="C400" s="1229"/>
      <c r="D400" s="1229">
        <v>2016</v>
      </c>
      <c r="E400" s="1230"/>
      <c r="F400" s="283"/>
      <c r="G400" s="177">
        <f>+M393</f>
        <v>0</v>
      </c>
      <c r="H400" s="1003">
        <f>IF(SIGN(G401*M394)&lt;0,IF(G400&lt;&gt;0,-SIGN(G400)*MIN(ABS(G401-H399),ABS(G400)),0),0)</f>
        <v>0</v>
      </c>
      <c r="I400" s="177">
        <f>+G400+H400</f>
        <v>0</v>
      </c>
      <c r="J400" s="995"/>
      <c r="K400" s="566">
        <f>-MIN(ABS(I400),ABS(J402-K399))*SIGN(I400)</f>
        <v>0</v>
      </c>
      <c r="L400" s="1003">
        <f>+K400+H400</f>
        <v>0</v>
      </c>
      <c r="M400" s="177">
        <f>+I400+K400</f>
        <v>0</v>
      </c>
      <c r="N400" s="212"/>
      <c r="Q400" s="167"/>
    </row>
    <row r="401" spans="2:17" ht="13" x14ac:dyDescent="0.25">
      <c r="B401" s="1228">
        <v>2017</v>
      </c>
      <c r="C401" s="1229"/>
      <c r="D401" s="1229"/>
      <c r="E401" s="1230"/>
      <c r="F401" s="283"/>
      <c r="G401" s="177">
        <f>I153</f>
        <v>0</v>
      </c>
      <c r="H401" s="1003">
        <f>IF(SIGN(G401*M394)&lt;0,-SUM(H399:H400),0)</f>
        <v>0</v>
      </c>
      <c r="I401" s="177">
        <f>+G401+H401</f>
        <v>0</v>
      </c>
      <c r="J401" s="995"/>
      <c r="K401" s="566">
        <f>-MIN(ABS(I401),ABS(J402-K399-K400))*SIGN(I401)</f>
        <v>0</v>
      </c>
      <c r="L401" s="1003">
        <f>+K401+H401</f>
        <v>0</v>
      </c>
      <c r="M401" s="177">
        <f>+I401+K401</f>
        <v>0</v>
      </c>
      <c r="N401" s="212"/>
      <c r="Q401" s="167"/>
    </row>
    <row r="402" spans="2:17" s="281" customFormat="1" ht="13" x14ac:dyDescent="0.25">
      <c r="G402" s="284">
        <f>SUM(G399:G401)</f>
        <v>0</v>
      </c>
      <c r="H402" s="169">
        <f>SUM(H399:H401)</f>
        <v>0</v>
      </c>
      <c r="I402" s="284">
        <f>SUM(I399:I401)</f>
        <v>0</v>
      </c>
      <c r="J402" s="284">
        <f>-I402*0.6</f>
        <v>0</v>
      </c>
      <c r="K402" s="169">
        <f>SUM(K399:K401)</f>
        <v>0</v>
      </c>
      <c r="L402" s="570"/>
      <c r="M402" s="284">
        <f>SUM(M399:M401)</f>
        <v>0</v>
      </c>
    </row>
    <row r="403" spans="2:17" x14ac:dyDescent="0.25">
      <c r="H403" s="221"/>
      <c r="Q403" s="167"/>
    </row>
    <row r="404" spans="2:17" ht="13" x14ac:dyDescent="0.25">
      <c r="B404" s="281" t="s">
        <v>172</v>
      </c>
      <c r="F404" s="1000">
        <v>2020</v>
      </c>
      <c r="Q404" s="167"/>
    </row>
    <row r="405" spans="2:17" x14ac:dyDescent="0.25">
      <c r="Q405" s="167"/>
    </row>
    <row r="406" spans="2:17" ht="102" customHeight="1" x14ac:dyDescent="0.25">
      <c r="B406" s="1231" t="s">
        <v>173</v>
      </c>
      <c r="C406" s="1232"/>
      <c r="D406" s="1232"/>
      <c r="E406" s="1233"/>
      <c r="F406" s="282"/>
      <c r="G406" s="166" t="str">
        <f>"Nog af te bouwen regulatoir saldo einde "&amp;F404-1</f>
        <v>Nog af te bouwen regulatoir saldo einde 2019</v>
      </c>
      <c r="H406" s="166" t="str">
        <f>"Afbouw oudste openstaande regulatoir saldo vanaf boekjaar "&amp;F404-3&amp;" en vroeger, door aanwending van compensatie met regulatoir saldo ontstaan over boekjaar "&amp;F404-2</f>
        <v>Afbouw oudste openstaande regulatoir saldo vanaf boekjaar 2017 en vroeger, door aanwending van compensatie met regulatoir saldo ontstaan over boekjaar 2018</v>
      </c>
      <c r="I406" s="166" t="str">
        <f>"Nog af te bouwen regulatoir saldo na compensatie einde "&amp;F404-1</f>
        <v>Nog af te bouwen regulatoir saldo na compensatie einde 2019</v>
      </c>
      <c r="J406" s="166" t="str">
        <f>"60% van het geaccumuleerd regulatoir saldo door te rekenen volgens de tariefmethodologie in het boekjaar "&amp;F404</f>
        <v>60% van het geaccumuleerd regulatoir saldo door te rekenen volgens de tariefmethodologie in het boekjaar 2020</v>
      </c>
      <c r="K406" s="166" t="str">
        <f>"Aanwending van het 60% van het geaccumuleerd regulatoir saldo door te rekenen volgens de tariefmethodologie in het boekjaar "&amp;F404</f>
        <v>Aanwending van het 60% van het geaccumuleerd regulatoir saldo door te rekenen volgens de tariefmethodologie in het boekjaar 2020</v>
      </c>
      <c r="L406" s="166" t="str">
        <f>"Totale afbouw over "&amp;F404</f>
        <v>Totale afbouw over 2020</v>
      </c>
      <c r="M406" s="166" t="str">
        <f>"Nog af te bouwen regulatoir saldo einde "&amp;F404</f>
        <v>Nog af te bouwen regulatoir saldo einde 2020</v>
      </c>
      <c r="N406" s="212"/>
      <c r="Q406" s="167"/>
    </row>
    <row r="407" spans="2:17" ht="13" x14ac:dyDescent="0.25">
      <c r="B407" s="1228">
        <v>2015</v>
      </c>
      <c r="C407" s="1229"/>
      <c r="D407" s="1229"/>
      <c r="E407" s="1230"/>
      <c r="F407" s="283"/>
      <c r="G407" s="177">
        <f>+M399</f>
        <v>0</v>
      </c>
      <c r="H407" s="1003">
        <f>IF(SIGN(G410*M402)&lt;0,IF(G407&lt;&gt;0,-SIGN(G407)*MIN(ABS(G410),ABS(G407)),0),0)</f>
        <v>0</v>
      </c>
      <c r="I407" s="177">
        <f>+G407+H407</f>
        <v>0</v>
      </c>
      <c r="J407" s="995"/>
      <c r="K407" s="566">
        <f>-MIN(ABS(I407),ABS(J411))*SIGN(I407)</f>
        <v>0</v>
      </c>
      <c r="L407" s="1003">
        <f>+K407+H407</f>
        <v>0</v>
      </c>
      <c r="M407" s="177">
        <f>+I407+K407</f>
        <v>0</v>
      </c>
      <c r="N407" s="212"/>
      <c r="Q407" s="167"/>
    </row>
    <row r="408" spans="2:17" ht="13" x14ac:dyDescent="0.25">
      <c r="B408" s="1228">
        <v>2016</v>
      </c>
      <c r="C408" s="1229"/>
      <c r="D408" s="1229"/>
      <c r="E408" s="1230"/>
      <c r="F408" s="283"/>
      <c r="G408" s="177">
        <f>+M400</f>
        <v>0</v>
      </c>
      <c r="H408" s="1003">
        <f>IF(SIGN(G410*M402)&lt;0,IF(G408&lt;&gt;0,-SIGN(G408)*MIN(ABS(G410-H407),ABS(G408)),0),0)</f>
        <v>0</v>
      </c>
      <c r="I408" s="177">
        <f>+G408+H408</f>
        <v>0</v>
      </c>
      <c r="J408" s="995"/>
      <c r="K408" s="566">
        <f>-MIN(ABS(I408),ABS(J411-K407))*SIGN(I408)</f>
        <v>0</v>
      </c>
      <c r="L408" s="1003">
        <f>+K408+H408</f>
        <v>0</v>
      </c>
      <c r="M408" s="177">
        <f>+I408+K408</f>
        <v>0</v>
      </c>
      <c r="N408" s="212"/>
      <c r="Q408" s="167"/>
    </row>
    <row r="409" spans="2:17" ht="13" x14ac:dyDescent="0.25">
      <c r="B409" s="1228">
        <v>2017</v>
      </c>
      <c r="C409" s="1229"/>
      <c r="D409" s="1229">
        <v>2016</v>
      </c>
      <c r="E409" s="1230"/>
      <c r="F409" s="283"/>
      <c r="G409" s="177">
        <f>+M401</f>
        <v>0</v>
      </c>
      <c r="H409" s="1003">
        <f>IF(SIGN(G410*M402)&lt;0,IF(G409&lt;&gt;0,-SIGN(G409)*MIN(ABS(G410-H407-H408),ABS(G409)),0),0)</f>
        <v>0</v>
      </c>
      <c r="I409" s="177">
        <f>+G409+H409</f>
        <v>0</v>
      </c>
      <c r="J409" s="995"/>
      <c r="K409" s="566">
        <f>-MIN(ABS(I409),ABS(J411-K407-K408))*SIGN(I409)</f>
        <v>0</v>
      </c>
      <c r="L409" s="1003">
        <f>+K409+H409</f>
        <v>0</v>
      </c>
      <c r="M409" s="177">
        <f>+I409+K409</f>
        <v>0</v>
      </c>
      <c r="N409" s="212"/>
      <c r="Q409" s="167"/>
    </row>
    <row r="410" spans="2:17" ht="13" x14ac:dyDescent="0.25">
      <c r="B410" s="1228">
        <v>2018</v>
      </c>
      <c r="C410" s="1229"/>
      <c r="D410" s="1229"/>
      <c r="E410" s="1230"/>
      <c r="F410" s="283"/>
      <c r="G410" s="177">
        <f>J154</f>
        <v>0</v>
      </c>
      <c r="H410" s="1003">
        <f>IF(SIGN(G410*M402)&lt;0,-SUM(H407:H409),0)</f>
        <v>0</v>
      </c>
      <c r="I410" s="177">
        <f>+G410+H410</f>
        <v>0</v>
      </c>
      <c r="J410" s="995"/>
      <c r="K410" s="566">
        <f>-MIN(ABS(I410),ABS(J411-K407-K408-K409))*SIGN(I410)</f>
        <v>0</v>
      </c>
      <c r="L410" s="1003">
        <f>+K410+H410</f>
        <v>0</v>
      </c>
      <c r="M410" s="177">
        <f>+I410+K410</f>
        <v>0</v>
      </c>
      <c r="N410" s="212"/>
      <c r="Q410" s="167"/>
    </row>
    <row r="411" spans="2:17" s="281" customFormat="1" ht="13" x14ac:dyDescent="0.25">
      <c r="G411" s="284">
        <f>SUM(G407:G410)</f>
        <v>0</v>
      </c>
      <c r="H411" s="169">
        <f>SUM(H407:H410)</f>
        <v>0</v>
      </c>
      <c r="I411" s="284">
        <f>SUM(I407:I410)</f>
        <v>0</v>
      </c>
      <c r="J411" s="284">
        <f>-I411*0.6</f>
        <v>0</v>
      </c>
      <c r="K411" s="169">
        <f>SUM(K407:K410)</f>
        <v>0</v>
      </c>
      <c r="L411" s="169"/>
      <c r="M411" s="284">
        <f>SUM(M407:M410)</f>
        <v>0</v>
      </c>
    </row>
    <row r="412" spans="2:17" x14ac:dyDescent="0.25">
      <c r="Q412" s="167"/>
    </row>
    <row r="413" spans="2:17" ht="13" x14ac:dyDescent="0.25">
      <c r="B413" s="281" t="s">
        <v>172</v>
      </c>
      <c r="F413" s="1000">
        <v>2021</v>
      </c>
      <c r="Q413" s="167"/>
    </row>
    <row r="414" spans="2:17" x14ac:dyDescent="0.25">
      <c r="Q414" s="167"/>
    </row>
    <row r="415" spans="2:17" ht="102" customHeight="1" x14ac:dyDescent="0.25">
      <c r="B415" s="1231" t="s">
        <v>173</v>
      </c>
      <c r="C415" s="1232"/>
      <c r="D415" s="1232"/>
      <c r="E415" s="1233"/>
      <c r="F415" s="282"/>
      <c r="G415" s="166" t="str">
        <f>"Nog af te bouwen regulatoir saldo einde "&amp;F413-1</f>
        <v>Nog af te bouwen regulatoir saldo einde 2020</v>
      </c>
      <c r="H415" s="166" t="str">
        <f>"50% van oorspronkelijk saldo door te rekenen volgens de tariefmethodologie in het boekjaar "&amp;F413</f>
        <v>50% van oorspronkelijk saldo door te rekenen volgens de tariefmethodologie in het boekjaar 2021</v>
      </c>
      <c r="I415" s="166" t="str">
        <f>"Nog af te bouwen regulatoir saldo einde "&amp;F413</f>
        <v>Nog af te bouwen regulatoir saldo einde 2021</v>
      </c>
      <c r="J415" s="212"/>
      <c r="Q415" s="167"/>
    </row>
    <row r="416" spans="2:17" ht="13" x14ac:dyDescent="0.25">
      <c r="B416" s="1228">
        <v>2015</v>
      </c>
      <c r="C416" s="1229"/>
      <c r="D416" s="1229"/>
      <c r="E416" s="1230"/>
      <c r="F416" s="283"/>
      <c r="G416" s="177">
        <f>M407</f>
        <v>0</v>
      </c>
      <c r="H416" s="177">
        <f>-G416*0.5</f>
        <v>0</v>
      </c>
      <c r="I416" s="177">
        <f>+G416+H416</f>
        <v>0</v>
      </c>
      <c r="J416" s="212"/>
      <c r="Q416" s="167"/>
    </row>
    <row r="417" spans="2:17" ht="13" x14ac:dyDescent="0.25">
      <c r="B417" s="1228">
        <v>2016</v>
      </c>
      <c r="C417" s="1229"/>
      <c r="D417" s="1229"/>
      <c r="E417" s="1230"/>
      <c r="F417" s="283"/>
      <c r="G417" s="177">
        <f t="shared" ref="G417:G419" si="69">M408</f>
        <v>0</v>
      </c>
      <c r="H417" s="177">
        <f t="shared" ref="H417:H420" si="70">-G417*0.5</f>
        <v>0</v>
      </c>
      <c r="I417" s="177">
        <f t="shared" ref="I417:I420" si="71">+G417+H417</f>
        <v>0</v>
      </c>
      <c r="J417" s="212"/>
      <c r="Q417" s="167"/>
    </row>
    <row r="418" spans="2:17" ht="13" x14ac:dyDescent="0.25">
      <c r="B418" s="1228">
        <v>2017</v>
      </c>
      <c r="C418" s="1229"/>
      <c r="D418" s="1229">
        <v>2016</v>
      </c>
      <c r="E418" s="1230"/>
      <c r="F418" s="283"/>
      <c r="G418" s="177">
        <f t="shared" si="69"/>
        <v>0</v>
      </c>
      <c r="H418" s="177">
        <f t="shared" si="70"/>
        <v>0</v>
      </c>
      <c r="I418" s="177">
        <f t="shared" si="71"/>
        <v>0</v>
      </c>
      <c r="J418" s="212"/>
      <c r="Q418" s="167"/>
    </row>
    <row r="419" spans="2:17" ht="13" x14ac:dyDescent="0.25">
      <c r="B419" s="1228">
        <v>2018</v>
      </c>
      <c r="C419" s="1229"/>
      <c r="D419" s="1229"/>
      <c r="E419" s="1230"/>
      <c r="F419" s="283"/>
      <c r="G419" s="177">
        <f t="shared" si="69"/>
        <v>0</v>
      </c>
      <c r="H419" s="177">
        <f t="shared" si="70"/>
        <v>0</v>
      </c>
      <c r="I419" s="177">
        <f t="shared" si="71"/>
        <v>0</v>
      </c>
      <c r="J419" s="212"/>
      <c r="Q419" s="167"/>
    </row>
    <row r="420" spans="2:17" ht="13" x14ac:dyDescent="0.25">
      <c r="B420" s="1228">
        <v>2019</v>
      </c>
      <c r="C420" s="1229"/>
      <c r="D420" s="1229"/>
      <c r="E420" s="1230"/>
      <c r="F420" s="283"/>
      <c r="G420" s="177">
        <f>K155</f>
        <v>0</v>
      </c>
      <c r="H420" s="177">
        <f t="shared" si="70"/>
        <v>0</v>
      </c>
      <c r="I420" s="177">
        <f t="shared" si="71"/>
        <v>0</v>
      </c>
      <c r="J420" s="212"/>
      <c r="Q420" s="167"/>
    </row>
    <row r="421" spans="2:17" s="281" customFormat="1" ht="13" x14ac:dyDescent="0.25">
      <c r="G421" s="284">
        <f>SUM(G416:G420)</f>
        <v>0</v>
      </c>
      <c r="H421" s="284">
        <f>SUM(H416:H420)</f>
        <v>0</v>
      </c>
      <c r="I421" s="284">
        <f>SUM(I416:I420)</f>
        <v>0</v>
      </c>
    </row>
    <row r="422" spans="2:17" x14ac:dyDescent="0.25">
      <c r="Q422" s="167"/>
    </row>
    <row r="423" spans="2:17" ht="13" x14ac:dyDescent="0.25">
      <c r="B423" s="847" t="s">
        <v>172</v>
      </c>
      <c r="C423" s="842"/>
      <c r="D423" s="842"/>
      <c r="E423" s="842"/>
      <c r="F423" s="1004">
        <v>2022</v>
      </c>
      <c r="G423" s="842"/>
      <c r="H423" s="842"/>
      <c r="I423" s="842"/>
      <c r="Q423" s="167"/>
    </row>
    <row r="424" spans="2:17" x14ac:dyDescent="0.25">
      <c r="B424" s="842"/>
      <c r="C424" s="842"/>
      <c r="D424" s="842"/>
      <c r="E424" s="842"/>
      <c r="F424" s="842"/>
      <c r="G424" s="842"/>
      <c r="H424" s="842"/>
      <c r="I424" s="842"/>
      <c r="Q424" s="167"/>
    </row>
    <row r="425" spans="2:17" ht="102" customHeight="1" x14ac:dyDescent="0.25">
      <c r="B425" s="1237" t="s">
        <v>173</v>
      </c>
      <c r="C425" s="1238"/>
      <c r="D425" s="1238"/>
      <c r="E425" s="1239"/>
      <c r="F425" s="848"/>
      <c r="G425" s="837" t="str">
        <f>"Nog af te bouwen regulatoir saldo einde "&amp;F423-1</f>
        <v>Nog af te bouwen regulatoir saldo einde 2021</v>
      </c>
      <c r="H425" s="837" t="str">
        <f>"50% van oorspronkelijk saldo door te rekenen volgens de tariefmethodologie in het boekjaar "&amp;F423</f>
        <v>50% van oorspronkelijk saldo door te rekenen volgens de tariefmethodologie in het boekjaar 2022</v>
      </c>
      <c r="I425" s="837" t="str">
        <f>"Nog af te bouwen regulatoir saldo einde "&amp;F423</f>
        <v>Nog af te bouwen regulatoir saldo einde 2022</v>
      </c>
      <c r="J425" s="212"/>
      <c r="Q425" s="167"/>
    </row>
    <row r="426" spans="2:17" ht="13" x14ac:dyDescent="0.25">
      <c r="B426" s="1234">
        <v>2015</v>
      </c>
      <c r="C426" s="1235"/>
      <c r="D426" s="1235"/>
      <c r="E426" s="1236"/>
      <c r="F426" s="341"/>
      <c r="G426" s="339">
        <f>+I416</f>
        <v>0</v>
      </c>
      <c r="H426" s="339">
        <f>-G416*0.5</f>
        <v>0</v>
      </c>
      <c r="I426" s="339">
        <f>+G426+H426</f>
        <v>0</v>
      </c>
      <c r="J426" s="212"/>
      <c r="Q426" s="167"/>
    </row>
    <row r="427" spans="2:17" ht="13" x14ac:dyDescent="0.25">
      <c r="B427" s="1234">
        <v>2016</v>
      </c>
      <c r="C427" s="1235"/>
      <c r="D427" s="1235"/>
      <c r="E427" s="1236"/>
      <c r="F427" s="341"/>
      <c r="G427" s="339">
        <f t="shared" ref="G427:G430" si="72">+I417</f>
        <v>0</v>
      </c>
      <c r="H427" s="339">
        <f t="shared" ref="H427:H430" si="73">-G417*0.5</f>
        <v>0</v>
      </c>
      <c r="I427" s="339">
        <f t="shared" ref="I427:I431" si="74">+G427+H427</f>
        <v>0</v>
      </c>
      <c r="J427" s="212"/>
      <c r="Q427" s="167"/>
    </row>
    <row r="428" spans="2:17" ht="13" x14ac:dyDescent="0.25">
      <c r="B428" s="1234">
        <v>2017</v>
      </c>
      <c r="C428" s="1235"/>
      <c r="D428" s="1235">
        <v>2016</v>
      </c>
      <c r="E428" s="1236"/>
      <c r="F428" s="341"/>
      <c r="G428" s="339">
        <f t="shared" si="72"/>
        <v>0</v>
      </c>
      <c r="H428" s="339">
        <f t="shared" si="73"/>
        <v>0</v>
      </c>
      <c r="I428" s="339">
        <f t="shared" si="74"/>
        <v>0</v>
      </c>
      <c r="J428" s="212"/>
      <c r="Q428" s="167"/>
    </row>
    <row r="429" spans="2:17" ht="13" x14ac:dyDescent="0.25">
      <c r="B429" s="1234">
        <v>2018</v>
      </c>
      <c r="C429" s="1235"/>
      <c r="D429" s="1235"/>
      <c r="E429" s="1236"/>
      <c r="F429" s="341"/>
      <c r="G429" s="339">
        <f t="shared" si="72"/>
        <v>0</v>
      </c>
      <c r="H429" s="339">
        <f t="shared" si="73"/>
        <v>0</v>
      </c>
      <c r="I429" s="339">
        <f t="shared" si="74"/>
        <v>0</v>
      </c>
      <c r="J429" s="212"/>
      <c r="Q429" s="167"/>
    </row>
    <row r="430" spans="2:17" ht="13" x14ac:dyDescent="0.25">
      <c r="B430" s="1234">
        <v>2019</v>
      </c>
      <c r="C430" s="1235"/>
      <c r="D430" s="1235"/>
      <c r="E430" s="1236"/>
      <c r="F430" s="341"/>
      <c r="G430" s="339">
        <f t="shared" si="72"/>
        <v>0</v>
      </c>
      <c r="H430" s="339">
        <f t="shared" si="73"/>
        <v>0</v>
      </c>
      <c r="I430" s="339">
        <f t="shared" si="74"/>
        <v>0</v>
      </c>
      <c r="J430" s="212"/>
      <c r="Q430" s="167"/>
    </row>
    <row r="431" spans="2:17" ht="13" x14ac:dyDescent="0.25">
      <c r="B431" s="1234">
        <v>2020</v>
      </c>
      <c r="C431" s="1235"/>
      <c r="D431" s="1235"/>
      <c r="E431" s="1236"/>
      <c r="F431" s="341"/>
      <c r="G431" s="339">
        <f>L156</f>
        <v>0</v>
      </c>
      <c r="H431" s="339">
        <f t="shared" ref="H431" si="75">-G431*0.5</f>
        <v>0</v>
      </c>
      <c r="I431" s="339">
        <f t="shared" si="74"/>
        <v>0</v>
      </c>
      <c r="J431" s="212"/>
      <c r="Q431" s="167"/>
    </row>
    <row r="432" spans="2:17" s="281" customFormat="1" ht="13" x14ac:dyDescent="0.25">
      <c r="B432" s="847"/>
      <c r="C432" s="847"/>
      <c r="D432" s="847"/>
      <c r="E432" s="847"/>
      <c r="F432" s="847"/>
      <c r="G432" s="849">
        <f>SUM(G426:G431)</f>
        <v>0</v>
      </c>
      <c r="H432" s="849">
        <f t="shared" ref="H432" si="76">SUM(H426:H431)</f>
        <v>0</v>
      </c>
      <c r="I432" s="849">
        <f t="shared" ref="I432" si="77">SUM(I426:I431)</f>
        <v>0</v>
      </c>
    </row>
    <row r="433" spans="2:17" x14ac:dyDescent="0.25">
      <c r="B433" s="842"/>
      <c r="C433" s="842"/>
      <c r="D433" s="842"/>
      <c r="E433" s="842"/>
      <c r="F433" s="842"/>
      <c r="G433" s="842"/>
      <c r="H433" s="842"/>
      <c r="I433" s="842"/>
      <c r="Q433" s="167"/>
    </row>
    <row r="434" spans="2:17" ht="13" x14ac:dyDescent="0.25">
      <c r="B434" s="847" t="s">
        <v>172</v>
      </c>
      <c r="C434" s="842"/>
      <c r="D434" s="842"/>
      <c r="E434" s="842"/>
      <c r="F434" s="1004">
        <v>2023</v>
      </c>
      <c r="G434" s="842"/>
      <c r="H434" s="842"/>
      <c r="I434" s="842"/>
      <c r="Q434" s="167"/>
    </row>
    <row r="435" spans="2:17" x14ac:dyDescent="0.25">
      <c r="B435" s="842"/>
      <c r="C435" s="842"/>
      <c r="D435" s="842"/>
      <c r="E435" s="842"/>
      <c r="F435" s="842"/>
      <c r="G435" s="842"/>
      <c r="H435" s="842"/>
      <c r="I435" s="842"/>
      <c r="Q435" s="167"/>
    </row>
    <row r="436" spans="2:17" ht="102" customHeight="1" x14ac:dyDescent="0.25">
      <c r="B436" s="1237" t="s">
        <v>173</v>
      </c>
      <c r="C436" s="1238"/>
      <c r="D436" s="1238"/>
      <c r="E436" s="1239"/>
      <c r="F436" s="848"/>
      <c r="G436" s="837" t="str">
        <f>"Nog af te bouwen regulatoir saldo einde "&amp;F434-1</f>
        <v>Nog af te bouwen regulatoir saldo einde 2022</v>
      </c>
      <c r="H436" s="837" t="str">
        <f>"50% van oorspronkelijk saldo door te rekenen volgens de tariefmethodologie in het boekjaar "&amp;F434</f>
        <v>50% van oorspronkelijk saldo door te rekenen volgens de tariefmethodologie in het boekjaar 2023</v>
      </c>
      <c r="I436" s="837" t="str">
        <f>"Nog af te bouwen regulatoir saldo einde "&amp;F434</f>
        <v>Nog af te bouwen regulatoir saldo einde 2023</v>
      </c>
      <c r="J436" s="212"/>
      <c r="Q436" s="167"/>
    </row>
    <row r="437" spans="2:17" ht="13" x14ac:dyDescent="0.25">
      <c r="B437" s="1234">
        <v>2020</v>
      </c>
      <c r="C437" s="1235"/>
      <c r="D437" s="1235"/>
      <c r="E437" s="1236"/>
      <c r="F437" s="341"/>
      <c r="G437" s="339">
        <f>+I431</f>
        <v>0</v>
      </c>
      <c r="H437" s="339">
        <f>-G431*0.5</f>
        <v>0</v>
      </c>
      <c r="I437" s="339">
        <f t="shared" ref="I437" si="78">+G437+H437</f>
        <v>0</v>
      </c>
      <c r="J437" s="212"/>
      <c r="Q437" s="167"/>
    </row>
    <row r="438" spans="2:17" s="281" customFormat="1" ht="13" x14ac:dyDescent="0.25">
      <c r="B438" s="847"/>
      <c r="C438" s="847"/>
      <c r="D438" s="847"/>
      <c r="E438" s="847"/>
      <c r="F438" s="847"/>
      <c r="G438" s="849">
        <f>SUM(G437:G437)</f>
        <v>0</v>
      </c>
      <c r="H438" s="849">
        <f>SUM(H437:H437)</f>
        <v>0</v>
      </c>
      <c r="I438" s="849">
        <f>SUM(I437:I437)</f>
        <v>0</v>
      </c>
    </row>
    <row r="439" spans="2:17" x14ac:dyDescent="0.25">
      <c r="Q439" s="167"/>
    </row>
    <row r="440" spans="2:17" ht="13" x14ac:dyDescent="0.25">
      <c r="B440" s="281" t="str">
        <f>B382</f>
        <v>Het tarief voor het databeheer</v>
      </c>
      <c r="Q440" s="167"/>
    </row>
    <row r="441" spans="2:17" ht="13" x14ac:dyDescent="0.25">
      <c r="B441" s="281" t="s">
        <v>174</v>
      </c>
      <c r="C441" s="224"/>
      <c r="D441" s="224"/>
      <c r="E441" s="224"/>
      <c r="Q441" s="167"/>
    </row>
    <row r="442" spans="2:17" ht="13" x14ac:dyDescent="0.25">
      <c r="C442" s="224"/>
      <c r="D442" s="224"/>
      <c r="E442" s="224"/>
      <c r="Q442" s="167"/>
    </row>
    <row r="443" spans="2:17" ht="13" x14ac:dyDescent="0.25">
      <c r="B443" s="283">
        <v>2021</v>
      </c>
      <c r="C443" s="287">
        <f>+H421</f>
        <v>0</v>
      </c>
      <c r="D443" s="224"/>
      <c r="E443" s="224"/>
      <c r="Q443" s="167"/>
    </row>
    <row r="444" spans="2:17" ht="13" x14ac:dyDescent="0.25">
      <c r="B444" s="341">
        <v>2022</v>
      </c>
      <c r="C444" s="342">
        <f>+H432</f>
        <v>0</v>
      </c>
      <c r="D444" s="224"/>
      <c r="E444" s="224"/>
      <c r="Q444" s="167"/>
    </row>
    <row r="445" spans="2:17" ht="13" x14ac:dyDescent="0.25">
      <c r="B445" s="341">
        <v>2023</v>
      </c>
      <c r="C445" s="342">
        <f>+H438</f>
        <v>0</v>
      </c>
      <c r="D445" s="224"/>
      <c r="E445" s="224"/>
      <c r="Q445" s="167"/>
    </row>
    <row r="446" spans="2:17" ht="13" x14ac:dyDescent="0.25">
      <c r="B446" s="341">
        <v>2024</v>
      </c>
      <c r="C446" s="342">
        <v>0</v>
      </c>
      <c r="D446" s="224"/>
      <c r="E446" s="224"/>
      <c r="Q446" s="167"/>
    </row>
    <row r="447" spans="2:17" x14ac:dyDescent="0.25">
      <c r="Q447" s="167"/>
    </row>
    <row r="448" spans="2:17" x14ac:dyDescent="0.25">
      <c r="Q448" s="167"/>
    </row>
    <row r="449" spans="2:17" ht="13" x14ac:dyDescent="0.25">
      <c r="B449" s="326" t="s">
        <v>67</v>
      </c>
      <c r="C449" s="327"/>
      <c r="D449" s="327"/>
      <c r="E449" s="327"/>
      <c r="F449" s="328"/>
      <c r="G449" s="328"/>
      <c r="H449" s="328"/>
      <c r="I449" s="328"/>
      <c r="J449" s="328"/>
      <c r="K449" s="328"/>
      <c r="L449" s="328"/>
      <c r="M449" s="328"/>
      <c r="Q449" s="167"/>
    </row>
    <row r="450" spans="2:17" x14ac:dyDescent="0.25">
      <c r="Q450" s="167"/>
    </row>
    <row r="451" spans="2:17" ht="13" x14ac:dyDescent="0.25">
      <c r="B451" s="281" t="s">
        <v>172</v>
      </c>
      <c r="F451" s="1000">
        <v>2017</v>
      </c>
      <c r="Q451" s="167"/>
    </row>
    <row r="452" spans="2:17" x14ac:dyDescent="0.25">
      <c r="L452" s="212"/>
      <c r="Q452" s="167"/>
    </row>
    <row r="453" spans="2:17" ht="102" customHeight="1" x14ac:dyDescent="0.25">
      <c r="B453" s="1231" t="s">
        <v>173</v>
      </c>
      <c r="C453" s="1232"/>
      <c r="D453" s="1232"/>
      <c r="E453" s="1233"/>
      <c r="F453" s="282"/>
      <c r="G453" s="166" t="str">
        <f>"Nog af te bouwen regulatoir saldo einde "&amp;F451-1</f>
        <v>Nog af te bouwen regulatoir saldo einde 2016</v>
      </c>
      <c r="H453" s="166" t="str">
        <f>"Afbouw oudste openstaande regulatoir saldo vanaf boekjaar "&amp;F451-3&amp;" en vroeger, door aanwending van compensatie met regulatoir saldo ontstaan over boekjaar "&amp;F451-2</f>
        <v>Afbouw oudste openstaande regulatoir saldo vanaf boekjaar 2014 en vroeger, door aanwending van compensatie met regulatoir saldo ontstaan over boekjaar 2015</v>
      </c>
      <c r="I453" s="166" t="str">
        <f>"Nog af te bouwen regulatoir saldo na compensatie einde "&amp;F451-1</f>
        <v>Nog af te bouwen regulatoir saldo na compensatie einde 2016</v>
      </c>
      <c r="J453" s="166" t="str">
        <f>"Aanwending van 60% van het geaccumuleerd regulatoir saldo door te rekenen volgens de tariefmethodologie in het boekjaar "&amp;F451</f>
        <v>Aanwending van 60% van het geaccumuleerd regulatoir saldo door te rekenen volgens de tariefmethodologie in het boekjaar 2017</v>
      </c>
      <c r="K453" s="166" t="str">
        <f>"Nog af te bouwen regulatoir saldo einde "&amp;F451</f>
        <v>Nog af te bouwen regulatoir saldo einde 2017</v>
      </c>
      <c r="L453" s="212"/>
      <c r="Q453" s="167"/>
    </row>
    <row r="454" spans="2:17" ht="13" x14ac:dyDescent="0.25">
      <c r="B454" s="1228">
        <v>2015</v>
      </c>
      <c r="C454" s="1229"/>
      <c r="D454" s="1229"/>
      <c r="E454" s="1230"/>
      <c r="F454" s="283"/>
      <c r="G454" s="177">
        <f>G162</f>
        <v>0</v>
      </c>
      <c r="H454" s="566">
        <v>0</v>
      </c>
      <c r="I454" s="177">
        <f>+G454+H454</f>
        <v>0</v>
      </c>
      <c r="J454" s="177">
        <f>-I454*0.6</f>
        <v>0</v>
      </c>
      <c r="K454" s="1001">
        <f>+J454+G454</f>
        <v>0</v>
      </c>
      <c r="L454" s="212"/>
      <c r="Q454" s="167"/>
    </row>
    <row r="455" spans="2:17" x14ac:dyDescent="0.25">
      <c r="L455" s="212"/>
      <c r="Q455" s="167"/>
    </row>
    <row r="456" spans="2:17" ht="13" x14ac:dyDescent="0.25">
      <c r="B456" s="281" t="s">
        <v>172</v>
      </c>
      <c r="F456" s="1000">
        <v>2018</v>
      </c>
      <c r="Q456" s="167"/>
    </row>
    <row r="457" spans="2:17" x14ac:dyDescent="0.25">
      <c r="Q457" s="167"/>
    </row>
    <row r="458" spans="2:17" ht="102" customHeight="1" x14ac:dyDescent="0.25">
      <c r="B458" s="1231" t="s">
        <v>173</v>
      </c>
      <c r="C458" s="1232"/>
      <c r="D458" s="1232"/>
      <c r="E458" s="1233"/>
      <c r="F458" s="282"/>
      <c r="G458" s="166" t="str">
        <f>"Nog af te bouwen regulatoir saldo einde "&amp;F456-1</f>
        <v>Nog af te bouwen regulatoir saldo einde 2017</v>
      </c>
      <c r="H458" s="166" t="str">
        <f>"Afbouw oudste openstaande regulatoir saldo vanaf boekjaar "&amp;F456-3&amp;" en vroeger, door aanwending van compensatie met regulatoir saldo ontstaan over boekjaar "&amp;F456-2</f>
        <v>Afbouw oudste openstaande regulatoir saldo vanaf boekjaar 2015 en vroeger, door aanwending van compensatie met regulatoir saldo ontstaan over boekjaar 2016</v>
      </c>
      <c r="I458" s="166" t="str">
        <f>"Nog af te bouwen regulatoir saldo na compensatie einde "&amp;F456-1</f>
        <v>Nog af te bouwen regulatoir saldo na compensatie einde 2017</v>
      </c>
      <c r="J458" s="166" t="str">
        <f>"60% van het geaccumuleerd regulatoir saldo door te rekenen volgens de tariefmethodologie in het boekjaar "&amp;F456</f>
        <v>60% van het geaccumuleerd regulatoir saldo door te rekenen volgens de tariefmethodologie in het boekjaar 2018</v>
      </c>
      <c r="K458" s="166" t="str">
        <f>"Aanwending van 60% van het geaccumuleerd regulatoir saldo door te rekenen volgens de tariefmethodologie in het boekjaar "&amp;F456</f>
        <v>Aanwending van 60% van het geaccumuleerd regulatoir saldo door te rekenen volgens de tariefmethodologie in het boekjaar 2018</v>
      </c>
      <c r="L458" s="166" t="str">
        <f>"Totale afbouw over "&amp;F456</f>
        <v>Totale afbouw over 2018</v>
      </c>
      <c r="M458" s="166" t="str">
        <f>"Nog af te bouwen regulatoir saldo einde "&amp;F456</f>
        <v>Nog af te bouwen regulatoir saldo einde 2018</v>
      </c>
      <c r="N458" s="212"/>
      <c r="Q458" s="167"/>
    </row>
    <row r="459" spans="2:17" ht="13" x14ac:dyDescent="0.25">
      <c r="B459" s="1228">
        <v>2015</v>
      </c>
      <c r="C459" s="1229"/>
      <c r="D459" s="1229"/>
      <c r="E459" s="1230"/>
      <c r="F459" s="283"/>
      <c r="G459" s="177">
        <f>K454</f>
        <v>0</v>
      </c>
      <c r="H459" s="566">
        <f>IF(SIGN(G460*K454)&lt;0,IF(G459&lt;&gt;0,-SIGN(G459)*MIN(ABS(G460),ABS(G459)),0),0)</f>
        <v>0</v>
      </c>
      <c r="I459" s="177">
        <f>+G459+H459</f>
        <v>0</v>
      </c>
      <c r="J459" s="995"/>
      <c r="K459" s="566">
        <f>-MIN(ABS(I459),ABS(J461))*SIGN(I459)</f>
        <v>0</v>
      </c>
      <c r="L459" s="1003">
        <f>+K459+H459</f>
        <v>0</v>
      </c>
      <c r="M459" s="177">
        <f>+I459+K459</f>
        <v>0</v>
      </c>
      <c r="N459" s="212"/>
      <c r="Q459" s="167"/>
    </row>
    <row r="460" spans="2:17" ht="13" x14ac:dyDescent="0.25">
      <c r="B460" s="1228">
        <v>2016</v>
      </c>
      <c r="C460" s="1229"/>
      <c r="D460" s="1229"/>
      <c r="E460" s="1230"/>
      <c r="F460" s="283"/>
      <c r="G460" s="177">
        <f>H163</f>
        <v>0</v>
      </c>
      <c r="H460" s="1003">
        <f>IF(SIGN(G460*K454)&lt;0,-H459,0)</f>
        <v>0</v>
      </c>
      <c r="I460" s="177">
        <f>+G460+H460</f>
        <v>0</v>
      </c>
      <c r="J460" s="995"/>
      <c r="K460" s="566">
        <f>-MIN(ABS(I460),ABS(J461-K459))*SIGN(I460)</f>
        <v>0</v>
      </c>
      <c r="L460" s="1003">
        <f>+K460+H460</f>
        <v>0</v>
      </c>
      <c r="M460" s="177">
        <f>+I460+K460</f>
        <v>0</v>
      </c>
      <c r="N460" s="212"/>
      <c r="Q460" s="167"/>
    </row>
    <row r="461" spans="2:17" s="281" customFormat="1" ht="13" x14ac:dyDescent="0.25">
      <c r="G461" s="284">
        <f>SUM(G459:G460)</f>
        <v>0</v>
      </c>
      <c r="H461" s="169">
        <f>SUM(H459:H460)</f>
        <v>0</v>
      </c>
      <c r="I461" s="284">
        <f>SUM(I459:I460)</f>
        <v>0</v>
      </c>
      <c r="J461" s="284">
        <f>-I461*0.6</f>
        <v>0</v>
      </c>
      <c r="K461" s="169">
        <f>SUM(K459:K460)</f>
        <v>0</v>
      </c>
      <c r="L461" s="570"/>
      <c r="M461" s="284">
        <f>SUM(M459:M460)</f>
        <v>0</v>
      </c>
    </row>
    <row r="462" spans="2:17" x14ac:dyDescent="0.25">
      <c r="K462" s="221"/>
      <c r="L462" s="221"/>
      <c r="Q462" s="167"/>
    </row>
    <row r="463" spans="2:17" ht="13" x14ac:dyDescent="0.25">
      <c r="B463" s="281" t="s">
        <v>172</v>
      </c>
      <c r="F463" s="1000">
        <v>2019</v>
      </c>
      <c r="Q463" s="167"/>
    </row>
    <row r="464" spans="2:17" x14ac:dyDescent="0.25">
      <c r="Q464" s="167"/>
    </row>
    <row r="465" spans="2:17" ht="102" customHeight="1" x14ac:dyDescent="0.25">
      <c r="B465" s="1231" t="s">
        <v>173</v>
      </c>
      <c r="C465" s="1232"/>
      <c r="D465" s="1232"/>
      <c r="E465" s="1233"/>
      <c r="F465" s="282"/>
      <c r="G465" s="166" t="str">
        <f>"Nog af te bouwen regulatoir saldo einde "&amp;F463-1</f>
        <v>Nog af te bouwen regulatoir saldo einde 2018</v>
      </c>
      <c r="H465" s="166" t="str">
        <f>"Afbouw oudste openstaande regulatoir saldo vanaf boekjaar "&amp;F463-3&amp;" en vroeger, door aanwending van compensatie met regulatoir saldo ontstaan over boekjaar "&amp;F463-2</f>
        <v>Afbouw oudste openstaande regulatoir saldo vanaf boekjaar 2016 en vroeger, door aanwending van compensatie met regulatoir saldo ontstaan over boekjaar 2017</v>
      </c>
      <c r="I465" s="166" t="str">
        <f>"Nog af te bouwen regulatoir saldo na compensatie einde "&amp;F463-1</f>
        <v>Nog af te bouwen regulatoir saldo na compensatie einde 2018</v>
      </c>
      <c r="J465" s="166" t="str">
        <f>"60% van het geaccumuleerd regulatoir saldo door te rekenen volgens de tariefmethodologie in het boekjaar "&amp;F463</f>
        <v>60% van het geaccumuleerd regulatoir saldo door te rekenen volgens de tariefmethodologie in het boekjaar 2019</v>
      </c>
      <c r="K465" s="166" t="str">
        <f>"Aanwending van het 60% van het geaccumuleerd regulatoir saldo door te rekenen volgens de tariefmethodologie in het boekjaar "&amp;F463</f>
        <v>Aanwending van het 60% van het geaccumuleerd regulatoir saldo door te rekenen volgens de tariefmethodologie in het boekjaar 2019</v>
      </c>
      <c r="L465" s="166" t="str">
        <f>"Totale afbouw over "&amp;F463</f>
        <v>Totale afbouw over 2019</v>
      </c>
      <c r="M465" s="166" t="str">
        <f>"Nog af te bouwen regulatoir saldo einde "&amp;F463</f>
        <v>Nog af te bouwen regulatoir saldo einde 2019</v>
      </c>
      <c r="N465" s="212"/>
      <c r="Q465" s="167"/>
    </row>
    <row r="466" spans="2:17" ht="13" x14ac:dyDescent="0.25">
      <c r="B466" s="1228">
        <v>2015</v>
      </c>
      <c r="C466" s="1229"/>
      <c r="D466" s="1229"/>
      <c r="E466" s="1230"/>
      <c r="F466" s="283"/>
      <c r="G466" s="177">
        <f>+M459</f>
        <v>0</v>
      </c>
      <c r="H466" s="1003">
        <f>IF(SIGN(G468*M461)&lt;0,IF(G466&lt;&gt;0,-SIGN(G466)*MIN(ABS(G468),ABS(G466)),0),0)</f>
        <v>0</v>
      </c>
      <c r="I466" s="177">
        <f>+G466+H466</f>
        <v>0</v>
      </c>
      <c r="J466" s="995"/>
      <c r="K466" s="566">
        <f>-MIN(ABS(I466),ABS(J469))*SIGN(I466)</f>
        <v>0</v>
      </c>
      <c r="L466" s="1003">
        <f>+K466+H466</f>
        <v>0</v>
      </c>
      <c r="M466" s="177">
        <f>+I466+K466</f>
        <v>0</v>
      </c>
      <c r="N466" s="212"/>
      <c r="Q466" s="167"/>
    </row>
    <row r="467" spans="2:17" ht="13" x14ac:dyDescent="0.25">
      <c r="B467" s="1228">
        <v>2016</v>
      </c>
      <c r="C467" s="1229"/>
      <c r="D467" s="1229">
        <v>2016</v>
      </c>
      <c r="E467" s="1230"/>
      <c r="F467" s="283"/>
      <c r="G467" s="177">
        <f>+M460</f>
        <v>0</v>
      </c>
      <c r="H467" s="1003">
        <f>IF(SIGN(G468*M461)&lt;0,IF(G467&lt;&gt;0,-SIGN(G467)*MIN(ABS(G468-H466),ABS(G467)),0),0)</f>
        <v>0</v>
      </c>
      <c r="I467" s="177">
        <f>+G467+H467</f>
        <v>0</v>
      </c>
      <c r="J467" s="995"/>
      <c r="K467" s="566">
        <f>-MIN(ABS(I467),ABS(J469-K466))*SIGN(I467)</f>
        <v>0</v>
      </c>
      <c r="L467" s="1003">
        <f>+K467+H467</f>
        <v>0</v>
      </c>
      <c r="M467" s="177">
        <f>+I467+K467</f>
        <v>0</v>
      </c>
      <c r="N467" s="212"/>
      <c r="Q467" s="167"/>
    </row>
    <row r="468" spans="2:17" ht="13" x14ac:dyDescent="0.25">
      <c r="B468" s="1228">
        <v>2017</v>
      </c>
      <c r="C468" s="1229"/>
      <c r="D468" s="1229"/>
      <c r="E468" s="1230"/>
      <c r="F468" s="283"/>
      <c r="G468" s="177">
        <f>I164</f>
        <v>0</v>
      </c>
      <c r="H468" s="1003">
        <f>IF(SIGN(G468*M461)&lt;0,-SUM(H466:H467),0)</f>
        <v>0</v>
      </c>
      <c r="I468" s="177">
        <f>+G468+H468</f>
        <v>0</v>
      </c>
      <c r="J468" s="995"/>
      <c r="K468" s="566">
        <f>-MIN(ABS(I468),ABS(J469-K466-K467))*SIGN(I468)</f>
        <v>0</v>
      </c>
      <c r="L468" s="1003">
        <f>+K468+H468</f>
        <v>0</v>
      </c>
      <c r="M468" s="177">
        <f>+I468+K468</f>
        <v>0</v>
      </c>
      <c r="N468" s="212"/>
      <c r="Q468" s="167"/>
    </row>
    <row r="469" spans="2:17" s="281" customFormat="1" ht="13" x14ac:dyDescent="0.25">
      <c r="G469" s="284">
        <f>SUM(G466:G468)</f>
        <v>0</v>
      </c>
      <c r="H469" s="169">
        <f>SUM(H466:H468)</f>
        <v>0</v>
      </c>
      <c r="I469" s="284">
        <f>SUM(I466:I468)</f>
        <v>0</v>
      </c>
      <c r="J469" s="284">
        <f>-I469*0.6</f>
        <v>0</v>
      </c>
      <c r="K469" s="169">
        <f>SUM(K466:K468)</f>
        <v>0</v>
      </c>
      <c r="L469" s="570"/>
      <c r="M469" s="284">
        <f>SUM(M466:M468)</f>
        <v>0</v>
      </c>
    </row>
    <row r="470" spans="2:17" x14ac:dyDescent="0.25">
      <c r="H470" s="221"/>
      <c r="Q470" s="167"/>
    </row>
    <row r="471" spans="2:17" ht="13" x14ac:dyDescent="0.25">
      <c r="B471" s="281" t="s">
        <v>172</v>
      </c>
      <c r="F471" s="1000">
        <v>2020</v>
      </c>
      <c r="Q471" s="167"/>
    </row>
    <row r="472" spans="2:17" x14ac:dyDescent="0.25">
      <c r="Q472" s="167"/>
    </row>
    <row r="473" spans="2:17" ht="102" customHeight="1" x14ac:dyDescent="0.25">
      <c r="B473" s="1231" t="s">
        <v>173</v>
      </c>
      <c r="C473" s="1232"/>
      <c r="D473" s="1232"/>
      <c r="E473" s="1233"/>
      <c r="F473" s="282"/>
      <c r="G473" s="166" t="str">
        <f>"Nog af te bouwen regulatoir saldo einde "&amp;F471-1</f>
        <v>Nog af te bouwen regulatoir saldo einde 2019</v>
      </c>
      <c r="H473" s="166" t="str">
        <f>"Afbouw oudste openstaande regulatoir saldo vanaf boekjaar "&amp;F471-3&amp;" en vroeger, door aanwending van compensatie met regulatoir saldo ontstaan over boekjaar "&amp;F471-2</f>
        <v>Afbouw oudste openstaande regulatoir saldo vanaf boekjaar 2017 en vroeger, door aanwending van compensatie met regulatoir saldo ontstaan over boekjaar 2018</v>
      </c>
      <c r="I473" s="166" t="str">
        <f>"Nog af te bouwen regulatoir saldo na compensatie einde "&amp;F471-1</f>
        <v>Nog af te bouwen regulatoir saldo na compensatie einde 2019</v>
      </c>
      <c r="J473" s="166" t="str">
        <f>"60% van het geaccumuleerd regulatoir saldo door te rekenen volgens de tariefmethodologie in het boekjaar "&amp;F471</f>
        <v>60% van het geaccumuleerd regulatoir saldo door te rekenen volgens de tariefmethodologie in het boekjaar 2020</v>
      </c>
      <c r="K473" s="166" t="str">
        <f>"Aanwending van het 60% van het geaccumuleerd regulatoir saldo door te rekenen volgens de tariefmethodologie in het boekjaar "&amp;F471</f>
        <v>Aanwending van het 60% van het geaccumuleerd regulatoir saldo door te rekenen volgens de tariefmethodologie in het boekjaar 2020</v>
      </c>
      <c r="L473" s="166" t="str">
        <f>"Totale afbouw over "&amp;F471</f>
        <v>Totale afbouw over 2020</v>
      </c>
      <c r="M473" s="166" t="str">
        <f>"Nog af te bouwen regulatoir saldo einde "&amp;F471</f>
        <v>Nog af te bouwen regulatoir saldo einde 2020</v>
      </c>
      <c r="N473" s="212"/>
      <c r="Q473" s="167"/>
    </row>
    <row r="474" spans="2:17" ht="13" x14ac:dyDescent="0.25">
      <c r="B474" s="1228">
        <v>2015</v>
      </c>
      <c r="C474" s="1229"/>
      <c r="D474" s="1229"/>
      <c r="E474" s="1230"/>
      <c r="F474" s="283"/>
      <c r="G474" s="177">
        <f>+M466</f>
        <v>0</v>
      </c>
      <c r="H474" s="1003">
        <f>IF(SIGN(G477*M469)&lt;0,IF(G474&lt;&gt;0,-SIGN(G474)*MIN(ABS(G477),ABS(G474)),0),0)</f>
        <v>0</v>
      </c>
      <c r="I474" s="177">
        <f>+G474+H474</f>
        <v>0</v>
      </c>
      <c r="J474" s="995"/>
      <c r="K474" s="566">
        <f>-MIN(ABS(I474),ABS(J478))*SIGN(I474)</f>
        <v>0</v>
      </c>
      <c r="L474" s="1003">
        <f>+K474+H474</f>
        <v>0</v>
      </c>
      <c r="M474" s="177">
        <f>+I474+K474</f>
        <v>0</v>
      </c>
      <c r="N474" s="212"/>
      <c r="Q474" s="167"/>
    </row>
    <row r="475" spans="2:17" ht="13" x14ac:dyDescent="0.25">
      <c r="B475" s="1228">
        <v>2016</v>
      </c>
      <c r="C475" s="1229"/>
      <c r="D475" s="1229"/>
      <c r="E475" s="1230"/>
      <c r="F475" s="283"/>
      <c r="G475" s="177">
        <f>+M467</f>
        <v>0</v>
      </c>
      <c r="H475" s="1003">
        <f>IF(SIGN(G477*M469)&lt;0,IF(G475&lt;&gt;0,-SIGN(G475)*MIN(ABS(G477-H474),ABS(G475)),0),0)</f>
        <v>0</v>
      </c>
      <c r="I475" s="177">
        <f>+G475+H475</f>
        <v>0</v>
      </c>
      <c r="J475" s="995"/>
      <c r="K475" s="566">
        <f>-MIN(ABS(I475),ABS(J478-K474))*SIGN(I475)</f>
        <v>0</v>
      </c>
      <c r="L475" s="1003">
        <f>+K475+H475</f>
        <v>0</v>
      </c>
      <c r="M475" s="177">
        <f>+I475+K475</f>
        <v>0</v>
      </c>
      <c r="N475" s="212"/>
      <c r="Q475" s="167"/>
    </row>
    <row r="476" spans="2:17" ht="13" x14ac:dyDescent="0.25">
      <c r="B476" s="1228">
        <v>2017</v>
      </c>
      <c r="C476" s="1229"/>
      <c r="D476" s="1229">
        <v>2016</v>
      </c>
      <c r="E476" s="1230"/>
      <c r="F476" s="283"/>
      <c r="G476" s="177">
        <f>+M468</f>
        <v>0</v>
      </c>
      <c r="H476" s="1003">
        <f>IF(SIGN(G477*M469)&lt;0,IF(G476&lt;&gt;0,-SIGN(G476)*MIN(ABS(G477-H474-H475),ABS(G476)),0),0)</f>
        <v>0</v>
      </c>
      <c r="I476" s="177">
        <f>+G476+H476</f>
        <v>0</v>
      </c>
      <c r="J476" s="995"/>
      <c r="K476" s="566">
        <f>-MIN(ABS(I476),ABS(J478-K474-K475))*SIGN(I476)</f>
        <v>0</v>
      </c>
      <c r="L476" s="1003">
        <f>+K476+H476</f>
        <v>0</v>
      </c>
      <c r="M476" s="177">
        <f>+I476+K476</f>
        <v>0</v>
      </c>
      <c r="N476" s="212"/>
      <c r="Q476" s="167"/>
    </row>
    <row r="477" spans="2:17" ht="13" x14ac:dyDescent="0.25">
      <c r="B477" s="1228">
        <v>2018</v>
      </c>
      <c r="C477" s="1229"/>
      <c r="D477" s="1229"/>
      <c r="E477" s="1230"/>
      <c r="F477" s="283"/>
      <c r="G477" s="177">
        <f>J165</f>
        <v>0</v>
      </c>
      <c r="H477" s="1003">
        <f>IF(SIGN(G477*M469)&lt;0,-SUM(H474:H476),0)</f>
        <v>0</v>
      </c>
      <c r="I477" s="177">
        <f>+G477+H477</f>
        <v>0</v>
      </c>
      <c r="J477" s="995"/>
      <c r="K477" s="566">
        <f>-MIN(ABS(I477),ABS(J478-K474-K475-K476))*SIGN(I477)</f>
        <v>0</v>
      </c>
      <c r="L477" s="1003">
        <f>+K477+H477</f>
        <v>0</v>
      </c>
      <c r="M477" s="177">
        <f>+I477+K477</f>
        <v>0</v>
      </c>
      <c r="N477" s="212"/>
      <c r="Q477" s="167"/>
    </row>
    <row r="478" spans="2:17" s="281" customFormat="1" ht="13" x14ac:dyDescent="0.25">
      <c r="G478" s="284">
        <f>SUM(G474:G477)</f>
        <v>0</v>
      </c>
      <c r="H478" s="169">
        <f>SUM(H474:H477)</f>
        <v>0</v>
      </c>
      <c r="I478" s="284">
        <f>SUM(I474:I477)</f>
        <v>0</v>
      </c>
      <c r="J478" s="284">
        <f>-I478*0.6</f>
        <v>0</v>
      </c>
      <c r="K478" s="169">
        <f>SUM(K474:K477)</f>
        <v>0</v>
      </c>
      <c r="L478" s="169"/>
      <c r="M478" s="284">
        <f>SUM(M474:M477)</f>
        <v>0</v>
      </c>
    </row>
    <row r="479" spans="2:17" x14ac:dyDescent="0.25">
      <c r="Q479" s="167"/>
    </row>
    <row r="480" spans="2:17" ht="13" x14ac:dyDescent="0.25">
      <c r="B480" s="281" t="s">
        <v>172</v>
      </c>
      <c r="F480" s="1000">
        <v>2021</v>
      </c>
      <c r="Q480" s="167"/>
    </row>
    <row r="481" spans="2:17" x14ac:dyDescent="0.25">
      <c r="Q481" s="167"/>
    </row>
    <row r="482" spans="2:17" ht="102" customHeight="1" x14ac:dyDescent="0.25">
      <c r="B482" s="1231" t="s">
        <v>173</v>
      </c>
      <c r="C482" s="1232"/>
      <c r="D482" s="1232"/>
      <c r="E482" s="1233"/>
      <c r="F482" s="282"/>
      <c r="G482" s="166" t="str">
        <f>"Nog af te bouwen regulatoir saldo einde "&amp;F480-1</f>
        <v>Nog af te bouwen regulatoir saldo einde 2020</v>
      </c>
      <c r="H482" s="166" t="str">
        <f>"50% van oorspronkelijk regulatoir saldo door te rekenen volgens de tariefmethodologie in het boekjaar "&amp;F480</f>
        <v>50% van oorspronkelijk regulatoir saldo door te rekenen volgens de tariefmethodologie in het boekjaar 2021</v>
      </c>
      <c r="I482" s="166" t="str">
        <f>"Nog af te bouwen regulatoir saldo einde "&amp;F480</f>
        <v>Nog af te bouwen regulatoir saldo einde 2021</v>
      </c>
      <c r="J482" s="212"/>
      <c r="Q482" s="167"/>
    </row>
    <row r="483" spans="2:17" ht="13" x14ac:dyDescent="0.25">
      <c r="B483" s="1228">
        <v>2015</v>
      </c>
      <c r="C483" s="1229"/>
      <c r="D483" s="1229"/>
      <c r="E483" s="1230"/>
      <c r="F483" s="283"/>
      <c r="G483" s="177">
        <f>M474</f>
        <v>0</v>
      </c>
      <c r="H483" s="177">
        <f>-G483*0.5</f>
        <v>0</v>
      </c>
      <c r="I483" s="177">
        <f>+G483+H483</f>
        <v>0</v>
      </c>
      <c r="J483" s="212"/>
      <c r="Q483" s="167"/>
    </row>
    <row r="484" spans="2:17" ht="13" x14ac:dyDescent="0.25">
      <c r="B484" s="1228">
        <v>2016</v>
      </c>
      <c r="C484" s="1229"/>
      <c r="D484" s="1229"/>
      <c r="E484" s="1230"/>
      <c r="F484" s="283"/>
      <c r="G484" s="177">
        <f t="shared" ref="G484:G486" si="79">M475</f>
        <v>0</v>
      </c>
      <c r="H484" s="177">
        <f t="shared" ref="H484:H487" si="80">-G484*0.5</f>
        <v>0</v>
      </c>
      <c r="I484" s="177">
        <f t="shared" ref="I484:I487" si="81">+G484+H484</f>
        <v>0</v>
      </c>
      <c r="J484" s="212"/>
      <c r="Q484" s="167"/>
    </row>
    <row r="485" spans="2:17" ht="13" x14ac:dyDescent="0.25">
      <c r="B485" s="1228">
        <v>2017</v>
      </c>
      <c r="C485" s="1229"/>
      <c r="D485" s="1229">
        <v>2016</v>
      </c>
      <c r="E485" s="1230"/>
      <c r="F485" s="283"/>
      <c r="G485" s="177">
        <f t="shared" si="79"/>
        <v>0</v>
      </c>
      <c r="H485" s="177">
        <f t="shared" si="80"/>
        <v>0</v>
      </c>
      <c r="I485" s="177">
        <f t="shared" si="81"/>
        <v>0</v>
      </c>
      <c r="J485" s="212"/>
      <c r="Q485" s="167"/>
    </row>
    <row r="486" spans="2:17" ht="13" x14ac:dyDescent="0.25">
      <c r="B486" s="1228">
        <v>2018</v>
      </c>
      <c r="C486" s="1229"/>
      <c r="D486" s="1229"/>
      <c r="E486" s="1230"/>
      <c r="F486" s="283"/>
      <c r="G486" s="177">
        <f t="shared" si="79"/>
        <v>0</v>
      </c>
      <c r="H486" s="177">
        <f t="shared" si="80"/>
        <v>0</v>
      </c>
      <c r="I486" s="177">
        <f t="shared" si="81"/>
        <v>0</v>
      </c>
      <c r="J486" s="212"/>
      <c r="Q486" s="167"/>
    </row>
    <row r="487" spans="2:17" ht="13" x14ac:dyDescent="0.25">
      <c r="B487" s="1228">
        <v>2019</v>
      </c>
      <c r="C487" s="1229"/>
      <c r="D487" s="1229"/>
      <c r="E487" s="1230"/>
      <c r="F487" s="283"/>
      <c r="G487" s="177">
        <f>K166</f>
        <v>0</v>
      </c>
      <c r="H487" s="177">
        <f t="shared" si="80"/>
        <v>0</v>
      </c>
      <c r="I487" s="177">
        <f t="shared" si="81"/>
        <v>0</v>
      </c>
      <c r="J487" s="212"/>
      <c r="Q487" s="167"/>
    </row>
    <row r="488" spans="2:17" s="281" customFormat="1" ht="13" x14ac:dyDescent="0.25">
      <c r="G488" s="284">
        <f>SUM(G483:G487)</f>
        <v>0</v>
      </c>
      <c r="H488" s="284">
        <f>SUM(H483:H487)</f>
        <v>0</v>
      </c>
      <c r="I488" s="284">
        <f>SUM(I483:I487)</f>
        <v>0</v>
      </c>
    </row>
    <row r="489" spans="2:17" x14ac:dyDescent="0.25">
      <c r="Q489" s="167"/>
    </row>
    <row r="490" spans="2:17" ht="13" x14ac:dyDescent="0.25">
      <c r="B490" s="847" t="s">
        <v>172</v>
      </c>
      <c r="C490" s="842"/>
      <c r="D490" s="842"/>
      <c r="E490" s="842"/>
      <c r="F490" s="1004">
        <v>2022</v>
      </c>
      <c r="G490" s="842"/>
      <c r="H490" s="842"/>
      <c r="I490" s="842"/>
      <c r="Q490" s="167"/>
    </row>
    <row r="491" spans="2:17" x14ac:dyDescent="0.25">
      <c r="B491" s="842"/>
      <c r="C491" s="842"/>
      <c r="D491" s="842"/>
      <c r="E491" s="842"/>
      <c r="F491" s="842"/>
      <c r="G491" s="842"/>
      <c r="H491" s="842"/>
      <c r="I491" s="842"/>
      <c r="Q491" s="167"/>
    </row>
    <row r="492" spans="2:17" ht="102" customHeight="1" x14ac:dyDescent="0.25">
      <c r="B492" s="1237" t="s">
        <v>173</v>
      </c>
      <c r="C492" s="1238"/>
      <c r="D492" s="1238"/>
      <c r="E492" s="1239"/>
      <c r="F492" s="848"/>
      <c r="G492" s="837" t="str">
        <f>"Nog af te bouwen regulatoir saldo einde "&amp;F490-1</f>
        <v>Nog af te bouwen regulatoir saldo einde 2021</v>
      </c>
      <c r="H492" s="837" t="str">
        <f>"50% van oorspronkelijk saldo door te rekenen volgens de tariefmethodologie in het boekjaar "&amp;F490</f>
        <v>50% van oorspronkelijk saldo door te rekenen volgens de tariefmethodologie in het boekjaar 2022</v>
      </c>
      <c r="I492" s="837" t="str">
        <f>"Nog af te bouwen regulatoir saldo einde "&amp;F490</f>
        <v>Nog af te bouwen regulatoir saldo einde 2022</v>
      </c>
      <c r="J492" s="212"/>
      <c r="Q492" s="167"/>
    </row>
    <row r="493" spans="2:17" ht="13" x14ac:dyDescent="0.25">
      <c r="B493" s="1234">
        <v>2015</v>
      </c>
      <c r="C493" s="1235"/>
      <c r="D493" s="1235"/>
      <c r="E493" s="1236"/>
      <c r="F493" s="341"/>
      <c r="G493" s="339">
        <f>+I483</f>
        <v>0</v>
      </c>
      <c r="H493" s="339">
        <f>-G483*0.5</f>
        <v>0</v>
      </c>
      <c r="I493" s="339">
        <f>+G493+H493</f>
        <v>0</v>
      </c>
      <c r="J493" s="212"/>
      <c r="Q493" s="167"/>
    </row>
    <row r="494" spans="2:17" ht="13" x14ac:dyDescent="0.25">
      <c r="B494" s="1234">
        <v>2016</v>
      </c>
      <c r="C494" s="1235"/>
      <c r="D494" s="1235"/>
      <c r="E494" s="1236"/>
      <c r="F494" s="341"/>
      <c r="G494" s="339">
        <f t="shared" ref="G494:G497" si="82">+I484</f>
        <v>0</v>
      </c>
      <c r="H494" s="339">
        <f t="shared" ref="H494:H497" si="83">-G484*0.5</f>
        <v>0</v>
      </c>
      <c r="I494" s="339">
        <f t="shared" ref="I494:I498" si="84">+G494+H494</f>
        <v>0</v>
      </c>
      <c r="J494" s="212"/>
      <c r="Q494" s="167"/>
    </row>
    <row r="495" spans="2:17" ht="13" x14ac:dyDescent="0.25">
      <c r="B495" s="1234">
        <v>2017</v>
      </c>
      <c r="C495" s="1235"/>
      <c r="D495" s="1235">
        <v>2016</v>
      </c>
      <c r="E495" s="1236"/>
      <c r="F495" s="341"/>
      <c r="G495" s="339">
        <f t="shared" si="82"/>
        <v>0</v>
      </c>
      <c r="H495" s="339">
        <f t="shared" si="83"/>
        <v>0</v>
      </c>
      <c r="I495" s="339">
        <f t="shared" si="84"/>
        <v>0</v>
      </c>
      <c r="J495" s="212"/>
      <c r="Q495" s="167"/>
    </row>
    <row r="496" spans="2:17" ht="13" x14ac:dyDescent="0.25">
      <c r="B496" s="1234">
        <v>2018</v>
      </c>
      <c r="C496" s="1235"/>
      <c r="D496" s="1235"/>
      <c r="E496" s="1236"/>
      <c r="F496" s="341"/>
      <c r="G496" s="339">
        <f t="shared" si="82"/>
        <v>0</v>
      </c>
      <c r="H496" s="339">
        <f t="shared" si="83"/>
        <v>0</v>
      </c>
      <c r="I496" s="339">
        <f t="shared" si="84"/>
        <v>0</v>
      </c>
      <c r="J496" s="212"/>
      <c r="Q496" s="167"/>
    </row>
    <row r="497" spans="2:17" ht="13" x14ac:dyDescent="0.25">
      <c r="B497" s="1234">
        <v>2019</v>
      </c>
      <c r="C497" s="1235"/>
      <c r="D497" s="1235"/>
      <c r="E497" s="1236"/>
      <c r="F497" s="341"/>
      <c r="G497" s="339">
        <f t="shared" si="82"/>
        <v>0</v>
      </c>
      <c r="H497" s="339">
        <f t="shared" si="83"/>
        <v>0</v>
      </c>
      <c r="I497" s="339">
        <f t="shared" si="84"/>
        <v>0</v>
      </c>
      <c r="J497" s="212"/>
      <c r="Q497" s="167"/>
    </row>
    <row r="498" spans="2:17" ht="13" x14ac:dyDescent="0.25">
      <c r="B498" s="1234">
        <v>2020</v>
      </c>
      <c r="C498" s="1235"/>
      <c r="D498" s="1235"/>
      <c r="E498" s="1236"/>
      <c r="F498" s="341"/>
      <c r="G498" s="339">
        <f>L167</f>
        <v>0</v>
      </c>
      <c r="H498" s="339">
        <f t="shared" ref="H498" si="85">-G498*0.5</f>
        <v>0</v>
      </c>
      <c r="I498" s="339">
        <f t="shared" si="84"/>
        <v>0</v>
      </c>
      <c r="J498" s="212"/>
      <c r="Q498" s="167"/>
    </row>
    <row r="499" spans="2:17" s="281" customFormat="1" ht="13" x14ac:dyDescent="0.25">
      <c r="B499" s="847"/>
      <c r="C499" s="847"/>
      <c r="D499" s="847"/>
      <c r="E499" s="847"/>
      <c r="F499" s="847"/>
      <c r="G499" s="849">
        <f>SUM(G493:G498)</f>
        <v>0</v>
      </c>
      <c r="H499" s="849">
        <f t="shared" ref="H499" si="86">SUM(H493:H498)</f>
        <v>0</v>
      </c>
      <c r="I499" s="849">
        <f t="shared" ref="I499" si="87">SUM(I493:I498)</f>
        <v>0</v>
      </c>
    </row>
    <row r="500" spans="2:17" x14ac:dyDescent="0.25">
      <c r="B500" s="842"/>
      <c r="C500" s="842"/>
      <c r="D500" s="842"/>
      <c r="E500" s="842"/>
      <c r="F500" s="842"/>
      <c r="G500" s="842"/>
      <c r="H500" s="842"/>
      <c r="I500" s="842"/>
      <c r="Q500" s="167"/>
    </row>
    <row r="501" spans="2:17" ht="13" x14ac:dyDescent="0.25">
      <c r="B501" s="847" t="s">
        <v>172</v>
      </c>
      <c r="C501" s="842"/>
      <c r="D501" s="842"/>
      <c r="E501" s="842"/>
      <c r="F501" s="1004">
        <v>2023</v>
      </c>
      <c r="G501" s="842"/>
      <c r="H501" s="842"/>
      <c r="I501" s="842"/>
      <c r="Q501" s="167"/>
    </row>
    <row r="502" spans="2:17" x14ac:dyDescent="0.25">
      <c r="B502" s="842"/>
      <c r="C502" s="842"/>
      <c r="D502" s="842"/>
      <c r="E502" s="842"/>
      <c r="F502" s="842"/>
      <c r="G502" s="842"/>
      <c r="H502" s="842"/>
      <c r="I502" s="842"/>
      <c r="Q502" s="167"/>
    </row>
    <row r="503" spans="2:17" ht="102" customHeight="1" x14ac:dyDescent="0.25">
      <c r="B503" s="1237" t="s">
        <v>173</v>
      </c>
      <c r="C503" s="1238"/>
      <c r="D503" s="1238"/>
      <c r="E503" s="1239"/>
      <c r="F503" s="848"/>
      <c r="G503" s="837" t="str">
        <f>"Nog af te bouwen regulatoir saldo einde "&amp;F501-1</f>
        <v>Nog af te bouwen regulatoir saldo einde 2022</v>
      </c>
      <c r="H503" s="837" t="str">
        <f>"50% van oorspronkelijk saldo door te rekenen volgens de tariefmethodologie in het boekjaar "&amp;F501</f>
        <v>50% van oorspronkelijk saldo door te rekenen volgens de tariefmethodologie in het boekjaar 2023</v>
      </c>
      <c r="I503" s="837" t="str">
        <f>"Nog af te bouwen regulatoir saldo einde "&amp;F501</f>
        <v>Nog af te bouwen regulatoir saldo einde 2023</v>
      </c>
      <c r="J503" s="212"/>
      <c r="Q503" s="167"/>
    </row>
    <row r="504" spans="2:17" ht="13" x14ac:dyDescent="0.25">
      <c r="B504" s="1234">
        <v>2020</v>
      </c>
      <c r="C504" s="1235"/>
      <c r="D504" s="1235"/>
      <c r="E504" s="1236"/>
      <c r="F504" s="341"/>
      <c r="G504" s="339">
        <f>+I498</f>
        <v>0</v>
      </c>
      <c r="H504" s="339">
        <f>-G498*0.5</f>
        <v>0</v>
      </c>
      <c r="I504" s="339">
        <f t="shared" ref="I504:I505" si="88">+G504+H504</f>
        <v>0</v>
      </c>
      <c r="J504" s="212"/>
      <c r="Q504" s="167"/>
    </row>
    <row r="505" spans="2:17" ht="13" x14ac:dyDescent="0.25">
      <c r="B505" s="1234">
        <v>2021</v>
      </c>
      <c r="C505" s="1235"/>
      <c r="D505" s="1235"/>
      <c r="E505" s="1236"/>
      <c r="F505" s="341"/>
      <c r="G505" s="339">
        <f>M168</f>
        <v>0</v>
      </c>
      <c r="H505" s="339">
        <f t="shared" ref="H505" si="89">-G505*0.5</f>
        <v>0</v>
      </c>
      <c r="I505" s="339">
        <f t="shared" si="88"/>
        <v>0</v>
      </c>
      <c r="J505" s="212"/>
      <c r="Q505" s="167"/>
    </row>
    <row r="506" spans="2:17" s="281" customFormat="1" ht="13" x14ac:dyDescent="0.25">
      <c r="B506" s="847"/>
      <c r="C506" s="847"/>
      <c r="D506" s="847"/>
      <c r="E506" s="847"/>
      <c r="F506" s="847"/>
      <c r="G506" s="849">
        <f>SUM(G504:G505)</f>
        <v>0</v>
      </c>
      <c r="H506" s="849">
        <f>SUM(H504:H505)</f>
        <v>0</v>
      </c>
      <c r="I506" s="849">
        <f>SUM(I504:I505)</f>
        <v>0</v>
      </c>
    </row>
    <row r="507" spans="2:17" x14ac:dyDescent="0.25">
      <c r="B507" s="842"/>
      <c r="C507" s="842"/>
      <c r="D507" s="842"/>
      <c r="E507" s="842"/>
      <c r="F507" s="842"/>
      <c r="G507" s="842"/>
      <c r="H507" s="842"/>
      <c r="I507" s="842"/>
      <c r="Q507" s="167"/>
    </row>
    <row r="508" spans="2:17" ht="13" x14ac:dyDescent="0.25">
      <c r="B508" s="847" t="s">
        <v>172</v>
      </c>
      <c r="C508" s="842"/>
      <c r="D508" s="842"/>
      <c r="E508" s="842"/>
      <c r="F508" s="1004">
        <v>2024</v>
      </c>
      <c r="G508" s="842"/>
      <c r="H508" s="842"/>
      <c r="I508" s="842"/>
      <c r="Q508" s="167"/>
    </row>
    <row r="509" spans="2:17" x14ac:dyDescent="0.25">
      <c r="B509" s="842"/>
      <c r="C509" s="842"/>
      <c r="D509" s="842"/>
      <c r="E509" s="842"/>
      <c r="F509" s="842"/>
      <c r="G509" s="842"/>
      <c r="H509" s="842"/>
      <c r="I509" s="842"/>
      <c r="Q509" s="167"/>
    </row>
    <row r="510" spans="2:17" ht="102" customHeight="1" x14ac:dyDescent="0.25">
      <c r="B510" s="1237" t="s">
        <v>173</v>
      </c>
      <c r="C510" s="1238"/>
      <c r="D510" s="1238"/>
      <c r="E510" s="1239"/>
      <c r="F510" s="848"/>
      <c r="G510" s="837" t="str">
        <f>"Nog af te bouwen regulatoir saldo einde "&amp;F508-1</f>
        <v>Nog af te bouwen regulatoir saldo einde 2023</v>
      </c>
      <c r="H510" s="837" t="str">
        <f>"50% van oorspronkelijk saldo door te rekenen volgens de tariefmethodologie in het boekjaar "&amp;F508</f>
        <v>50% van oorspronkelijk saldo door te rekenen volgens de tariefmethodologie in het boekjaar 2024</v>
      </c>
      <c r="I510" s="837" t="str">
        <f>"Nog af te bouwen regulatoir saldo einde "&amp;F508</f>
        <v>Nog af te bouwen regulatoir saldo einde 2024</v>
      </c>
      <c r="J510" s="212"/>
      <c r="Q510" s="167"/>
    </row>
    <row r="511" spans="2:17" ht="13" x14ac:dyDescent="0.25">
      <c r="B511" s="1234">
        <v>2021</v>
      </c>
      <c r="C511" s="1235"/>
      <c r="D511" s="1235"/>
      <c r="E511" s="1236"/>
      <c r="F511" s="341"/>
      <c r="G511" s="339">
        <f>+I505</f>
        <v>0</v>
      </c>
      <c r="H511" s="339">
        <f>-G505*0.5</f>
        <v>0</v>
      </c>
      <c r="I511" s="339">
        <f t="shared" ref="I511:I512" si="90">+G511+H511</f>
        <v>0</v>
      </c>
      <c r="J511" s="212"/>
      <c r="Q511" s="167"/>
    </row>
    <row r="512" spans="2:17" ht="13" x14ac:dyDescent="0.25">
      <c r="B512" s="1234">
        <v>2022</v>
      </c>
      <c r="C512" s="1235"/>
      <c r="D512" s="1235"/>
      <c r="E512" s="1236"/>
      <c r="F512" s="341"/>
      <c r="G512" s="339">
        <f>N169</f>
        <v>0</v>
      </c>
      <c r="H512" s="339">
        <f t="shared" ref="H512" si="91">-G512*0.5</f>
        <v>0</v>
      </c>
      <c r="I512" s="339">
        <f t="shared" si="90"/>
        <v>0</v>
      </c>
      <c r="J512" s="212"/>
      <c r="Q512" s="167"/>
    </row>
    <row r="513" spans="2:17" s="281" customFormat="1" ht="13" x14ac:dyDescent="0.25">
      <c r="B513" s="847"/>
      <c r="C513" s="847"/>
      <c r="D513" s="847"/>
      <c r="E513" s="847"/>
      <c r="F513" s="847"/>
      <c r="G513" s="849">
        <f>SUM(G511:G512)</f>
        <v>0</v>
      </c>
      <c r="H513" s="849">
        <f>SUM(H511:H512)</f>
        <v>0</v>
      </c>
      <c r="I513" s="849">
        <f>SUM(I511:I512)</f>
        <v>0</v>
      </c>
    </row>
    <row r="514" spans="2:17" x14ac:dyDescent="0.25">
      <c r="Q514" s="167"/>
    </row>
    <row r="515" spans="2:17" ht="13" x14ac:dyDescent="0.25">
      <c r="B515" s="281" t="str">
        <f>B449</f>
        <v>Het tarief voor openbare dienstverplichtingen</v>
      </c>
      <c r="Q515" s="167"/>
    </row>
    <row r="516" spans="2:17" ht="13" x14ac:dyDescent="0.25">
      <c r="B516" s="281" t="s">
        <v>174</v>
      </c>
      <c r="C516" s="224"/>
      <c r="D516" s="224"/>
      <c r="E516" s="224"/>
      <c r="Q516" s="167"/>
    </row>
    <row r="517" spans="2:17" ht="13" x14ac:dyDescent="0.25">
      <c r="C517" s="224"/>
      <c r="D517" s="224"/>
      <c r="E517" s="224"/>
      <c r="Q517" s="167"/>
    </row>
    <row r="518" spans="2:17" ht="13" x14ac:dyDescent="0.25">
      <c r="B518" s="283">
        <v>2021</v>
      </c>
      <c r="C518" s="287">
        <f>+H488</f>
        <v>0</v>
      </c>
      <c r="D518" s="224"/>
      <c r="E518" s="224"/>
      <c r="Q518" s="167"/>
    </row>
    <row r="519" spans="2:17" ht="13" x14ac:dyDescent="0.25">
      <c r="B519" s="341">
        <v>2022</v>
      </c>
      <c r="C519" s="342">
        <f>+H499</f>
        <v>0</v>
      </c>
      <c r="D519" s="224"/>
      <c r="E519" s="224"/>
      <c r="Q519" s="167"/>
    </row>
    <row r="520" spans="2:17" ht="13" x14ac:dyDescent="0.25">
      <c r="B520" s="341">
        <v>2023</v>
      </c>
      <c r="C520" s="342">
        <f>+H506</f>
        <v>0</v>
      </c>
      <c r="D520" s="224"/>
      <c r="E520" s="224"/>
      <c r="Q520" s="167"/>
    </row>
    <row r="521" spans="2:17" ht="13" x14ac:dyDescent="0.25">
      <c r="B521" s="341">
        <v>2024</v>
      </c>
      <c r="C521" s="342">
        <f>+H513</f>
        <v>0</v>
      </c>
      <c r="D521" s="224"/>
      <c r="E521" s="224"/>
      <c r="Q521" s="167"/>
    </row>
    <row r="522" spans="2:17" x14ac:dyDescent="0.25">
      <c r="Q522" s="167"/>
    </row>
    <row r="523" spans="2:17" x14ac:dyDescent="0.25">
      <c r="Q523" s="167"/>
    </row>
    <row r="524" spans="2:17" ht="13" x14ac:dyDescent="0.25">
      <c r="B524" s="326" t="s">
        <v>119</v>
      </c>
      <c r="C524" s="327"/>
      <c r="D524" s="327"/>
      <c r="E524" s="327"/>
      <c r="F524" s="328"/>
      <c r="G524" s="328"/>
      <c r="H524" s="328"/>
      <c r="I524" s="328"/>
      <c r="J524" s="328"/>
      <c r="K524" s="328"/>
      <c r="L524" s="328"/>
      <c r="M524" s="328"/>
      <c r="Q524" s="167"/>
    </row>
    <row r="525" spans="2:17" x14ac:dyDescent="0.25">
      <c r="Q525" s="167"/>
    </row>
    <row r="526" spans="2:17" ht="13" x14ac:dyDescent="0.25">
      <c r="B526" s="281" t="s">
        <v>172</v>
      </c>
      <c r="F526" s="1000">
        <v>2017</v>
      </c>
      <c r="Q526" s="167"/>
    </row>
    <row r="527" spans="2:17" x14ac:dyDescent="0.25">
      <c r="L527" s="212"/>
      <c r="Q527" s="167"/>
    </row>
    <row r="528" spans="2:17" ht="102" customHeight="1" x14ac:dyDescent="0.25">
      <c r="B528" s="1231" t="s">
        <v>173</v>
      </c>
      <c r="C528" s="1232"/>
      <c r="D528" s="1232"/>
      <c r="E528" s="1233"/>
      <c r="F528" s="282"/>
      <c r="G528" s="166" t="str">
        <f>"Nog af te bouwen regulatoir saldo einde "&amp;F526-1</f>
        <v>Nog af te bouwen regulatoir saldo einde 2016</v>
      </c>
      <c r="H528" s="166" t="str">
        <f>"Afbouw oudste openstaande regulatoir saldo vanaf boekjaar "&amp;F526-3&amp;" en vroeger, door aanwending van compensatie met regulatoir saldo ontstaan over boekjaar "&amp;F526-2</f>
        <v>Afbouw oudste openstaande regulatoir saldo vanaf boekjaar 2014 en vroeger, door aanwending van compensatie met regulatoir saldo ontstaan over boekjaar 2015</v>
      </c>
      <c r="I528" s="166" t="str">
        <f>"Nog af te bouwen regulatoir saldo na compensatie einde "&amp;F526-1</f>
        <v>Nog af te bouwen regulatoir saldo na compensatie einde 2016</v>
      </c>
      <c r="J528" s="166" t="str">
        <f>"Aanwending van 60% van het geaccumuleerd regulatoir saldo door te rekenen volgens de tariefmethodologie in het boekjaar "&amp;F526</f>
        <v>Aanwending van 60% van het geaccumuleerd regulatoir saldo door te rekenen volgens de tariefmethodologie in het boekjaar 2017</v>
      </c>
      <c r="K528" s="166" t="str">
        <f>"Nog af te bouwen regulatoir saldo einde "&amp;F526</f>
        <v>Nog af te bouwen regulatoir saldo einde 2017</v>
      </c>
      <c r="L528" s="212"/>
      <c r="Q528" s="167"/>
    </row>
    <row r="529" spans="2:17" ht="13" x14ac:dyDescent="0.25">
      <c r="B529" s="1228">
        <v>2015</v>
      </c>
      <c r="C529" s="1229"/>
      <c r="D529" s="1229"/>
      <c r="E529" s="1230"/>
      <c r="F529" s="283"/>
      <c r="G529" s="177">
        <f>G173</f>
        <v>0</v>
      </c>
      <c r="H529" s="566">
        <v>0</v>
      </c>
      <c r="I529" s="177">
        <f>+G529+H529</f>
        <v>0</v>
      </c>
      <c r="J529" s="177">
        <f>-I529*0.6</f>
        <v>0</v>
      </c>
      <c r="K529" s="1001">
        <f>+J529+G529</f>
        <v>0</v>
      </c>
      <c r="L529" s="212"/>
      <c r="Q529" s="167"/>
    </row>
    <row r="530" spans="2:17" x14ac:dyDescent="0.25">
      <c r="L530" s="212"/>
      <c r="Q530" s="167"/>
    </row>
    <row r="531" spans="2:17" ht="13" x14ac:dyDescent="0.25">
      <c r="B531" s="281" t="s">
        <v>172</v>
      </c>
      <c r="F531" s="1000">
        <v>2018</v>
      </c>
      <c r="Q531" s="167"/>
    </row>
    <row r="532" spans="2:17" x14ac:dyDescent="0.25">
      <c r="Q532" s="167"/>
    </row>
    <row r="533" spans="2:17" ht="102" customHeight="1" x14ac:dyDescent="0.25">
      <c r="B533" s="1231" t="s">
        <v>173</v>
      </c>
      <c r="C533" s="1232"/>
      <c r="D533" s="1232"/>
      <c r="E533" s="1233"/>
      <c r="F533" s="282"/>
      <c r="G533" s="166" t="str">
        <f>"Nog af te bouwen regulatoir saldo einde "&amp;F531-1</f>
        <v>Nog af te bouwen regulatoir saldo einde 2017</v>
      </c>
      <c r="H533" s="166" t="str">
        <f>"Afbouw oudste openstaande regulatoir saldo vanaf boekjaar "&amp;F531-3&amp;" en vroeger, door aanwending van compensatie met regulatoir saldo ontstaan over boekjaar "&amp;F531-2</f>
        <v>Afbouw oudste openstaande regulatoir saldo vanaf boekjaar 2015 en vroeger, door aanwending van compensatie met regulatoir saldo ontstaan over boekjaar 2016</v>
      </c>
      <c r="I533" s="166" t="str">
        <f>"Nog af te bouwen regulatoir saldo na compensatie einde "&amp;F531-1</f>
        <v>Nog af te bouwen regulatoir saldo na compensatie einde 2017</v>
      </c>
      <c r="J533" s="166" t="str">
        <f>"60% van het geaccumuleerd regulatoir saldo door te rekenen volgens de tariefmethodologie in het boekjaar "&amp;F531</f>
        <v>60% van het geaccumuleerd regulatoir saldo door te rekenen volgens de tariefmethodologie in het boekjaar 2018</v>
      </c>
      <c r="K533" s="166" t="str">
        <f>"Aanwending van 60% van het geaccumuleerd regulatoir saldo door te rekenen volgens de tariefmethodologie in het boekjaar "&amp;F531</f>
        <v>Aanwending van 60% van het geaccumuleerd regulatoir saldo door te rekenen volgens de tariefmethodologie in het boekjaar 2018</v>
      </c>
      <c r="L533" s="166" t="str">
        <f>"Totale afbouw over "&amp;F531</f>
        <v>Totale afbouw over 2018</v>
      </c>
      <c r="M533" s="166" t="str">
        <f>"Nog af te bouwen regulatoir saldo einde "&amp;F531</f>
        <v>Nog af te bouwen regulatoir saldo einde 2018</v>
      </c>
      <c r="N533" s="212"/>
      <c r="Q533" s="167"/>
    </row>
    <row r="534" spans="2:17" ht="13" x14ac:dyDescent="0.25">
      <c r="B534" s="1228">
        <v>2015</v>
      </c>
      <c r="C534" s="1229"/>
      <c r="D534" s="1229"/>
      <c r="E534" s="1230"/>
      <c r="F534" s="283"/>
      <c r="G534" s="177">
        <f>K529</f>
        <v>0</v>
      </c>
      <c r="H534" s="566">
        <f>IF(SIGN(G535*K529)&lt;0,IF(G534&lt;&gt;0,-SIGN(G534)*MIN(ABS(G535),ABS(G534)),0),0)</f>
        <v>0</v>
      </c>
      <c r="I534" s="177">
        <f>+G534+H534</f>
        <v>0</v>
      </c>
      <c r="J534" s="995"/>
      <c r="K534" s="566">
        <f>-MIN(ABS(I534),ABS(J536))*SIGN(I534)</f>
        <v>0</v>
      </c>
      <c r="L534" s="1003">
        <f>+K534+H534</f>
        <v>0</v>
      </c>
      <c r="M534" s="177">
        <f>+I534+K534</f>
        <v>0</v>
      </c>
      <c r="N534" s="212"/>
      <c r="Q534" s="167"/>
    </row>
    <row r="535" spans="2:17" ht="13" x14ac:dyDescent="0.25">
      <c r="B535" s="1228">
        <v>2016</v>
      </c>
      <c r="C535" s="1229"/>
      <c r="D535" s="1229"/>
      <c r="E535" s="1230"/>
      <c r="F535" s="283"/>
      <c r="G535" s="177">
        <f>H174</f>
        <v>0</v>
      </c>
      <c r="H535" s="1003">
        <f>IF(SIGN(G535*K529)&lt;0,-H534,0)</f>
        <v>0</v>
      </c>
      <c r="I535" s="177">
        <f>+G535+H535</f>
        <v>0</v>
      </c>
      <c r="J535" s="995"/>
      <c r="K535" s="566">
        <f>-MIN(ABS(I535),ABS(J536-K534))*SIGN(I535)</f>
        <v>0</v>
      </c>
      <c r="L535" s="1003">
        <f>+K535+H535</f>
        <v>0</v>
      </c>
      <c r="M535" s="177">
        <f>+I535+K535</f>
        <v>0</v>
      </c>
      <c r="N535" s="212"/>
      <c r="Q535" s="167"/>
    </row>
    <row r="536" spans="2:17" s="281" customFormat="1" ht="13" x14ac:dyDescent="0.25">
      <c r="G536" s="284">
        <f>SUM(G534:G535)</f>
        <v>0</v>
      </c>
      <c r="H536" s="169">
        <f>SUM(H534:H535)</f>
        <v>0</v>
      </c>
      <c r="I536" s="284">
        <f>SUM(I534:I535)</f>
        <v>0</v>
      </c>
      <c r="J536" s="284">
        <f>-I536*0.6</f>
        <v>0</v>
      </c>
      <c r="K536" s="169">
        <f>SUM(K534:K535)</f>
        <v>0</v>
      </c>
      <c r="L536" s="570"/>
      <c r="M536" s="284">
        <f>SUM(M534:M535)</f>
        <v>0</v>
      </c>
    </row>
    <row r="537" spans="2:17" x14ac:dyDescent="0.25">
      <c r="K537" s="221"/>
      <c r="L537" s="221"/>
      <c r="Q537" s="167"/>
    </row>
    <row r="538" spans="2:17" ht="13" x14ac:dyDescent="0.25">
      <c r="B538" s="281" t="s">
        <v>172</v>
      </c>
      <c r="F538" s="1000">
        <v>2019</v>
      </c>
      <c r="Q538" s="167"/>
    </row>
    <row r="539" spans="2:17" x14ac:dyDescent="0.25">
      <c r="Q539" s="167"/>
    </row>
    <row r="540" spans="2:17" ht="102" customHeight="1" x14ac:dyDescent="0.25">
      <c r="B540" s="1231" t="s">
        <v>173</v>
      </c>
      <c r="C540" s="1232"/>
      <c r="D540" s="1232"/>
      <c r="E540" s="1233"/>
      <c r="F540" s="282"/>
      <c r="G540" s="166" t="str">
        <f>"Nog af te bouwen regulatoir saldo einde "&amp;F538-1</f>
        <v>Nog af te bouwen regulatoir saldo einde 2018</v>
      </c>
      <c r="H540" s="166" t="str">
        <f>"Afbouw oudste openstaande regulatoir saldo vanaf boekjaar "&amp;F538-3&amp;" en vroeger, door aanwending van compensatie met regulatoir saldo ontstaan over boekjaar "&amp;F538-2</f>
        <v>Afbouw oudste openstaande regulatoir saldo vanaf boekjaar 2016 en vroeger, door aanwending van compensatie met regulatoir saldo ontstaan over boekjaar 2017</v>
      </c>
      <c r="I540" s="166" t="str">
        <f>"Nog af te bouwen regulatoir saldo na compensatie einde "&amp;F538-1</f>
        <v>Nog af te bouwen regulatoir saldo na compensatie einde 2018</v>
      </c>
      <c r="J540" s="166" t="str">
        <f>"60% van het geaccumuleerd regulatoir saldo door te rekenen volgens de tariefmethodologie in het boekjaar "&amp;F538</f>
        <v>60% van het geaccumuleerd regulatoir saldo door te rekenen volgens de tariefmethodologie in het boekjaar 2019</v>
      </c>
      <c r="K540" s="166" t="str">
        <f>"Aanwending van het 60% van het geaccumuleerd regulatoir saldo door te rekenen volgens de tariefmethodologie in het boekjaar "&amp;F538</f>
        <v>Aanwending van het 60% van het geaccumuleerd regulatoir saldo door te rekenen volgens de tariefmethodologie in het boekjaar 2019</v>
      </c>
      <c r="L540" s="166" t="str">
        <f>"Totale afbouw over "&amp;F538</f>
        <v>Totale afbouw over 2019</v>
      </c>
      <c r="M540" s="166" t="str">
        <f>"Nog af te bouwen regulatoir saldo einde "&amp;F538</f>
        <v>Nog af te bouwen regulatoir saldo einde 2019</v>
      </c>
      <c r="N540" s="212"/>
      <c r="Q540" s="167"/>
    </row>
    <row r="541" spans="2:17" ht="13" x14ac:dyDescent="0.25">
      <c r="B541" s="1228">
        <v>2015</v>
      </c>
      <c r="C541" s="1229"/>
      <c r="D541" s="1229"/>
      <c r="E541" s="1230"/>
      <c r="F541" s="283"/>
      <c r="G541" s="177">
        <f>+M534</f>
        <v>0</v>
      </c>
      <c r="H541" s="1003">
        <f>IF(SIGN(G543*M536)&lt;0,IF(G541&lt;&gt;0,-SIGN(G541)*MIN(ABS(G543),ABS(G541)),0),0)</f>
        <v>0</v>
      </c>
      <c r="I541" s="177">
        <f>+G541+H541</f>
        <v>0</v>
      </c>
      <c r="J541" s="995"/>
      <c r="K541" s="566">
        <f>-MIN(ABS(I541),ABS(J544))*SIGN(I541)</f>
        <v>0</v>
      </c>
      <c r="L541" s="1003">
        <f>+K541+H541</f>
        <v>0</v>
      </c>
      <c r="M541" s="177">
        <f>+I541+K541</f>
        <v>0</v>
      </c>
      <c r="N541" s="212"/>
      <c r="Q541" s="167"/>
    </row>
    <row r="542" spans="2:17" ht="13" x14ac:dyDescent="0.25">
      <c r="B542" s="1228">
        <v>2016</v>
      </c>
      <c r="C542" s="1229"/>
      <c r="D542" s="1229">
        <v>2016</v>
      </c>
      <c r="E542" s="1230"/>
      <c r="F542" s="283"/>
      <c r="G542" s="177">
        <f>+M535</f>
        <v>0</v>
      </c>
      <c r="H542" s="1003">
        <f>IF(SIGN(G543*M536)&lt;0,IF(G542&lt;&gt;0,-SIGN(G542)*MIN(ABS(G543-H541),ABS(G542)),0),0)</f>
        <v>0</v>
      </c>
      <c r="I542" s="177">
        <f>+G542+H542</f>
        <v>0</v>
      </c>
      <c r="J542" s="995"/>
      <c r="K542" s="566">
        <f>-MIN(ABS(I542),ABS(J544-K541))*SIGN(I542)</f>
        <v>0</v>
      </c>
      <c r="L542" s="1003">
        <f>+K542+H542</f>
        <v>0</v>
      </c>
      <c r="M542" s="177">
        <f>+I542+K542</f>
        <v>0</v>
      </c>
      <c r="N542" s="212"/>
      <c r="Q542" s="167"/>
    </row>
    <row r="543" spans="2:17" ht="13" x14ac:dyDescent="0.25">
      <c r="B543" s="1228">
        <v>2017</v>
      </c>
      <c r="C543" s="1229"/>
      <c r="D543" s="1229"/>
      <c r="E543" s="1230"/>
      <c r="F543" s="283"/>
      <c r="G543" s="177">
        <f>I175</f>
        <v>0</v>
      </c>
      <c r="H543" s="1003">
        <f>IF(SIGN(G543*M536)&lt;0,-SUM(H541:H542),0)</f>
        <v>0</v>
      </c>
      <c r="I543" s="177">
        <f>+G543+H543</f>
        <v>0</v>
      </c>
      <c r="J543" s="995"/>
      <c r="K543" s="566">
        <f>-MIN(ABS(I543),ABS(J544-K541-K542))*SIGN(I543)</f>
        <v>0</v>
      </c>
      <c r="L543" s="1003">
        <f>+K543+H543</f>
        <v>0</v>
      </c>
      <c r="M543" s="177">
        <f>+I543+K543</f>
        <v>0</v>
      </c>
      <c r="N543" s="212"/>
      <c r="Q543" s="167"/>
    </row>
    <row r="544" spans="2:17" s="281" customFormat="1" ht="13" x14ac:dyDescent="0.25">
      <c r="G544" s="284">
        <f>SUM(G541:G543)</f>
        <v>0</v>
      </c>
      <c r="H544" s="169">
        <f>SUM(H541:H543)</f>
        <v>0</v>
      </c>
      <c r="I544" s="284">
        <f>SUM(I541:I543)</f>
        <v>0</v>
      </c>
      <c r="J544" s="284">
        <f>-I544*0.6</f>
        <v>0</v>
      </c>
      <c r="K544" s="169">
        <f>SUM(K541:K543)</f>
        <v>0</v>
      </c>
      <c r="L544" s="570"/>
      <c r="M544" s="284">
        <f>SUM(M541:M543)</f>
        <v>0</v>
      </c>
    </row>
    <row r="545" spans="2:17" x14ac:dyDescent="0.25">
      <c r="Q545" s="167"/>
    </row>
    <row r="546" spans="2:17" ht="13" x14ac:dyDescent="0.25">
      <c r="B546" s="281" t="s">
        <v>172</v>
      </c>
      <c r="F546" s="1000">
        <v>2020</v>
      </c>
      <c r="Q546" s="167"/>
    </row>
    <row r="547" spans="2:17" x14ac:dyDescent="0.25">
      <c r="Q547" s="167"/>
    </row>
    <row r="548" spans="2:17" ht="102" customHeight="1" x14ac:dyDescent="0.25">
      <c r="B548" s="1231" t="s">
        <v>173</v>
      </c>
      <c r="C548" s="1232"/>
      <c r="D548" s="1232"/>
      <c r="E548" s="1233"/>
      <c r="F548" s="282"/>
      <c r="G548" s="166" t="str">
        <f>"Nog af te bouwen regulatoir saldo einde "&amp;F546-1</f>
        <v>Nog af te bouwen regulatoir saldo einde 2019</v>
      </c>
      <c r="H548" s="166" t="str">
        <f>"Afbouw oudste openstaande regulatoir saldo vanaf boekjaar "&amp;F546-3&amp;" en vroeger, door aanwending van compensatie met regulatoir saldo ontstaan over boekjaar "&amp;F546-2</f>
        <v>Afbouw oudste openstaande regulatoir saldo vanaf boekjaar 2017 en vroeger, door aanwending van compensatie met regulatoir saldo ontstaan over boekjaar 2018</v>
      </c>
      <c r="I548" s="166" t="str">
        <f>"Nog af te bouwen regulatoir saldo na compensatie einde "&amp;F546-1</f>
        <v>Nog af te bouwen regulatoir saldo na compensatie einde 2019</v>
      </c>
      <c r="J548" s="166" t="str">
        <f>"60% van het geaccumuleerd regulatoir saldo door te rekenen volgens de tariefmethodologie in het boekjaar "&amp;F546</f>
        <v>60% van het geaccumuleerd regulatoir saldo door te rekenen volgens de tariefmethodologie in het boekjaar 2020</v>
      </c>
      <c r="K548" s="166" t="str">
        <f>"Aanwending van het 60% van het geaccumuleerd regulatoir saldo door te rekenen volgens de tariefmethodologie in het boekjaar "&amp;F546</f>
        <v>Aanwending van het 60% van het geaccumuleerd regulatoir saldo door te rekenen volgens de tariefmethodologie in het boekjaar 2020</v>
      </c>
      <c r="L548" s="166" t="str">
        <f>"Totale afbouw over "&amp;F546</f>
        <v>Totale afbouw over 2020</v>
      </c>
      <c r="M548" s="166" t="str">
        <f>"Nog af te bouwen regulatoir saldo einde "&amp;F546</f>
        <v>Nog af te bouwen regulatoir saldo einde 2020</v>
      </c>
      <c r="N548" s="212"/>
      <c r="Q548" s="167"/>
    </row>
    <row r="549" spans="2:17" ht="13" x14ac:dyDescent="0.25">
      <c r="B549" s="1228">
        <v>2015</v>
      </c>
      <c r="C549" s="1229"/>
      <c r="D549" s="1229"/>
      <c r="E549" s="1230"/>
      <c r="F549" s="283"/>
      <c r="G549" s="177">
        <f>+M541</f>
        <v>0</v>
      </c>
      <c r="H549" s="1003">
        <f>IF(SIGN(G552*M544)&lt;0,IF(G549&lt;&gt;0,-SIGN(G549)*MIN(ABS(G552),ABS(G549)),0),0)</f>
        <v>0</v>
      </c>
      <c r="I549" s="177">
        <f>+G549+H549</f>
        <v>0</v>
      </c>
      <c r="J549" s="995"/>
      <c r="K549" s="566">
        <f>-MIN(ABS(I549),ABS(J553))*SIGN(I549)</f>
        <v>0</v>
      </c>
      <c r="L549" s="1003">
        <f>+K549+H549</f>
        <v>0</v>
      </c>
      <c r="M549" s="177">
        <f>+I549+K549</f>
        <v>0</v>
      </c>
      <c r="N549" s="212"/>
      <c r="Q549" s="167"/>
    </row>
    <row r="550" spans="2:17" ht="13" x14ac:dyDescent="0.25">
      <c r="B550" s="1228">
        <v>2016</v>
      </c>
      <c r="C550" s="1229"/>
      <c r="D550" s="1229"/>
      <c r="E550" s="1230"/>
      <c r="F550" s="283"/>
      <c r="G550" s="177">
        <f>+M542</f>
        <v>0</v>
      </c>
      <c r="H550" s="1003">
        <f>IF(SIGN(G552*M544)&lt;0,IF(G550&lt;&gt;0,-SIGN(G550)*MIN(ABS(G552-H549),ABS(G550)),0),0)</f>
        <v>0</v>
      </c>
      <c r="I550" s="177">
        <f>+G550+H550</f>
        <v>0</v>
      </c>
      <c r="J550" s="995"/>
      <c r="K550" s="566">
        <f>-MIN(ABS(I550),ABS(J553-K549))*SIGN(I550)</f>
        <v>0</v>
      </c>
      <c r="L550" s="1003">
        <f>+K550+H550</f>
        <v>0</v>
      </c>
      <c r="M550" s="177">
        <f>+I550+K550</f>
        <v>0</v>
      </c>
      <c r="N550" s="212"/>
      <c r="Q550" s="167"/>
    </row>
    <row r="551" spans="2:17" ht="13" x14ac:dyDescent="0.25">
      <c r="B551" s="1228">
        <v>2017</v>
      </c>
      <c r="C551" s="1229"/>
      <c r="D551" s="1229">
        <v>2016</v>
      </c>
      <c r="E551" s="1230"/>
      <c r="F551" s="283"/>
      <c r="G551" s="177">
        <f>+M543</f>
        <v>0</v>
      </c>
      <c r="H551" s="1003">
        <f>IF(SIGN(G552*M544)&lt;0,IF(G551&lt;&gt;0,-SIGN(G551)*MIN(ABS(G552-H549-H550),ABS(G551)),0),0)</f>
        <v>0</v>
      </c>
      <c r="I551" s="177">
        <f>+G551+H551</f>
        <v>0</v>
      </c>
      <c r="J551" s="995"/>
      <c r="K551" s="566">
        <f>-MIN(ABS(I551),ABS(J553-K549-K550))*SIGN(I551)</f>
        <v>0</v>
      </c>
      <c r="L551" s="1003">
        <f>+K551+H551</f>
        <v>0</v>
      </c>
      <c r="M551" s="177">
        <f>+I551+K551</f>
        <v>0</v>
      </c>
      <c r="N551" s="212"/>
      <c r="Q551" s="167"/>
    </row>
    <row r="552" spans="2:17" ht="13" x14ac:dyDescent="0.25">
      <c r="B552" s="1228">
        <v>2018</v>
      </c>
      <c r="C552" s="1229"/>
      <c r="D552" s="1229"/>
      <c r="E552" s="1230"/>
      <c r="F552" s="283"/>
      <c r="G552" s="177">
        <f>J176</f>
        <v>0</v>
      </c>
      <c r="H552" s="1003">
        <f>IF(SIGN(G552*M544)&lt;0,-SUM(H549:H551),0)</f>
        <v>0</v>
      </c>
      <c r="I552" s="177">
        <f>+G552+H552</f>
        <v>0</v>
      </c>
      <c r="J552" s="995"/>
      <c r="K552" s="566">
        <f>-MIN(ABS(I552),ABS(J553-K549-K550-K551))*SIGN(I552)</f>
        <v>0</v>
      </c>
      <c r="L552" s="1003">
        <f>+K552+H552</f>
        <v>0</v>
      </c>
      <c r="M552" s="177">
        <f>+I552+K552</f>
        <v>0</v>
      </c>
      <c r="N552" s="212"/>
      <c r="Q552" s="167"/>
    </row>
    <row r="553" spans="2:17" s="281" customFormat="1" ht="13" x14ac:dyDescent="0.25">
      <c r="G553" s="284">
        <f>SUM(G549:G552)</f>
        <v>0</v>
      </c>
      <c r="H553" s="169">
        <f>SUM(H549:H552)</f>
        <v>0</v>
      </c>
      <c r="I553" s="284">
        <f>SUM(I549:I552)</f>
        <v>0</v>
      </c>
      <c r="J553" s="284">
        <f>-I553*0.6</f>
        <v>0</v>
      </c>
      <c r="K553" s="169">
        <f>SUM(K549:K552)</f>
        <v>0</v>
      </c>
      <c r="L553" s="169"/>
      <c r="M553" s="284">
        <f>SUM(M549:M552)</f>
        <v>0</v>
      </c>
    </row>
    <row r="554" spans="2:17" x14ac:dyDescent="0.25">
      <c r="H554" s="221"/>
      <c r="Q554" s="167"/>
    </row>
    <row r="555" spans="2:17" ht="13" x14ac:dyDescent="0.25">
      <c r="B555" s="281" t="s">
        <v>172</v>
      </c>
      <c r="F555" s="1000">
        <v>2021</v>
      </c>
      <c r="Q555" s="167"/>
    </row>
    <row r="556" spans="2:17" x14ac:dyDescent="0.25">
      <c r="Q556" s="167"/>
    </row>
    <row r="557" spans="2:17" ht="102" customHeight="1" x14ac:dyDescent="0.25">
      <c r="B557" s="1231" t="s">
        <v>173</v>
      </c>
      <c r="C557" s="1232"/>
      <c r="D557" s="1232"/>
      <c r="E557" s="1233"/>
      <c r="F557" s="282"/>
      <c r="G557" s="166" t="str">
        <f>"Nog af te bouwen regulatoir saldo einde "&amp;F555-1</f>
        <v>Nog af te bouwen regulatoir saldo einde 2020</v>
      </c>
      <c r="H557" s="166" t="str">
        <f>"50% van oorspronkelijk saldo door te rekenen volgens de tariefmethodologie in het boekjaar "&amp;F555</f>
        <v>50% van oorspronkelijk saldo door te rekenen volgens de tariefmethodologie in het boekjaar 2021</v>
      </c>
      <c r="I557" s="166" t="str">
        <f>"Nog af te bouwen regulatoir saldo einde "&amp;F555</f>
        <v>Nog af te bouwen regulatoir saldo einde 2021</v>
      </c>
      <c r="J557" s="212"/>
      <c r="Q557" s="167"/>
    </row>
    <row r="558" spans="2:17" ht="13" x14ac:dyDescent="0.25">
      <c r="B558" s="1228">
        <v>2015</v>
      </c>
      <c r="C558" s="1229"/>
      <c r="D558" s="1229"/>
      <c r="E558" s="1230"/>
      <c r="F558" s="283"/>
      <c r="G558" s="177">
        <f>M549</f>
        <v>0</v>
      </c>
      <c r="H558" s="177">
        <f>-G558*0.5</f>
        <v>0</v>
      </c>
      <c r="I558" s="177">
        <f>+G558+H558</f>
        <v>0</v>
      </c>
      <c r="J558" s="212"/>
      <c r="Q558" s="167"/>
    </row>
    <row r="559" spans="2:17" ht="13" x14ac:dyDescent="0.25">
      <c r="B559" s="1228">
        <v>2016</v>
      </c>
      <c r="C559" s="1229"/>
      <c r="D559" s="1229"/>
      <c r="E559" s="1230"/>
      <c r="F559" s="283"/>
      <c r="G559" s="177">
        <f t="shared" ref="G559:G561" si="92">M550</f>
        <v>0</v>
      </c>
      <c r="H559" s="177">
        <f t="shared" ref="H559:H562" si="93">-G559*0.5</f>
        <v>0</v>
      </c>
      <c r="I559" s="177">
        <f t="shared" ref="I559:I562" si="94">+G559+H559</f>
        <v>0</v>
      </c>
      <c r="J559" s="212"/>
      <c r="Q559" s="167"/>
    </row>
    <row r="560" spans="2:17" ht="13" x14ac:dyDescent="0.25">
      <c r="B560" s="1228">
        <v>2017</v>
      </c>
      <c r="C560" s="1229"/>
      <c r="D560" s="1229">
        <v>2016</v>
      </c>
      <c r="E560" s="1230"/>
      <c r="F560" s="283"/>
      <c r="G560" s="177">
        <f t="shared" si="92"/>
        <v>0</v>
      </c>
      <c r="H560" s="177">
        <f t="shared" si="93"/>
        <v>0</v>
      </c>
      <c r="I560" s="177">
        <f t="shared" si="94"/>
        <v>0</v>
      </c>
      <c r="J560" s="212"/>
      <c r="Q560" s="167"/>
    </row>
    <row r="561" spans="2:17" ht="13" x14ac:dyDescent="0.25">
      <c r="B561" s="1228">
        <v>2018</v>
      </c>
      <c r="C561" s="1229"/>
      <c r="D561" s="1229"/>
      <c r="E561" s="1230"/>
      <c r="F561" s="283"/>
      <c r="G561" s="177">
        <f t="shared" si="92"/>
        <v>0</v>
      </c>
      <c r="H561" s="177">
        <f t="shared" si="93"/>
        <v>0</v>
      </c>
      <c r="I561" s="177">
        <f t="shared" si="94"/>
        <v>0</v>
      </c>
      <c r="J561" s="212"/>
      <c r="Q561" s="167"/>
    </row>
    <row r="562" spans="2:17" ht="13" x14ac:dyDescent="0.25">
      <c r="B562" s="1228">
        <v>2019</v>
      </c>
      <c r="C562" s="1229"/>
      <c r="D562" s="1229"/>
      <c r="E562" s="1230"/>
      <c r="F562" s="283"/>
      <c r="G562" s="177">
        <f>K177</f>
        <v>0</v>
      </c>
      <c r="H562" s="177">
        <f t="shared" si="93"/>
        <v>0</v>
      </c>
      <c r="I562" s="177">
        <f t="shared" si="94"/>
        <v>0</v>
      </c>
      <c r="J562" s="212"/>
      <c r="Q562" s="167"/>
    </row>
    <row r="563" spans="2:17" s="281" customFormat="1" ht="13" x14ac:dyDescent="0.25">
      <c r="G563" s="284">
        <f>SUM(G558:G562)</f>
        <v>0</v>
      </c>
      <c r="H563" s="284">
        <f>SUM(H558:H562)</f>
        <v>0</v>
      </c>
      <c r="I563" s="284">
        <f>SUM(I558:I562)</f>
        <v>0</v>
      </c>
    </row>
    <row r="564" spans="2:17" x14ac:dyDescent="0.25">
      <c r="Q564" s="167"/>
    </row>
    <row r="565" spans="2:17" ht="13" x14ac:dyDescent="0.25">
      <c r="B565" s="847" t="s">
        <v>172</v>
      </c>
      <c r="C565" s="842"/>
      <c r="D565" s="842"/>
      <c r="E565" s="842"/>
      <c r="F565" s="1004">
        <v>2022</v>
      </c>
      <c r="G565" s="842"/>
      <c r="H565" s="842"/>
      <c r="I565" s="842"/>
      <c r="Q565" s="167"/>
    </row>
    <row r="566" spans="2:17" x14ac:dyDescent="0.25">
      <c r="B566" s="842"/>
      <c r="C566" s="842"/>
      <c r="D566" s="842"/>
      <c r="E566" s="842"/>
      <c r="F566" s="842"/>
      <c r="G566" s="842"/>
      <c r="H566" s="842"/>
      <c r="I566" s="842"/>
      <c r="Q566" s="167"/>
    </row>
    <row r="567" spans="2:17" ht="102" customHeight="1" x14ac:dyDescent="0.25">
      <c r="B567" s="1237" t="s">
        <v>173</v>
      </c>
      <c r="C567" s="1238"/>
      <c r="D567" s="1238"/>
      <c r="E567" s="1239"/>
      <c r="F567" s="848"/>
      <c r="G567" s="837" t="str">
        <f>"Nog af te bouwen regulatoir saldo einde "&amp;F565-1</f>
        <v>Nog af te bouwen regulatoir saldo einde 2021</v>
      </c>
      <c r="H567" s="837" t="str">
        <f>"50% van oorspronkelijk saldo door te rekenen volgens de tariefmethodologie in het boekjaar "&amp;F565</f>
        <v>50% van oorspronkelijk saldo door te rekenen volgens de tariefmethodologie in het boekjaar 2022</v>
      </c>
      <c r="I567" s="837" t="str">
        <f>"Nog af te bouwen regulatoir saldo einde "&amp;F565</f>
        <v>Nog af te bouwen regulatoir saldo einde 2022</v>
      </c>
      <c r="J567" s="212"/>
      <c r="Q567" s="167"/>
    </row>
    <row r="568" spans="2:17" ht="13" x14ac:dyDescent="0.25">
      <c r="B568" s="1234">
        <v>2015</v>
      </c>
      <c r="C568" s="1235"/>
      <c r="D568" s="1235"/>
      <c r="E568" s="1236"/>
      <c r="F568" s="341"/>
      <c r="G568" s="339">
        <f>+I558</f>
        <v>0</v>
      </c>
      <c r="H568" s="339">
        <f>-G558*0.5</f>
        <v>0</v>
      </c>
      <c r="I568" s="339">
        <f>+G568+H568</f>
        <v>0</v>
      </c>
      <c r="J568" s="212"/>
      <c r="Q568" s="167"/>
    </row>
    <row r="569" spans="2:17" ht="13" x14ac:dyDescent="0.25">
      <c r="B569" s="1234">
        <v>2016</v>
      </c>
      <c r="C569" s="1235"/>
      <c r="D569" s="1235"/>
      <c r="E569" s="1236"/>
      <c r="F569" s="341"/>
      <c r="G569" s="339">
        <f t="shared" ref="G569:G572" si="95">+I559</f>
        <v>0</v>
      </c>
      <c r="H569" s="339">
        <f t="shared" ref="H569:H572" si="96">-G559*0.5</f>
        <v>0</v>
      </c>
      <c r="I569" s="339">
        <f t="shared" ref="I569:I573" si="97">+G569+H569</f>
        <v>0</v>
      </c>
      <c r="J569" s="212"/>
      <c r="Q569" s="167"/>
    </row>
    <row r="570" spans="2:17" ht="13" x14ac:dyDescent="0.25">
      <c r="B570" s="1234">
        <v>2017</v>
      </c>
      <c r="C570" s="1235"/>
      <c r="D570" s="1235">
        <v>2016</v>
      </c>
      <c r="E570" s="1236"/>
      <c r="F570" s="341"/>
      <c r="G570" s="339">
        <f t="shared" si="95"/>
        <v>0</v>
      </c>
      <c r="H570" s="339">
        <f t="shared" si="96"/>
        <v>0</v>
      </c>
      <c r="I570" s="339">
        <f t="shared" si="97"/>
        <v>0</v>
      </c>
      <c r="J570" s="212"/>
      <c r="Q570" s="167"/>
    </row>
    <row r="571" spans="2:17" ht="13" x14ac:dyDescent="0.25">
      <c r="B571" s="1234">
        <v>2018</v>
      </c>
      <c r="C571" s="1235"/>
      <c r="D571" s="1235"/>
      <c r="E571" s="1236"/>
      <c r="F571" s="341"/>
      <c r="G571" s="339">
        <f t="shared" si="95"/>
        <v>0</v>
      </c>
      <c r="H571" s="339">
        <f t="shared" si="96"/>
        <v>0</v>
      </c>
      <c r="I571" s="339">
        <f t="shared" si="97"/>
        <v>0</v>
      </c>
      <c r="J571" s="212"/>
      <c r="Q571" s="167"/>
    </row>
    <row r="572" spans="2:17" ht="13" x14ac:dyDescent="0.25">
      <c r="B572" s="1234">
        <v>2019</v>
      </c>
      <c r="C572" s="1235"/>
      <c r="D572" s="1235"/>
      <c r="E572" s="1236"/>
      <c r="F572" s="341"/>
      <c r="G572" s="339">
        <f t="shared" si="95"/>
        <v>0</v>
      </c>
      <c r="H572" s="339">
        <f t="shared" si="96"/>
        <v>0</v>
      </c>
      <c r="I572" s="339">
        <f t="shared" si="97"/>
        <v>0</v>
      </c>
      <c r="J572" s="212"/>
      <c r="Q572" s="167"/>
    </row>
    <row r="573" spans="2:17" ht="13" x14ac:dyDescent="0.25">
      <c r="B573" s="1234">
        <v>2020</v>
      </c>
      <c r="C573" s="1235"/>
      <c r="D573" s="1235"/>
      <c r="E573" s="1236"/>
      <c r="F573" s="341"/>
      <c r="G573" s="339">
        <f>L178</f>
        <v>0</v>
      </c>
      <c r="H573" s="339">
        <f t="shared" ref="H573" si="98">-G573*0.5</f>
        <v>0</v>
      </c>
      <c r="I573" s="339">
        <f t="shared" si="97"/>
        <v>0</v>
      </c>
      <c r="J573" s="212"/>
      <c r="Q573" s="167"/>
    </row>
    <row r="574" spans="2:17" s="281" customFormat="1" ht="13" x14ac:dyDescent="0.25">
      <c r="B574" s="847"/>
      <c r="C574" s="847"/>
      <c r="D574" s="847"/>
      <c r="E574" s="847"/>
      <c r="F574" s="847"/>
      <c r="G574" s="849">
        <f>SUM(G568:G573)</f>
        <v>0</v>
      </c>
      <c r="H574" s="849">
        <f t="shared" ref="H574" si="99">SUM(H568:H573)</f>
        <v>0</v>
      </c>
      <c r="I574" s="849">
        <f t="shared" ref="I574" si="100">SUM(I568:I573)</f>
        <v>0</v>
      </c>
    </row>
    <row r="575" spans="2:17" x14ac:dyDescent="0.25">
      <c r="B575" s="842"/>
      <c r="C575" s="842"/>
      <c r="D575" s="842"/>
      <c r="E575" s="842"/>
      <c r="F575" s="842"/>
      <c r="G575" s="842"/>
      <c r="H575" s="842"/>
      <c r="I575" s="842"/>
      <c r="Q575" s="167"/>
    </row>
    <row r="576" spans="2:17" ht="13" x14ac:dyDescent="0.25">
      <c r="B576" s="847" t="s">
        <v>172</v>
      </c>
      <c r="C576" s="842"/>
      <c r="D576" s="842"/>
      <c r="E576" s="842"/>
      <c r="F576" s="1004">
        <v>2023</v>
      </c>
      <c r="G576" s="842"/>
      <c r="H576" s="842"/>
      <c r="I576" s="842"/>
      <c r="Q576" s="167"/>
    </row>
    <row r="577" spans="2:17" x14ac:dyDescent="0.25">
      <c r="B577" s="842"/>
      <c r="C577" s="842"/>
      <c r="D577" s="842"/>
      <c r="E577" s="842"/>
      <c r="F577" s="842"/>
      <c r="G577" s="842"/>
      <c r="H577" s="842"/>
      <c r="I577" s="842"/>
      <c r="Q577" s="167"/>
    </row>
    <row r="578" spans="2:17" ht="102" customHeight="1" x14ac:dyDescent="0.25">
      <c r="B578" s="1237" t="s">
        <v>173</v>
      </c>
      <c r="C578" s="1238"/>
      <c r="D578" s="1238"/>
      <c r="E578" s="1239"/>
      <c r="F578" s="848"/>
      <c r="G578" s="837" t="str">
        <f>"Nog af te bouwen regulatoir saldo einde "&amp;F576-1</f>
        <v>Nog af te bouwen regulatoir saldo einde 2022</v>
      </c>
      <c r="H578" s="837" t="str">
        <f>"50% van oorspronkelijk saldo door te rekenen volgens de tariefmethodologie in het boekjaar "&amp;F576</f>
        <v>50% van oorspronkelijk saldo door te rekenen volgens de tariefmethodologie in het boekjaar 2023</v>
      </c>
      <c r="I578" s="837" t="str">
        <f>"Nog af te bouwen regulatoir saldo einde "&amp;F576</f>
        <v>Nog af te bouwen regulatoir saldo einde 2023</v>
      </c>
      <c r="J578" s="212"/>
      <c r="Q578" s="167"/>
    </row>
    <row r="579" spans="2:17" ht="13" x14ac:dyDescent="0.25">
      <c r="B579" s="1234">
        <v>2020</v>
      </c>
      <c r="C579" s="1235"/>
      <c r="D579" s="1235"/>
      <c r="E579" s="1236"/>
      <c r="F579" s="341"/>
      <c r="G579" s="339">
        <f>+I573</f>
        <v>0</v>
      </c>
      <c r="H579" s="339">
        <f>-G573*0.5</f>
        <v>0</v>
      </c>
      <c r="I579" s="339">
        <f t="shared" ref="I579" si="101">+G579+H579</f>
        <v>0</v>
      </c>
      <c r="J579" s="212"/>
      <c r="Q579" s="167"/>
    </row>
    <row r="580" spans="2:17" s="281" customFormat="1" ht="13" x14ac:dyDescent="0.25">
      <c r="B580" s="847"/>
      <c r="C580" s="847"/>
      <c r="D580" s="847"/>
      <c r="E580" s="847"/>
      <c r="F580" s="847"/>
      <c r="G580" s="849">
        <f>SUM(G579:G579)</f>
        <v>0</v>
      </c>
      <c r="H580" s="849">
        <f>SUM(H579:H579)</f>
        <v>0</v>
      </c>
      <c r="I580" s="849">
        <f>SUM(I579:I579)</f>
        <v>0</v>
      </c>
    </row>
    <row r="581" spans="2:17" ht="13" x14ac:dyDescent="0.25">
      <c r="B581" s="281" t="str">
        <f>B524</f>
        <v>Het tarief voor de regeling van de spanning en van het reactief vermogen</v>
      </c>
      <c r="C581" s="224"/>
      <c r="D581" s="224"/>
      <c r="E581" s="224"/>
      <c r="Q581" s="167"/>
    </row>
    <row r="582" spans="2:17" ht="13" x14ac:dyDescent="0.25">
      <c r="B582" s="281" t="s">
        <v>174</v>
      </c>
      <c r="C582" s="224"/>
      <c r="D582" s="224"/>
      <c r="E582" s="224"/>
      <c r="Q582" s="167"/>
    </row>
    <row r="583" spans="2:17" ht="13" x14ac:dyDescent="0.25">
      <c r="C583" s="224"/>
      <c r="D583" s="224"/>
      <c r="E583" s="224"/>
      <c r="Q583" s="167"/>
    </row>
    <row r="584" spans="2:17" ht="13" x14ac:dyDescent="0.25">
      <c r="B584" s="283">
        <v>2021</v>
      </c>
      <c r="C584" s="287">
        <f>+H563</f>
        <v>0</v>
      </c>
      <c r="D584" s="224"/>
      <c r="E584" s="224"/>
      <c r="Q584" s="167"/>
    </row>
    <row r="585" spans="2:17" ht="13" x14ac:dyDescent="0.25">
      <c r="B585" s="341">
        <v>2022</v>
      </c>
      <c r="C585" s="342">
        <f>+H574</f>
        <v>0</v>
      </c>
      <c r="D585" s="224"/>
      <c r="E585" s="224"/>
      <c r="Q585" s="167"/>
    </row>
    <row r="586" spans="2:17" ht="13" x14ac:dyDescent="0.25">
      <c r="B586" s="341">
        <v>2023</v>
      </c>
      <c r="C586" s="342">
        <f>+H580</f>
        <v>0</v>
      </c>
      <c r="D586" s="224"/>
      <c r="E586" s="224"/>
      <c r="Q586" s="167"/>
    </row>
    <row r="587" spans="2:17" ht="13" x14ac:dyDescent="0.25">
      <c r="B587" s="341">
        <v>2024</v>
      </c>
      <c r="C587" s="342">
        <v>0</v>
      </c>
      <c r="D587" s="224"/>
      <c r="E587" s="224"/>
      <c r="Q587" s="167"/>
    </row>
    <row r="588" spans="2:17" x14ac:dyDescent="0.25">
      <c r="Q588" s="167"/>
    </row>
    <row r="589" spans="2:17" x14ac:dyDescent="0.25">
      <c r="Q589" s="167"/>
    </row>
    <row r="590" spans="2:17" ht="13" x14ac:dyDescent="0.25">
      <c r="B590" s="326" t="s">
        <v>118</v>
      </c>
      <c r="C590" s="327"/>
      <c r="D590" s="327"/>
      <c r="E590" s="327"/>
      <c r="F590" s="328"/>
      <c r="G590" s="328"/>
      <c r="H590" s="328"/>
      <c r="I590" s="328"/>
      <c r="J590" s="328"/>
      <c r="K590" s="328"/>
      <c r="L590" s="328"/>
      <c r="M590" s="328"/>
      <c r="Q590" s="167"/>
    </row>
    <row r="591" spans="2:17" x14ac:dyDescent="0.25">
      <c r="Q591" s="167"/>
    </row>
    <row r="592" spans="2:17" ht="13" x14ac:dyDescent="0.25">
      <c r="B592" s="281" t="s">
        <v>172</v>
      </c>
      <c r="F592" s="1000">
        <v>2017</v>
      </c>
      <c r="Q592" s="167"/>
    </row>
    <row r="593" spans="2:17" x14ac:dyDescent="0.25">
      <c r="L593" s="212"/>
      <c r="Q593" s="167"/>
    </row>
    <row r="594" spans="2:17" ht="102" customHeight="1" x14ac:dyDescent="0.25">
      <c r="B594" s="1231" t="s">
        <v>173</v>
      </c>
      <c r="C594" s="1232"/>
      <c r="D594" s="1232"/>
      <c r="E594" s="1233"/>
      <c r="F594" s="282"/>
      <c r="G594" s="166" t="str">
        <f>"Nog af te bouwen regulatoir saldo einde "&amp;F592-1</f>
        <v>Nog af te bouwen regulatoir saldo einde 2016</v>
      </c>
      <c r="H594" s="166" t="str">
        <f>"Afbouw oudste openstaande regulatoir saldo vanaf boekjaar "&amp;F592-3&amp;" en vroeger, door aanwending van compensatie met regulatoir saldo ontstaan over boekjaar "&amp;F592-2</f>
        <v>Afbouw oudste openstaande regulatoir saldo vanaf boekjaar 2014 en vroeger, door aanwending van compensatie met regulatoir saldo ontstaan over boekjaar 2015</v>
      </c>
      <c r="I594" s="166" t="str">
        <f>"Nog af te bouwen regulatoir saldo na compensatie einde "&amp;F592-1</f>
        <v>Nog af te bouwen regulatoir saldo na compensatie einde 2016</v>
      </c>
      <c r="J594" s="166" t="str">
        <f>"Aanwending van 60% van het geaccumuleerd regulatoir saldo door te rekenen volgens de tariefmethodologie in het boekjaar "&amp;F592</f>
        <v>Aanwending van 60% van het geaccumuleerd regulatoir saldo door te rekenen volgens de tariefmethodologie in het boekjaar 2017</v>
      </c>
      <c r="K594" s="166" t="str">
        <f>"Nog af te bouwen regulatoir saldo einde "&amp;F592</f>
        <v>Nog af te bouwen regulatoir saldo einde 2017</v>
      </c>
      <c r="L594" s="212"/>
      <c r="Q594" s="167"/>
    </row>
    <row r="595" spans="2:17" ht="13" x14ac:dyDescent="0.25">
      <c r="B595" s="1228">
        <v>2015</v>
      </c>
      <c r="C595" s="1229"/>
      <c r="D595" s="1229"/>
      <c r="E595" s="1230"/>
      <c r="F595" s="283"/>
      <c r="G595" s="177">
        <f>G184</f>
        <v>0</v>
      </c>
      <c r="H595" s="566">
        <v>0</v>
      </c>
      <c r="I595" s="177">
        <f>+G595+H595</f>
        <v>0</v>
      </c>
      <c r="J595" s="177">
        <f>-I595*0.6</f>
        <v>0</v>
      </c>
      <c r="K595" s="1001">
        <f>+J595+G595</f>
        <v>0</v>
      </c>
      <c r="L595" s="212"/>
      <c r="Q595" s="167"/>
    </row>
    <row r="596" spans="2:17" x14ac:dyDescent="0.25">
      <c r="L596" s="212"/>
      <c r="Q596" s="167"/>
    </row>
    <row r="597" spans="2:17" ht="13" x14ac:dyDescent="0.25">
      <c r="B597" s="281" t="s">
        <v>172</v>
      </c>
      <c r="F597" s="1000">
        <v>2018</v>
      </c>
      <c r="Q597" s="167"/>
    </row>
    <row r="598" spans="2:17" x14ac:dyDescent="0.25">
      <c r="Q598" s="167"/>
    </row>
    <row r="599" spans="2:17" ht="102" customHeight="1" x14ac:dyDescent="0.25">
      <c r="B599" s="1231" t="s">
        <v>173</v>
      </c>
      <c r="C599" s="1232"/>
      <c r="D599" s="1232"/>
      <c r="E599" s="1233"/>
      <c r="F599" s="282"/>
      <c r="G599" s="166" t="str">
        <f>"Nog af te bouwen regulatoir saldo einde "&amp;F597-1</f>
        <v>Nog af te bouwen regulatoir saldo einde 2017</v>
      </c>
      <c r="H599" s="166" t="str">
        <f>"Afbouw oudste openstaande regulatoir saldo vanaf boekjaar "&amp;F597-3&amp;" en vroeger, door aanwending van compensatie met regulatoir saldo ontstaan over boekjaar "&amp;F597-2</f>
        <v>Afbouw oudste openstaande regulatoir saldo vanaf boekjaar 2015 en vroeger, door aanwending van compensatie met regulatoir saldo ontstaan over boekjaar 2016</v>
      </c>
      <c r="I599" s="166" t="str">
        <f>"Nog af te bouwen regulatoir saldo na compensatie einde "&amp;F597-1</f>
        <v>Nog af te bouwen regulatoir saldo na compensatie einde 2017</v>
      </c>
      <c r="J599" s="166" t="str">
        <f>"60% van het geaccumuleerd regulatoir saldo door te rekenen volgens de tariefmethodologie in het boekjaar "&amp;F597</f>
        <v>60% van het geaccumuleerd regulatoir saldo door te rekenen volgens de tariefmethodologie in het boekjaar 2018</v>
      </c>
      <c r="K599" s="166" t="str">
        <f>"Aanwending van 60% van het geaccumuleerd regulatoir saldo door te rekenen volgens de tariefmethodologie in het boekjaar "&amp;F597</f>
        <v>Aanwending van 60% van het geaccumuleerd regulatoir saldo door te rekenen volgens de tariefmethodologie in het boekjaar 2018</v>
      </c>
      <c r="L599" s="166" t="str">
        <f>"Totale afbouw over "&amp;F597</f>
        <v>Totale afbouw over 2018</v>
      </c>
      <c r="M599" s="166" t="str">
        <f>"Nog af te bouwen regulatoir saldo einde "&amp;F597</f>
        <v>Nog af te bouwen regulatoir saldo einde 2018</v>
      </c>
      <c r="N599" s="212"/>
      <c r="Q599" s="167"/>
    </row>
    <row r="600" spans="2:17" ht="13" x14ac:dyDescent="0.25">
      <c r="B600" s="1228">
        <v>2015</v>
      </c>
      <c r="C600" s="1229"/>
      <c r="D600" s="1229"/>
      <c r="E600" s="1230"/>
      <c r="F600" s="283"/>
      <c r="G600" s="177">
        <f>K595</f>
        <v>0</v>
      </c>
      <c r="H600" s="566">
        <f>IF(SIGN(G601*K595)&lt;0,IF(G600&lt;&gt;0,-SIGN(G600)*MIN(ABS(G601),ABS(G600)),0),0)</f>
        <v>0</v>
      </c>
      <c r="I600" s="177">
        <f>+G600+H600</f>
        <v>0</v>
      </c>
      <c r="J600" s="995"/>
      <c r="K600" s="566">
        <f>-MIN(ABS(I600),ABS(J602))*SIGN(I600)</f>
        <v>0</v>
      </c>
      <c r="L600" s="1003">
        <f>+K600+H600</f>
        <v>0</v>
      </c>
      <c r="M600" s="177">
        <f>+I600+K600</f>
        <v>0</v>
      </c>
      <c r="N600" s="212"/>
      <c r="Q600" s="167"/>
    </row>
    <row r="601" spans="2:17" ht="13" x14ac:dyDescent="0.25">
      <c r="B601" s="1228">
        <v>2016</v>
      </c>
      <c r="C601" s="1229"/>
      <c r="D601" s="1229"/>
      <c r="E601" s="1230"/>
      <c r="F601" s="283"/>
      <c r="G601" s="177">
        <f>H185</f>
        <v>0</v>
      </c>
      <c r="H601" s="1003">
        <f>IF(SIGN(G601*K595)&lt;0,-H600,0)</f>
        <v>0</v>
      </c>
      <c r="I601" s="177">
        <f>+G601+H601</f>
        <v>0</v>
      </c>
      <c r="J601" s="995"/>
      <c r="K601" s="566">
        <f>-MIN(ABS(I601),ABS(J602-K600))*SIGN(I601)</f>
        <v>0</v>
      </c>
      <c r="L601" s="1003">
        <f>+K601+H601</f>
        <v>0</v>
      </c>
      <c r="M601" s="177">
        <f>+I601+K601</f>
        <v>0</v>
      </c>
      <c r="N601" s="212"/>
      <c r="Q601" s="167"/>
    </row>
    <row r="602" spans="2:17" s="281" customFormat="1" ht="13" x14ac:dyDescent="0.25">
      <c r="G602" s="284">
        <f>SUM(G600:G601)</f>
        <v>0</v>
      </c>
      <c r="H602" s="169">
        <f>SUM(H600:H601)</f>
        <v>0</v>
      </c>
      <c r="I602" s="284">
        <f>SUM(I600:I601)</f>
        <v>0</v>
      </c>
      <c r="J602" s="284">
        <f>-I602*0.6</f>
        <v>0</v>
      </c>
      <c r="K602" s="169">
        <f>SUM(K600:K601)</f>
        <v>0</v>
      </c>
      <c r="L602" s="570"/>
      <c r="M602" s="284">
        <f>SUM(M600:M601)</f>
        <v>0</v>
      </c>
    </row>
    <row r="603" spans="2:17" x14ac:dyDescent="0.25">
      <c r="Q603" s="167"/>
    </row>
    <row r="604" spans="2:17" ht="13" x14ac:dyDescent="0.25">
      <c r="B604" s="281" t="s">
        <v>172</v>
      </c>
      <c r="F604" s="1000">
        <v>2019</v>
      </c>
      <c r="Q604" s="167"/>
    </row>
    <row r="605" spans="2:17" x14ac:dyDescent="0.25">
      <c r="Q605" s="167"/>
    </row>
    <row r="606" spans="2:17" ht="102" customHeight="1" x14ac:dyDescent="0.25">
      <c r="B606" s="1231" t="s">
        <v>173</v>
      </c>
      <c r="C606" s="1232"/>
      <c r="D606" s="1232"/>
      <c r="E606" s="1233"/>
      <c r="F606" s="282"/>
      <c r="G606" s="166" t="str">
        <f>"Nog af te bouwen regulatoir saldo einde "&amp;F604-1</f>
        <v>Nog af te bouwen regulatoir saldo einde 2018</v>
      </c>
      <c r="H606" s="166" t="str">
        <f>"Afbouw oudste openstaande regulatoir saldo vanaf boekjaar "&amp;F604-3&amp;" en vroeger, door aanwending van compensatie met regulatoir saldo ontstaan over boekjaar "&amp;F604-2</f>
        <v>Afbouw oudste openstaande regulatoir saldo vanaf boekjaar 2016 en vroeger, door aanwending van compensatie met regulatoir saldo ontstaan over boekjaar 2017</v>
      </c>
      <c r="I606" s="166" t="str">
        <f>"Nog af te bouwen regulatoir saldo na compensatie einde "&amp;F604-1</f>
        <v>Nog af te bouwen regulatoir saldo na compensatie einde 2018</v>
      </c>
      <c r="J606" s="166" t="str">
        <f>"60% van het geaccumuleerd regulatoir saldo door te rekenen volgens de tariefmethodologie in het boekjaar "&amp;F604</f>
        <v>60% van het geaccumuleerd regulatoir saldo door te rekenen volgens de tariefmethodologie in het boekjaar 2019</v>
      </c>
      <c r="K606" s="166" t="str">
        <f>"Aanwending van het 60% van het geaccumuleerd regulatoir saldo door te rekenen volgens de tariefmethodologie in het boekjaar "&amp;F604</f>
        <v>Aanwending van het 60% van het geaccumuleerd regulatoir saldo door te rekenen volgens de tariefmethodologie in het boekjaar 2019</v>
      </c>
      <c r="L606" s="166" t="str">
        <f>"Totale afbouw over "&amp;F604</f>
        <v>Totale afbouw over 2019</v>
      </c>
      <c r="M606" s="166" t="str">
        <f>"Nog af te bouwen regulatoir saldo einde "&amp;F604</f>
        <v>Nog af te bouwen regulatoir saldo einde 2019</v>
      </c>
      <c r="N606" s="212"/>
      <c r="Q606" s="167"/>
    </row>
    <row r="607" spans="2:17" ht="13" x14ac:dyDescent="0.25">
      <c r="B607" s="1228">
        <v>2015</v>
      </c>
      <c r="C607" s="1229"/>
      <c r="D607" s="1229"/>
      <c r="E607" s="1230"/>
      <c r="F607" s="283"/>
      <c r="G607" s="177">
        <f>+M600</f>
        <v>0</v>
      </c>
      <c r="H607" s="1003">
        <f>IF(SIGN(G609*M602)&lt;0,IF(G607&lt;&gt;0,-SIGN(G607)*MIN(ABS(G609),ABS(G607)),0),0)</f>
        <v>0</v>
      </c>
      <c r="I607" s="177">
        <f>+G607+H607</f>
        <v>0</v>
      </c>
      <c r="J607" s="995"/>
      <c r="K607" s="566">
        <f>-MIN(ABS(I607),ABS(J610))*SIGN(I607)</f>
        <v>0</v>
      </c>
      <c r="L607" s="1003">
        <f>+K607+H607</f>
        <v>0</v>
      </c>
      <c r="M607" s="177">
        <f>+I607+K607</f>
        <v>0</v>
      </c>
      <c r="N607" s="212"/>
      <c r="Q607" s="167"/>
    </row>
    <row r="608" spans="2:17" ht="13" x14ac:dyDescent="0.25">
      <c r="B608" s="1228">
        <v>2016</v>
      </c>
      <c r="C608" s="1229"/>
      <c r="D608" s="1229">
        <v>2016</v>
      </c>
      <c r="E608" s="1230"/>
      <c r="F608" s="283"/>
      <c r="G608" s="177">
        <f>+M601</f>
        <v>0</v>
      </c>
      <c r="H608" s="1003">
        <f>IF(SIGN(G609*M602)&lt;0,IF(G608&lt;&gt;0,-SIGN(G608)*MIN(ABS(G609-H607),ABS(G608)),0),0)</f>
        <v>0</v>
      </c>
      <c r="I608" s="177">
        <f>+G608+H608</f>
        <v>0</v>
      </c>
      <c r="J608" s="995"/>
      <c r="K608" s="566">
        <f>-MIN(ABS(I608),ABS(J610-K607))*SIGN(I608)</f>
        <v>0</v>
      </c>
      <c r="L608" s="1003">
        <f>+K608+H608</f>
        <v>0</v>
      </c>
      <c r="M608" s="177">
        <f>+I608+K608</f>
        <v>0</v>
      </c>
      <c r="N608" s="212"/>
      <c r="Q608" s="167"/>
    </row>
    <row r="609" spans="2:17" ht="13" x14ac:dyDescent="0.25">
      <c r="B609" s="1228">
        <v>2017</v>
      </c>
      <c r="C609" s="1229"/>
      <c r="D609" s="1229"/>
      <c r="E609" s="1230"/>
      <c r="F609" s="283"/>
      <c r="G609" s="177">
        <f>I186</f>
        <v>0</v>
      </c>
      <c r="H609" s="1003">
        <f>IF(SIGN(G609*M602)&lt;0,-SUM(H607:H608),0)</f>
        <v>0</v>
      </c>
      <c r="I609" s="177">
        <f>+G609+H609</f>
        <v>0</v>
      </c>
      <c r="J609" s="995"/>
      <c r="K609" s="566">
        <f>-MIN(ABS(I609),ABS(J610-K607-K608))*SIGN(I609)</f>
        <v>0</v>
      </c>
      <c r="L609" s="1003">
        <f>+K609+H609</f>
        <v>0</v>
      </c>
      <c r="M609" s="177">
        <f>+I609+K609</f>
        <v>0</v>
      </c>
      <c r="N609" s="212"/>
      <c r="Q609" s="167"/>
    </row>
    <row r="610" spans="2:17" s="281" customFormat="1" ht="13" x14ac:dyDescent="0.25">
      <c r="G610" s="284">
        <f>SUM(G607:G609)</f>
        <v>0</v>
      </c>
      <c r="H610" s="169">
        <f>SUM(H607:H609)</f>
        <v>0</v>
      </c>
      <c r="I610" s="284">
        <f>SUM(I607:I609)</f>
        <v>0</v>
      </c>
      <c r="J610" s="284">
        <f>-I610*0.6</f>
        <v>0</v>
      </c>
      <c r="K610" s="169">
        <f>SUM(K607:K609)</f>
        <v>0</v>
      </c>
      <c r="L610" s="570"/>
      <c r="M610" s="284">
        <f>SUM(M607:M609)</f>
        <v>0</v>
      </c>
    </row>
    <row r="611" spans="2:17" x14ac:dyDescent="0.25">
      <c r="Q611" s="167"/>
    </row>
    <row r="612" spans="2:17" ht="13" x14ac:dyDescent="0.25">
      <c r="B612" s="281" t="s">
        <v>172</v>
      </c>
      <c r="F612" s="1000">
        <v>2020</v>
      </c>
      <c r="Q612" s="167"/>
    </row>
    <row r="613" spans="2:17" x14ac:dyDescent="0.25">
      <c r="Q613" s="167"/>
    </row>
    <row r="614" spans="2:17" ht="102" customHeight="1" x14ac:dyDescent="0.25">
      <c r="B614" s="1231" t="s">
        <v>173</v>
      </c>
      <c r="C614" s="1232"/>
      <c r="D614" s="1232"/>
      <c r="E614" s="1233"/>
      <c r="F614" s="282"/>
      <c r="G614" s="166" t="str">
        <f>"Nog af te bouwen regulatoir saldo einde "&amp;F612-1</f>
        <v>Nog af te bouwen regulatoir saldo einde 2019</v>
      </c>
      <c r="H614" s="166" t="str">
        <f>"Afbouw oudste openstaande regulatoir saldo vanaf boekjaar "&amp;F612-3&amp;" en vroeger, door aanwending van compensatie met regulatoir saldo ontstaan over boekjaar "&amp;F612-2</f>
        <v>Afbouw oudste openstaande regulatoir saldo vanaf boekjaar 2017 en vroeger, door aanwending van compensatie met regulatoir saldo ontstaan over boekjaar 2018</v>
      </c>
      <c r="I614" s="166" t="str">
        <f>"Nog af te bouwen regulatoir saldo na compensatie einde "&amp;F612-1</f>
        <v>Nog af te bouwen regulatoir saldo na compensatie einde 2019</v>
      </c>
      <c r="J614" s="166" t="str">
        <f>"60% van het geaccumuleerd regulatoir saldo door te rekenen volgens de tariefmethodologie in het boekjaar "&amp;F612</f>
        <v>60% van het geaccumuleerd regulatoir saldo door te rekenen volgens de tariefmethodologie in het boekjaar 2020</v>
      </c>
      <c r="K614" s="166" t="str">
        <f>"Aanwending van het 60% van het geaccumuleerd regulatoir saldo door te rekenen volgens de tariefmethodologie in het boekjaar "&amp;F612</f>
        <v>Aanwending van het 60% van het geaccumuleerd regulatoir saldo door te rekenen volgens de tariefmethodologie in het boekjaar 2020</v>
      </c>
      <c r="L614" s="166" t="str">
        <f>"Totale afbouw over "&amp;F612</f>
        <v>Totale afbouw over 2020</v>
      </c>
      <c r="M614" s="166" t="str">
        <f>"Nog af te bouwen regulatoir saldo einde "&amp;F612</f>
        <v>Nog af te bouwen regulatoir saldo einde 2020</v>
      </c>
      <c r="N614" s="212"/>
      <c r="Q614" s="167"/>
    </row>
    <row r="615" spans="2:17" ht="13" x14ac:dyDescent="0.25">
      <c r="B615" s="1228">
        <v>2015</v>
      </c>
      <c r="C615" s="1229"/>
      <c r="D615" s="1229"/>
      <c r="E615" s="1230"/>
      <c r="F615" s="283"/>
      <c r="G615" s="177">
        <f>+M607</f>
        <v>0</v>
      </c>
      <c r="H615" s="1003">
        <f>IF(SIGN(G618*M610)&lt;0,IF(G615&lt;&gt;0,-SIGN(G615)*MIN(ABS(G618),ABS(G615)),0),0)</f>
        <v>0</v>
      </c>
      <c r="I615" s="177">
        <f>+G615+H615</f>
        <v>0</v>
      </c>
      <c r="J615" s="995"/>
      <c r="K615" s="566">
        <f>-MIN(ABS(I615),ABS(J619))*SIGN(I615)</f>
        <v>0</v>
      </c>
      <c r="L615" s="1003">
        <f>+K615+H615</f>
        <v>0</v>
      </c>
      <c r="M615" s="177">
        <f>+I615+K615</f>
        <v>0</v>
      </c>
      <c r="N615" s="212"/>
      <c r="Q615" s="167"/>
    </row>
    <row r="616" spans="2:17" ht="13" x14ac:dyDescent="0.25">
      <c r="B616" s="1228">
        <v>2016</v>
      </c>
      <c r="C616" s="1229"/>
      <c r="D616" s="1229"/>
      <c r="E616" s="1230"/>
      <c r="F616" s="283"/>
      <c r="G616" s="177">
        <f>+M608</f>
        <v>0</v>
      </c>
      <c r="H616" s="1003">
        <f>IF(SIGN(G618*M610)&lt;0,IF(G616&lt;&gt;0,-SIGN(G616)*MIN(ABS(G618-H615),ABS(G616)),0),0)</f>
        <v>0</v>
      </c>
      <c r="I616" s="177">
        <f>+G616+H616</f>
        <v>0</v>
      </c>
      <c r="J616" s="995"/>
      <c r="K616" s="566">
        <f>-MIN(ABS(I616),ABS(J619-K615))*SIGN(I616)</f>
        <v>0</v>
      </c>
      <c r="L616" s="1003">
        <f>+K616+H616</f>
        <v>0</v>
      </c>
      <c r="M616" s="177">
        <f>+I616+K616</f>
        <v>0</v>
      </c>
      <c r="N616" s="212"/>
      <c r="Q616" s="167"/>
    </row>
    <row r="617" spans="2:17" ht="13" x14ac:dyDescent="0.25">
      <c r="B617" s="1228">
        <v>2017</v>
      </c>
      <c r="C617" s="1229"/>
      <c r="D617" s="1229">
        <v>2016</v>
      </c>
      <c r="E617" s="1230"/>
      <c r="F617" s="283"/>
      <c r="G617" s="177">
        <f>+M609</f>
        <v>0</v>
      </c>
      <c r="H617" s="1003">
        <f>IF(SIGN(G618*M610)&lt;0,IF(G617&lt;&gt;0,-SIGN(G617)*MIN(ABS(G618-H615-H616),ABS(G617)),0),0)</f>
        <v>0</v>
      </c>
      <c r="I617" s="177">
        <f>+G617+H617</f>
        <v>0</v>
      </c>
      <c r="J617" s="995"/>
      <c r="K617" s="566">
        <f>-MIN(ABS(I617),ABS(J619-K615-K616))*SIGN(I617)</f>
        <v>0</v>
      </c>
      <c r="L617" s="1003">
        <f>+K617+H617</f>
        <v>0</v>
      </c>
      <c r="M617" s="177">
        <f>+I617+K617</f>
        <v>0</v>
      </c>
      <c r="N617" s="212"/>
      <c r="Q617" s="167"/>
    </row>
    <row r="618" spans="2:17" ht="13" x14ac:dyDescent="0.25">
      <c r="B618" s="1228">
        <v>2018</v>
      </c>
      <c r="C618" s="1229"/>
      <c r="D618" s="1229"/>
      <c r="E618" s="1230"/>
      <c r="F618" s="283"/>
      <c r="G618" s="177">
        <f>J187</f>
        <v>0</v>
      </c>
      <c r="H618" s="1003">
        <f>IF(SIGN(G618*M610)&lt;0,-SUM(H615:H617),0)</f>
        <v>0</v>
      </c>
      <c r="I618" s="177">
        <f>+G618+H618</f>
        <v>0</v>
      </c>
      <c r="J618" s="995"/>
      <c r="K618" s="566">
        <f>-MIN(ABS(I618),ABS(J619-K615-K616-K617))*SIGN(I618)</f>
        <v>0</v>
      </c>
      <c r="L618" s="1003">
        <f>+K618+H618</f>
        <v>0</v>
      </c>
      <c r="M618" s="177">
        <f>+I618+K618</f>
        <v>0</v>
      </c>
      <c r="N618" s="212"/>
      <c r="Q618" s="167"/>
    </row>
    <row r="619" spans="2:17" s="281" customFormat="1" ht="13" x14ac:dyDescent="0.25">
      <c r="G619" s="284">
        <f>SUM(G615:G618)</f>
        <v>0</v>
      </c>
      <c r="H619" s="169">
        <f>SUM(H615:H618)</f>
        <v>0</v>
      </c>
      <c r="I619" s="284">
        <f>SUM(I615:I618)</f>
        <v>0</v>
      </c>
      <c r="J619" s="284">
        <f>-I619*0.6</f>
        <v>0</v>
      </c>
      <c r="K619" s="169">
        <f>SUM(K615:K618)</f>
        <v>0</v>
      </c>
      <c r="L619" s="169"/>
      <c r="M619" s="284">
        <f>SUM(M615:M618)</f>
        <v>0</v>
      </c>
    </row>
    <row r="620" spans="2:17" x14ac:dyDescent="0.25">
      <c r="Q620" s="167"/>
    </row>
    <row r="621" spans="2:17" ht="13" x14ac:dyDescent="0.25">
      <c r="B621" s="281" t="s">
        <v>172</v>
      </c>
      <c r="F621" s="1000">
        <v>2021</v>
      </c>
      <c r="Q621" s="167"/>
    </row>
    <row r="622" spans="2:17" x14ac:dyDescent="0.25">
      <c r="Q622" s="167"/>
    </row>
    <row r="623" spans="2:17" ht="102" customHeight="1" x14ac:dyDescent="0.25">
      <c r="B623" s="1231" t="s">
        <v>173</v>
      </c>
      <c r="C623" s="1232"/>
      <c r="D623" s="1232"/>
      <c r="E623" s="1233"/>
      <c r="F623" s="282"/>
      <c r="G623" s="166" t="str">
        <f>"Nog af te bouwen regulatoir saldo einde "&amp;F621-1</f>
        <v>Nog af te bouwen regulatoir saldo einde 2020</v>
      </c>
      <c r="H623" s="166" t="str">
        <f>"50% van oorspronkelijk saldo door te rekenen volgens de tariefmethodologie in het boekjaar "&amp;F621</f>
        <v>50% van oorspronkelijk saldo door te rekenen volgens de tariefmethodologie in het boekjaar 2021</v>
      </c>
      <c r="I623" s="166" t="str">
        <f>"Nog af te bouwen regulatoir saldo einde "&amp;F621</f>
        <v>Nog af te bouwen regulatoir saldo einde 2021</v>
      </c>
      <c r="J623" s="212"/>
      <c r="Q623" s="167"/>
    </row>
    <row r="624" spans="2:17" ht="13" x14ac:dyDescent="0.25">
      <c r="B624" s="1228">
        <v>2015</v>
      </c>
      <c r="C624" s="1229"/>
      <c r="D624" s="1229"/>
      <c r="E624" s="1230"/>
      <c r="F624" s="283"/>
      <c r="G624" s="177">
        <f>M615</f>
        <v>0</v>
      </c>
      <c r="H624" s="177">
        <f>-G624*0.5</f>
        <v>0</v>
      </c>
      <c r="I624" s="177">
        <f>+G624+H624</f>
        <v>0</v>
      </c>
      <c r="J624" s="212"/>
      <c r="Q624" s="167"/>
    </row>
    <row r="625" spans="2:17" ht="13" x14ac:dyDescent="0.25">
      <c r="B625" s="1228">
        <v>2016</v>
      </c>
      <c r="C625" s="1229"/>
      <c r="D625" s="1229"/>
      <c r="E625" s="1230"/>
      <c r="F625" s="283"/>
      <c r="G625" s="177">
        <f t="shared" ref="G625:G627" si="102">M616</f>
        <v>0</v>
      </c>
      <c r="H625" s="177">
        <f t="shared" ref="H625:H628" si="103">-G625*0.5</f>
        <v>0</v>
      </c>
      <c r="I625" s="177">
        <f t="shared" ref="I625:I628" si="104">+G625+H625</f>
        <v>0</v>
      </c>
      <c r="J625" s="212"/>
      <c r="Q625" s="167"/>
    </row>
    <row r="626" spans="2:17" ht="13" x14ac:dyDescent="0.25">
      <c r="B626" s="1228">
        <v>2017</v>
      </c>
      <c r="C626" s="1229"/>
      <c r="D626" s="1229">
        <v>2016</v>
      </c>
      <c r="E626" s="1230"/>
      <c r="F626" s="283"/>
      <c r="G626" s="177">
        <f t="shared" si="102"/>
        <v>0</v>
      </c>
      <c r="H626" s="177">
        <f t="shared" si="103"/>
        <v>0</v>
      </c>
      <c r="I626" s="177">
        <f t="shared" si="104"/>
        <v>0</v>
      </c>
      <c r="J626" s="212"/>
      <c r="Q626" s="167"/>
    </row>
    <row r="627" spans="2:17" ht="13" x14ac:dyDescent="0.25">
      <c r="B627" s="1228">
        <v>2018</v>
      </c>
      <c r="C627" s="1229"/>
      <c r="D627" s="1229"/>
      <c r="E627" s="1230"/>
      <c r="F627" s="283"/>
      <c r="G627" s="177">
        <f t="shared" si="102"/>
        <v>0</v>
      </c>
      <c r="H627" s="177">
        <f t="shared" si="103"/>
        <v>0</v>
      </c>
      <c r="I627" s="177">
        <f t="shared" si="104"/>
        <v>0</v>
      </c>
      <c r="J627" s="212"/>
      <c r="Q627" s="167"/>
    </row>
    <row r="628" spans="2:17" ht="13" x14ac:dyDescent="0.25">
      <c r="B628" s="1228">
        <v>2019</v>
      </c>
      <c r="C628" s="1229"/>
      <c r="D628" s="1229"/>
      <c r="E628" s="1230"/>
      <c r="F628" s="283"/>
      <c r="G628" s="177">
        <f>K188</f>
        <v>0</v>
      </c>
      <c r="H628" s="177">
        <f t="shared" si="103"/>
        <v>0</v>
      </c>
      <c r="I628" s="177">
        <f t="shared" si="104"/>
        <v>0</v>
      </c>
      <c r="J628" s="212"/>
      <c r="Q628" s="167"/>
    </row>
    <row r="629" spans="2:17" s="281" customFormat="1" ht="13" x14ac:dyDescent="0.25">
      <c r="G629" s="284">
        <f>SUM(G624:G628)</f>
        <v>0</v>
      </c>
      <c r="H629" s="284">
        <f>SUM(H624:H628)</f>
        <v>0</v>
      </c>
      <c r="I629" s="284">
        <f>SUM(I624:I628)</f>
        <v>0</v>
      </c>
    </row>
    <row r="630" spans="2:17" x14ac:dyDescent="0.25">
      <c r="Q630" s="167"/>
    </row>
    <row r="631" spans="2:17" ht="13" x14ac:dyDescent="0.25">
      <c r="B631" s="847" t="s">
        <v>172</v>
      </c>
      <c r="C631" s="842"/>
      <c r="D631" s="842"/>
      <c r="E631" s="842"/>
      <c r="F631" s="1004">
        <v>2022</v>
      </c>
      <c r="G631" s="842"/>
      <c r="H631" s="842"/>
      <c r="I631" s="842"/>
      <c r="Q631" s="167"/>
    </row>
    <row r="632" spans="2:17" x14ac:dyDescent="0.25">
      <c r="B632" s="842"/>
      <c r="C632" s="842"/>
      <c r="D632" s="842"/>
      <c r="E632" s="842"/>
      <c r="F632" s="842"/>
      <c r="G632" s="842"/>
      <c r="H632" s="842"/>
      <c r="I632" s="842"/>
      <c r="Q632" s="167"/>
    </row>
    <row r="633" spans="2:17" ht="102" customHeight="1" x14ac:dyDescent="0.25">
      <c r="B633" s="1237" t="s">
        <v>173</v>
      </c>
      <c r="C633" s="1238"/>
      <c r="D633" s="1238"/>
      <c r="E633" s="1239"/>
      <c r="F633" s="848"/>
      <c r="G633" s="837" t="str">
        <f>"Nog af te bouwen regulatoir saldo einde "&amp;F631-1</f>
        <v>Nog af te bouwen regulatoir saldo einde 2021</v>
      </c>
      <c r="H633" s="837" t="str">
        <f>"50% van oorspronkelijk saldo door te rekenen volgens de tariefmethodologie in het boekjaar "&amp;F631</f>
        <v>50% van oorspronkelijk saldo door te rekenen volgens de tariefmethodologie in het boekjaar 2022</v>
      </c>
      <c r="I633" s="837" t="str">
        <f>"Nog af te bouwen regulatoir saldo einde "&amp;F631</f>
        <v>Nog af te bouwen regulatoir saldo einde 2022</v>
      </c>
      <c r="J633" s="212"/>
      <c r="Q633" s="167"/>
    </row>
    <row r="634" spans="2:17" ht="13" x14ac:dyDescent="0.25">
      <c r="B634" s="1234">
        <v>2015</v>
      </c>
      <c r="C634" s="1235"/>
      <c r="D634" s="1235"/>
      <c r="E634" s="1236"/>
      <c r="F634" s="341"/>
      <c r="G634" s="339">
        <f>+I624</f>
        <v>0</v>
      </c>
      <c r="H634" s="339">
        <f>-G624*0.5</f>
        <v>0</v>
      </c>
      <c r="I634" s="339">
        <f>+G634+H634</f>
        <v>0</v>
      </c>
      <c r="J634" s="212"/>
      <c r="Q634" s="167"/>
    </row>
    <row r="635" spans="2:17" ht="13" x14ac:dyDescent="0.25">
      <c r="B635" s="1234">
        <v>2016</v>
      </c>
      <c r="C635" s="1235"/>
      <c r="D635" s="1235"/>
      <c r="E635" s="1236"/>
      <c r="F635" s="341"/>
      <c r="G635" s="339">
        <f t="shared" ref="G635:G638" si="105">+I625</f>
        <v>0</v>
      </c>
      <c r="H635" s="339">
        <f t="shared" ref="H635:H638" si="106">-G625*0.5</f>
        <v>0</v>
      </c>
      <c r="I635" s="339">
        <f t="shared" ref="I635:I639" si="107">+G635+H635</f>
        <v>0</v>
      </c>
      <c r="J635" s="212"/>
      <c r="Q635" s="167"/>
    </row>
    <row r="636" spans="2:17" ht="13" x14ac:dyDescent="0.25">
      <c r="B636" s="1234">
        <v>2017</v>
      </c>
      <c r="C636" s="1235"/>
      <c r="D636" s="1235">
        <v>2016</v>
      </c>
      <c r="E636" s="1236"/>
      <c r="F636" s="341"/>
      <c r="G636" s="339">
        <f t="shared" si="105"/>
        <v>0</v>
      </c>
      <c r="H636" s="339">
        <f t="shared" si="106"/>
        <v>0</v>
      </c>
      <c r="I636" s="339">
        <f t="shared" si="107"/>
        <v>0</v>
      </c>
      <c r="J636" s="212"/>
      <c r="Q636" s="167"/>
    </row>
    <row r="637" spans="2:17" ht="13" x14ac:dyDescent="0.25">
      <c r="B637" s="1234">
        <v>2018</v>
      </c>
      <c r="C637" s="1235"/>
      <c r="D637" s="1235"/>
      <c r="E637" s="1236"/>
      <c r="F637" s="341"/>
      <c r="G637" s="339">
        <f t="shared" si="105"/>
        <v>0</v>
      </c>
      <c r="H637" s="339">
        <f t="shared" si="106"/>
        <v>0</v>
      </c>
      <c r="I637" s="339">
        <f t="shared" si="107"/>
        <v>0</v>
      </c>
      <c r="J637" s="212"/>
      <c r="Q637" s="167"/>
    </row>
    <row r="638" spans="2:17" ht="13" x14ac:dyDescent="0.25">
      <c r="B638" s="1234">
        <v>2019</v>
      </c>
      <c r="C638" s="1235"/>
      <c r="D638" s="1235"/>
      <c r="E638" s="1236"/>
      <c r="F638" s="341"/>
      <c r="G638" s="339">
        <f t="shared" si="105"/>
        <v>0</v>
      </c>
      <c r="H638" s="339">
        <f t="shared" si="106"/>
        <v>0</v>
      </c>
      <c r="I638" s="339">
        <f t="shared" si="107"/>
        <v>0</v>
      </c>
      <c r="J638" s="212"/>
      <c r="Q638" s="167"/>
    </row>
    <row r="639" spans="2:17" ht="13" x14ac:dyDescent="0.25">
      <c r="B639" s="1234">
        <v>2020</v>
      </c>
      <c r="C639" s="1235"/>
      <c r="D639" s="1235"/>
      <c r="E639" s="1236"/>
      <c r="F639" s="341"/>
      <c r="G639" s="339">
        <f>L189</f>
        <v>0</v>
      </c>
      <c r="H639" s="339">
        <f t="shared" ref="H639" si="108">-G639*0.5</f>
        <v>0</v>
      </c>
      <c r="I639" s="339">
        <f t="shared" si="107"/>
        <v>0</v>
      </c>
      <c r="J639" s="212"/>
      <c r="Q639" s="167"/>
    </row>
    <row r="640" spans="2:17" s="281" customFormat="1" ht="13" x14ac:dyDescent="0.25">
      <c r="B640" s="847"/>
      <c r="C640" s="847"/>
      <c r="D640" s="847"/>
      <c r="E640" s="847"/>
      <c r="F640" s="847"/>
      <c r="G640" s="849">
        <f>SUM(G634:G639)</f>
        <v>0</v>
      </c>
      <c r="H640" s="849">
        <f t="shared" ref="H640" si="109">SUM(H634:H639)</f>
        <v>0</v>
      </c>
      <c r="I640" s="849">
        <f t="shared" ref="I640" si="110">SUM(I634:I639)</f>
        <v>0</v>
      </c>
    </row>
    <row r="641" spans="2:17" x14ac:dyDescent="0.25">
      <c r="B641" s="842"/>
      <c r="C641" s="842"/>
      <c r="D641" s="842"/>
      <c r="E641" s="842"/>
      <c r="F641" s="842"/>
      <c r="G641" s="842"/>
      <c r="H641" s="842"/>
      <c r="I641" s="842"/>
      <c r="Q641" s="167"/>
    </row>
    <row r="642" spans="2:17" ht="13" x14ac:dyDescent="0.25">
      <c r="B642" s="847" t="s">
        <v>241</v>
      </c>
      <c r="C642" s="842"/>
      <c r="D642" s="842"/>
      <c r="E642" s="842"/>
      <c r="F642" s="1004">
        <v>2023</v>
      </c>
      <c r="G642" s="842"/>
      <c r="H642" s="842"/>
      <c r="I642" s="842"/>
      <c r="Q642" s="167"/>
    </row>
    <row r="643" spans="2:17" x14ac:dyDescent="0.25">
      <c r="B643" s="842"/>
      <c r="C643" s="842"/>
      <c r="D643" s="842"/>
      <c r="E643" s="842"/>
      <c r="F643" s="842"/>
      <c r="G643" s="842"/>
      <c r="H643" s="842"/>
      <c r="I643" s="842"/>
      <c r="Q643" s="167"/>
    </row>
    <row r="644" spans="2:17" ht="102" customHeight="1" x14ac:dyDescent="0.25">
      <c r="B644" s="1237" t="s">
        <v>173</v>
      </c>
      <c r="C644" s="1238"/>
      <c r="D644" s="1238"/>
      <c r="E644" s="1239"/>
      <c r="F644" s="848"/>
      <c r="G644" s="837" t="str">
        <f>"Nog af te bouwen regulatoir saldo einde "&amp;F642-1</f>
        <v>Nog af te bouwen regulatoir saldo einde 2022</v>
      </c>
      <c r="H644" s="837" t="str">
        <f>"50% van oorspronkelijk saldo door te rekenen volgens de tariefmethodologie in het boekjaar "&amp;F642</f>
        <v>50% van oorspronkelijk saldo door te rekenen volgens de tariefmethodologie in het boekjaar 2023</v>
      </c>
      <c r="I644" s="837" t="str">
        <f>"Nog af te bouwen regulatoir saldo einde "&amp;F642</f>
        <v>Nog af te bouwen regulatoir saldo einde 2023</v>
      </c>
      <c r="J644" s="212"/>
      <c r="Q644" s="167"/>
    </row>
    <row r="645" spans="2:17" ht="13" x14ac:dyDescent="0.25">
      <c r="B645" s="1234">
        <v>2020</v>
      </c>
      <c r="C645" s="1235"/>
      <c r="D645" s="1235"/>
      <c r="E645" s="1236"/>
      <c r="F645" s="341"/>
      <c r="G645" s="339">
        <f>+I639</f>
        <v>0</v>
      </c>
      <c r="H645" s="339">
        <f>-G639*0.5</f>
        <v>0</v>
      </c>
      <c r="I645" s="339">
        <f t="shared" ref="I645:I646" si="111">+G645+H645</f>
        <v>0</v>
      </c>
      <c r="J645" s="212"/>
      <c r="Q645" s="167"/>
    </row>
    <row r="646" spans="2:17" ht="13" x14ac:dyDescent="0.25">
      <c r="B646" s="1234">
        <v>2021</v>
      </c>
      <c r="C646" s="1235"/>
      <c r="D646" s="1235"/>
      <c r="E646" s="1236"/>
      <c r="F646" s="341"/>
      <c r="G646" s="339">
        <f>M190</f>
        <v>0</v>
      </c>
      <c r="H646" s="339">
        <f t="shared" ref="H646" si="112">-G646*0.5</f>
        <v>0</v>
      </c>
      <c r="I646" s="339">
        <f t="shared" si="111"/>
        <v>0</v>
      </c>
      <c r="J646" s="212"/>
      <c r="Q646" s="167"/>
    </row>
    <row r="647" spans="2:17" s="281" customFormat="1" ht="13" x14ac:dyDescent="0.25">
      <c r="B647" s="847"/>
      <c r="C647" s="847"/>
      <c r="D647" s="847"/>
      <c r="E647" s="847"/>
      <c r="F647" s="847"/>
      <c r="G647" s="849">
        <f>SUM(G645:G646)</f>
        <v>0</v>
      </c>
      <c r="H647" s="849">
        <f>SUM(H645:H646)</f>
        <v>0</v>
      </c>
      <c r="I647" s="849">
        <f>SUM(I645:I646)</f>
        <v>0</v>
      </c>
    </row>
    <row r="648" spans="2:17" x14ac:dyDescent="0.25">
      <c r="B648" s="842"/>
      <c r="C648" s="842"/>
      <c r="D648" s="842"/>
      <c r="E648" s="842"/>
      <c r="F648" s="842"/>
      <c r="G648" s="842"/>
      <c r="H648" s="842"/>
      <c r="I648" s="842"/>
      <c r="Q648" s="167"/>
    </row>
    <row r="649" spans="2:17" ht="13" x14ac:dyDescent="0.25">
      <c r="B649" s="847" t="s">
        <v>172</v>
      </c>
      <c r="C649" s="842"/>
      <c r="D649" s="842"/>
      <c r="E649" s="842"/>
      <c r="F649" s="1004">
        <v>2024</v>
      </c>
      <c r="G649" s="842"/>
      <c r="H649" s="842"/>
      <c r="I649" s="842"/>
      <c r="Q649" s="167"/>
    </row>
    <row r="650" spans="2:17" x14ac:dyDescent="0.25">
      <c r="B650" s="842"/>
      <c r="C650" s="842"/>
      <c r="D650" s="842"/>
      <c r="E650" s="842"/>
      <c r="F650" s="842"/>
      <c r="G650" s="842"/>
      <c r="H650" s="842"/>
      <c r="I650" s="842"/>
      <c r="Q650" s="167"/>
    </row>
    <row r="651" spans="2:17" ht="102" customHeight="1" x14ac:dyDescent="0.25">
      <c r="B651" s="1237" t="s">
        <v>173</v>
      </c>
      <c r="C651" s="1238"/>
      <c r="D651" s="1238"/>
      <c r="E651" s="1239"/>
      <c r="F651" s="848"/>
      <c r="G651" s="837" t="str">
        <f>"Nog af te bouwen regulatoir saldo einde "&amp;F649-1</f>
        <v>Nog af te bouwen regulatoir saldo einde 2023</v>
      </c>
      <c r="H651" s="837" t="str">
        <f>"50% van oorspronkelijk saldo door te rekenen volgens de tariefmethodologie in het boekjaar "&amp;F649</f>
        <v>50% van oorspronkelijk saldo door te rekenen volgens de tariefmethodologie in het boekjaar 2024</v>
      </c>
      <c r="I651" s="837" t="str">
        <f>"Nog af te bouwen regulatoir saldo einde "&amp;F649</f>
        <v>Nog af te bouwen regulatoir saldo einde 2024</v>
      </c>
      <c r="J651" s="212"/>
      <c r="Q651" s="167"/>
    </row>
    <row r="652" spans="2:17" ht="13" x14ac:dyDescent="0.25">
      <c r="B652" s="1234">
        <v>2021</v>
      </c>
      <c r="C652" s="1235"/>
      <c r="D652" s="1235"/>
      <c r="E652" s="1236"/>
      <c r="F652" s="341"/>
      <c r="G652" s="339">
        <f>+I646</f>
        <v>0</v>
      </c>
      <c r="H652" s="339">
        <f>-G646*0.5</f>
        <v>0</v>
      </c>
      <c r="I652" s="339">
        <f t="shared" ref="I652:I653" si="113">+G652+H652</f>
        <v>0</v>
      </c>
      <c r="J652" s="212"/>
      <c r="Q652" s="167"/>
    </row>
    <row r="653" spans="2:17" ht="13" x14ac:dyDescent="0.25">
      <c r="B653" s="1234">
        <v>2022</v>
      </c>
      <c r="C653" s="1235"/>
      <c r="D653" s="1235"/>
      <c r="E653" s="1236"/>
      <c r="F653" s="341"/>
      <c r="G653" s="339">
        <f>N191</f>
        <v>0</v>
      </c>
      <c r="H653" s="339">
        <f t="shared" ref="H653" si="114">-G653*0.5</f>
        <v>0</v>
      </c>
      <c r="I653" s="339">
        <f t="shared" si="113"/>
        <v>0</v>
      </c>
      <c r="J653" s="212"/>
      <c r="Q653" s="167"/>
    </row>
    <row r="654" spans="2:17" s="281" customFormat="1" ht="13" x14ac:dyDescent="0.25">
      <c r="B654" s="847"/>
      <c r="C654" s="847"/>
      <c r="D654" s="847"/>
      <c r="E654" s="847"/>
      <c r="F654" s="847"/>
      <c r="G654" s="849">
        <f>SUM(G652:G653)</f>
        <v>0</v>
      </c>
      <c r="H654" s="849">
        <f>SUM(H652:H653)</f>
        <v>0</v>
      </c>
      <c r="I654" s="849">
        <f>SUM(I652:I653)</f>
        <v>0</v>
      </c>
    </row>
    <row r="655" spans="2:17" x14ac:dyDescent="0.25">
      <c r="Q655" s="167"/>
    </row>
    <row r="656" spans="2:17" ht="13" x14ac:dyDescent="0.25">
      <c r="B656" s="281" t="str">
        <f>B590</f>
        <v>Het tarief voor de compensatie van de netverliezen</v>
      </c>
      <c r="C656" s="224"/>
      <c r="D656" s="224"/>
      <c r="E656" s="224"/>
      <c r="Q656" s="167"/>
    </row>
    <row r="657" spans="2:17" ht="13" x14ac:dyDescent="0.25">
      <c r="B657" s="281" t="s">
        <v>174</v>
      </c>
      <c r="C657" s="224"/>
      <c r="D657" s="224"/>
      <c r="E657" s="224"/>
      <c r="Q657" s="167"/>
    </row>
    <row r="658" spans="2:17" ht="13" x14ac:dyDescent="0.25">
      <c r="C658" s="224"/>
      <c r="D658" s="224"/>
      <c r="E658" s="224"/>
      <c r="Q658" s="167"/>
    </row>
    <row r="659" spans="2:17" ht="13" x14ac:dyDescent="0.25">
      <c r="B659" s="283">
        <v>2021</v>
      </c>
      <c r="C659" s="287">
        <f>+H629</f>
        <v>0</v>
      </c>
      <c r="D659" s="224"/>
      <c r="E659" s="224"/>
      <c r="Q659" s="167"/>
    </row>
    <row r="660" spans="2:17" ht="13" x14ac:dyDescent="0.25">
      <c r="B660" s="341">
        <v>2022</v>
      </c>
      <c r="C660" s="342">
        <f>+H640</f>
        <v>0</v>
      </c>
      <c r="D660" s="224"/>
      <c r="E660" s="224"/>
      <c r="Q660" s="167"/>
    </row>
    <row r="661" spans="2:17" ht="13" x14ac:dyDescent="0.25">
      <c r="B661" s="341">
        <v>2023</v>
      </c>
      <c r="C661" s="342">
        <f>+H647</f>
        <v>0</v>
      </c>
      <c r="D661" s="224"/>
      <c r="E661" s="224"/>
      <c r="Q661" s="167"/>
    </row>
    <row r="662" spans="2:17" ht="13" x14ac:dyDescent="0.25">
      <c r="B662" s="341">
        <v>2024</v>
      </c>
      <c r="C662" s="342">
        <f>+H654</f>
        <v>0</v>
      </c>
      <c r="D662" s="224"/>
      <c r="E662" s="224"/>
      <c r="Q662" s="167"/>
    </row>
    <row r="663" spans="2:17" x14ac:dyDescent="0.25">
      <c r="Q663" s="167"/>
    </row>
    <row r="664" spans="2:17" x14ac:dyDescent="0.25">
      <c r="Q664" s="167"/>
    </row>
    <row r="665" spans="2:17" ht="12.75" customHeight="1" x14ac:dyDescent="0.25">
      <c r="B665" s="326" t="s">
        <v>68</v>
      </c>
      <c r="C665" s="327"/>
      <c r="D665" s="327"/>
      <c r="E665" s="327"/>
      <c r="F665" s="328"/>
      <c r="G665" s="328"/>
      <c r="H665" s="328"/>
      <c r="I665" s="328"/>
      <c r="J665" s="328"/>
      <c r="K665" s="328"/>
      <c r="L665" s="328"/>
      <c r="M665" s="328"/>
      <c r="Q665" s="167"/>
    </row>
    <row r="666" spans="2:17" x14ac:dyDescent="0.25">
      <c r="Q666" s="167"/>
    </row>
    <row r="667" spans="2:17" ht="13" x14ac:dyDescent="0.25">
      <c r="B667" s="281" t="s">
        <v>172</v>
      </c>
      <c r="F667" s="1000">
        <v>2017</v>
      </c>
      <c r="Q667" s="167"/>
    </row>
    <row r="668" spans="2:17" x14ac:dyDescent="0.25">
      <c r="L668" s="212"/>
      <c r="Q668" s="167"/>
    </row>
    <row r="669" spans="2:17" ht="102" customHeight="1" x14ac:dyDescent="0.25">
      <c r="B669" s="1231" t="s">
        <v>173</v>
      </c>
      <c r="C669" s="1232"/>
      <c r="D669" s="1232"/>
      <c r="E669" s="1233"/>
      <c r="F669" s="282"/>
      <c r="G669" s="166" t="str">
        <f>"Nog af te bouwen regulatoir saldo einde "&amp;F667-1</f>
        <v>Nog af te bouwen regulatoir saldo einde 2016</v>
      </c>
      <c r="H669" s="166" t="str">
        <f>"Afbouw oudste openstaande regulatoir saldo vanaf boekjaar "&amp;F667-3&amp;" en vroeger, door aanwending van compensatie met regulatoir saldo ontstaan over boekjaar "&amp;F667-2</f>
        <v>Afbouw oudste openstaande regulatoir saldo vanaf boekjaar 2014 en vroeger, door aanwending van compensatie met regulatoir saldo ontstaan over boekjaar 2015</v>
      </c>
      <c r="I669" s="166" t="str">
        <f>"Nog af te bouwen regulatoir saldo na compensatie einde "&amp;F667-1</f>
        <v>Nog af te bouwen regulatoir saldo na compensatie einde 2016</v>
      </c>
      <c r="J669" s="166" t="str">
        <f>"Aanwending van 60% van het geaccumuleerd regulatoir saldo door te rekenen volgens de tariefmethodologie in het boekjaar "&amp;F667</f>
        <v>Aanwending van 60% van het geaccumuleerd regulatoir saldo door te rekenen volgens de tariefmethodologie in het boekjaar 2017</v>
      </c>
      <c r="K669" s="166" t="str">
        <f>"Nog af te bouwen regulatoir saldo einde "&amp;F667</f>
        <v>Nog af te bouwen regulatoir saldo einde 2017</v>
      </c>
      <c r="L669" s="212"/>
      <c r="Q669" s="167"/>
    </row>
    <row r="670" spans="2:17" ht="13" x14ac:dyDescent="0.25">
      <c r="B670" s="1228">
        <v>2015</v>
      </c>
      <c r="C670" s="1229"/>
      <c r="D670" s="1229"/>
      <c r="E670" s="1230"/>
      <c r="F670" s="283"/>
      <c r="G670" s="177">
        <f>G195</f>
        <v>0</v>
      </c>
      <c r="H670" s="566">
        <v>0</v>
      </c>
      <c r="I670" s="177">
        <f>+G670+H670</f>
        <v>0</v>
      </c>
      <c r="J670" s="177">
        <f>-I670*0.6</f>
        <v>0</v>
      </c>
      <c r="K670" s="1001">
        <f>+J670+G670</f>
        <v>0</v>
      </c>
      <c r="L670" s="212"/>
      <c r="Q670" s="167"/>
    </row>
    <row r="671" spans="2:17" x14ac:dyDescent="0.25">
      <c r="H671" s="221"/>
      <c r="L671" s="212"/>
      <c r="Q671" s="167"/>
    </row>
    <row r="672" spans="2:17" ht="13" x14ac:dyDescent="0.25">
      <c r="B672" s="281" t="s">
        <v>172</v>
      </c>
      <c r="F672" s="1000">
        <v>2018</v>
      </c>
      <c r="Q672" s="167"/>
    </row>
    <row r="673" spans="2:17" x14ac:dyDescent="0.25">
      <c r="Q673" s="167"/>
    </row>
    <row r="674" spans="2:17" ht="102" customHeight="1" x14ac:dyDescent="0.25">
      <c r="B674" s="1231" t="s">
        <v>173</v>
      </c>
      <c r="C674" s="1232"/>
      <c r="D674" s="1232"/>
      <c r="E674" s="1233"/>
      <c r="F674" s="282"/>
      <c r="G674" s="166" t="str">
        <f>"Nog af te bouwen regulatoir saldo einde "&amp;F672-1</f>
        <v>Nog af te bouwen regulatoir saldo einde 2017</v>
      </c>
      <c r="H674" s="166" t="str">
        <f>"Afbouw oudste openstaande regulatoir saldo vanaf boekjaar "&amp;F672-3&amp;" en vroeger, door aanwending van compensatie met regulatoir saldo ontstaan over boekjaar "&amp;F672-2</f>
        <v>Afbouw oudste openstaande regulatoir saldo vanaf boekjaar 2015 en vroeger, door aanwending van compensatie met regulatoir saldo ontstaan over boekjaar 2016</v>
      </c>
      <c r="I674" s="166" t="str">
        <f>"Nog af te bouwen regulatoir saldo na compensatie einde "&amp;F672-1</f>
        <v>Nog af te bouwen regulatoir saldo na compensatie einde 2017</v>
      </c>
      <c r="J674" s="166" t="str">
        <f>"60% van het geaccumuleerd regulatoir saldo door te rekenen volgens de tariefmethodologie in het boekjaar "&amp;F672</f>
        <v>60% van het geaccumuleerd regulatoir saldo door te rekenen volgens de tariefmethodologie in het boekjaar 2018</v>
      </c>
      <c r="K674" s="166" t="str">
        <f>"Aanwending van 60% van het geaccumuleerd regulatoir saldo door te rekenen volgens de tariefmethodologie in het boekjaar "&amp;F672</f>
        <v>Aanwending van 60% van het geaccumuleerd regulatoir saldo door te rekenen volgens de tariefmethodologie in het boekjaar 2018</v>
      </c>
      <c r="L674" s="166" t="str">
        <f>"Totale afbouw over "&amp;F672</f>
        <v>Totale afbouw over 2018</v>
      </c>
      <c r="M674" s="166" t="str">
        <f>"Nog af te bouwen regulatoir saldo einde "&amp;F672</f>
        <v>Nog af te bouwen regulatoir saldo einde 2018</v>
      </c>
      <c r="N674" s="212"/>
      <c r="Q674" s="167"/>
    </row>
    <row r="675" spans="2:17" ht="13" x14ac:dyDescent="0.25">
      <c r="B675" s="1228">
        <v>2015</v>
      </c>
      <c r="C675" s="1229"/>
      <c r="D675" s="1229"/>
      <c r="E675" s="1230"/>
      <c r="F675" s="283"/>
      <c r="G675" s="177">
        <f>K670</f>
        <v>0</v>
      </c>
      <c r="H675" s="566">
        <f>IF(SIGN(G676*K670)&lt;0,IF(G675&lt;&gt;0,-SIGN(G675)*MIN(ABS(G676),ABS(G675)),0),0)</f>
        <v>0</v>
      </c>
      <c r="I675" s="177">
        <f>+G675+H675</f>
        <v>0</v>
      </c>
      <c r="J675" s="995"/>
      <c r="K675" s="566">
        <f>-MIN(ABS(I675),ABS(J677))*SIGN(I675)</f>
        <v>0</v>
      </c>
      <c r="L675" s="1003">
        <f>+K675+H675</f>
        <v>0</v>
      </c>
      <c r="M675" s="177">
        <f>+I675+K675</f>
        <v>0</v>
      </c>
      <c r="N675" s="212"/>
      <c r="Q675" s="167"/>
    </row>
    <row r="676" spans="2:17" ht="13" x14ac:dyDescent="0.25">
      <c r="B676" s="1228">
        <v>2016</v>
      </c>
      <c r="C676" s="1229"/>
      <c r="D676" s="1229"/>
      <c r="E676" s="1230"/>
      <c r="F676" s="283"/>
      <c r="G676" s="177">
        <f>H196</f>
        <v>0</v>
      </c>
      <c r="H676" s="1003">
        <f>IF(SIGN(G676*K670)&lt;0,-H675,0)</f>
        <v>0</v>
      </c>
      <c r="I676" s="177">
        <f>+G676+H676</f>
        <v>0</v>
      </c>
      <c r="J676" s="995"/>
      <c r="K676" s="566">
        <f>-MIN(ABS(I676),ABS(J677-K675))*SIGN(I676)</f>
        <v>0</v>
      </c>
      <c r="L676" s="1003">
        <f>+K676+H676</f>
        <v>0</v>
      </c>
      <c r="M676" s="177">
        <f>+I676+K676</f>
        <v>0</v>
      </c>
      <c r="N676" s="212"/>
      <c r="Q676" s="167"/>
    </row>
    <row r="677" spans="2:17" s="281" customFormat="1" ht="13" x14ac:dyDescent="0.25">
      <c r="G677" s="284">
        <f>SUM(G675:G676)</f>
        <v>0</v>
      </c>
      <c r="H677" s="169">
        <f>SUM(H675:H676)</f>
        <v>0</v>
      </c>
      <c r="I677" s="284">
        <f>SUM(I675:I676)</f>
        <v>0</v>
      </c>
      <c r="J677" s="284">
        <f>-I677*0.6</f>
        <v>0</v>
      </c>
      <c r="K677" s="169">
        <f>SUM(K675:K676)</f>
        <v>0</v>
      </c>
      <c r="L677" s="570"/>
      <c r="M677" s="284">
        <f>SUM(M675:M676)</f>
        <v>0</v>
      </c>
    </row>
    <row r="678" spans="2:17" x14ac:dyDescent="0.25">
      <c r="Q678" s="167"/>
    </row>
    <row r="679" spans="2:17" ht="13" x14ac:dyDescent="0.25">
      <c r="B679" s="281" t="s">
        <v>172</v>
      </c>
      <c r="F679" s="1000">
        <v>2019</v>
      </c>
      <c r="Q679" s="167"/>
    </row>
    <row r="680" spans="2:17" x14ac:dyDescent="0.25">
      <c r="Q680" s="167"/>
    </row>
    <row r="681" spans="2:17" ht="102" customHeight="1" x14ac:dyDescent="0.25">
      <c r="B681" s="1231" t="s">
        <v>173</v>
      </c>
      <c r="C681" s="1232"/>
      <c r="D681" s="1232"/>
      <c r="E681" s="1233"/>
      <c r="F681" s="282"/>
      <c r="G681" s="166" t="str">
        <f>"Nog af te bouwen regulatoir saldo einde "&amp;F679-1</f>
        <v>Nog af te bouwen regulatoir saldo einde 2018</v>
      </c>
      <c r="H681" s="166" t="str">
        <f>"Afbouw oudste openstaande regulatoir saldo vanaf boekjaar "&amp;F679-3&amp;" en vroeger, door aanwending van compensatie met regulatoir saldo ontstaan over boekjaar "&amp;F679-2</f>
        <v>Afbouw oudste openstaande regulatoir saldo vanaf boekjaar 2016 en vroeger, door aanwending van compensatie met regulatoir saldo ontstaan over boekjaar 2017</v>
      </c>
      <c r="I681" s="166" t="str">
        <f>"Nog af te bouwen regulatoir saldo na compensatie einde "&amp;F679-1</f>
        <v>Nog af te bouwen regulatoir saldo na compensatie einde 2018</v>
      </c>
      <c r="J681" s="166" t="str">
        <f>"60% van het geaccumuleerd regulatoir saldo door te rekenen volgens de tariefmethodologie in het boekjaar "&amp;F679</f>
        <v>60% van het geaccumuleerd regulatoir saldo door te rekenen volgens de tariefmethodologie in het boekjaar 2019</v>
      </c>
      <c r="K681" s="166" t="str">
        <f>"Aanwending van het 60% van het geaccumuleerd regulatoir saldo door te rekenen volgens de tariefmethodologie in het boekjaar "&amp;F679</f>
        <v>Aanwending van het 60% van het geaccumuleerd regulatoir saldo door te rekenen volgens de tariefmethodologie in het boekjaar 2019</v>
      </c>
      <c r="L681" s="166" t="str">
        <f>"Totale afbouw over "&amp;F679</f>
        <v>Totale afbouw over 2019</v>
      </c>
      <c r="M681" s="166" t="str">
        <f>"Nog af te bouwen regulatoir saldo einde "&amp;F679</f>
        <v>Nog af te bouwen regulatoir saldo einde 2019</v>
      </c>
      <c r="N681" s="212"/>
      <c r="Q681" s="167"/>
    </row>
    <row r="682" spans="2:17" ht="13" x14ac:dyDescent="0.25">
      <c r="B682" s="1228">
        <v>2015</v>
      </c>
      <c r="C682" s="1229"/>
      <c r="D682" s="1229"/>
      <c r="E682" s="1230"/>
      <c r="F682" s="283"/>
      <c r="G682" s="177">
        <f>+M675</f>
        <v>0</v>
      </c>
      <c r="H682" s="1003">
        <f>IF(SIGN(G684*M677)&lt;0,IF(G682&lt;&gt;0,-SIGN(G682)*MIN(ABS(G684),ABS(G682)),0),0)</f>
        <v>0</v>
      </c>
      <c r="I682" s="177">
        <f>+G682+H682</f>
        <v>0</v>
      </c>
      <c r="J682" s="995"/>
      <c r="K682" s="566">
        <f>-MIN(ABS(I682),ABS(J685))*SIGN(I682)</f>
        <v>0</v>
      </c>
      <c r="L682" s="1003">
        <f>+K682+H682</f>
        <v>0</v>
      </c>
      <c r="M682" s="177">
        <f>+I682+K682</f>
        <v>0</v>
      </c>
      <c r="N682" s="212"/>
      <c r="Q682" s="167"/>
    </row>
    <row r="683" spans="2:17" ht="13" x14ac:dyDescent="0.25">
      <c r="B683" s="1228">
        <v>2016</v>
      </c>
      <c r="C683" s="1229"/>
      <c r="D683" s="1229">
        <v>2016</v>
      </c>
      <c r="E683" s="1230"/>
      <c r="F683" s="283"/>
      <c r="G683" s="177">
        <f>+M676</f>
        <v>0</v>
      </c>
      <c r="H683" s="1003">
        <f>IF(SIGN(G684*M677)&lt;0,IF(G683&lt;&gt;0,-SIGN(G683)*MIN(ABS(G684-H682),ABS(G683)),0),0)</f>
        <v>0</v>
      </c>
      <c r="I683" s="177">
        <f>+G683+H683</f>
        <v>0</v>
      </c>
      <c r="J683" s="995"/>
      <c r="K683" s="566">
        <f>-MIN(ABS(I683),ABS(J685-K682))*SIGN(I683)</f>
        <v>0</v>
      </c>
      <c r="L683" s="1003">
        <f>+K683+H683</f>
        <v>0</v>
      </c>
      <c r="M683" s="177">
        <f>+I683+K683</f>
        <v>0</v>
      </c>
      <c r="N683" s="212"/>
      <c r="Q683" s="167"/>
    </row>
    <row r="684" spans="2:17" ht="13" x14ac:dyDescent="0.25">
      <c r="B684" s="1228">
        <v>2017</v>
      </c>
      <c r="C684" s="1229"/>
      <c r="D684" s="1229"/>
      <c r="E684" s="1230"/>
      <c r="F684" s="283"/>
      <c r="G684" s="177">
        <f>I197</f>
        <v>0</v>
      </c>
      <c r="H684" s="1003">
        <f>IF(SIGN(G684*M677)&lt;0,-SUM(H682:H683),0)</f>
        <v>0</v>
      </c>
      <c r="I684" s="177">
        <f>+G684+H684</f>
        <v>0</v>
      </c>
      <c r="J684" s="995"/>
      <c r="K684" s="566">
        <f>-MIN(ABS(I684),ABS(J685-K682-K683))*SIGN(I684)</f>
        <v>0</v>
      </c>
      <c r="L684" s="1003">
        <f>+K684+H684</f>
        <v>0</v>
      </c>
      <c r="M684" s="177">
        <f>+I684+K684</f>
        <v>0</v>
      </c>
      <c r="N684" s="212"/>
      <c r="Q684" s="167"/>
    </row>
    <row r="685" spans="2:17" s="281" customFormat="1" ht="13" x14ac:dyDescent="0.25">
      <c r="G685" s="284">
        <f>SUM(G682:G684)</f>
        <v>0</v>
      </c>
      <c r="H685" s="169">
        <f>SUM(H682:H684)</f>
        <v>0</v>
      </c>
      <c r="I685" s="284">
        <f>SUM(I682:I684)</f>
        <v>0</v>
      </c>
      <c r="J685" s="284">
        <f>-I685*0.6</f>
        <v>0</v>
      </c>
      <c r="K685" s="169">
        <f>SUM(K682:K684)</f>
        <v>0</v>
      </c>
      <c r="L685" s="570"/>
      <c r="M685" s="284">
        <f>SUM(M682:M684)</f>
        <v>0</v>
      </c>
    </row>
    <row r="686" spans="2:17" x14ac:dyDescent="0.25">
      <c r="H686" s="221"/>
      <c r="Q686" s="167"/>
    </row>
    <row r="687" spans="2:17" ht="13" x14ac:dyDescent="0.25">
      <c r="B687" s="281" t="s">
        <v>172</v>
      </c>
      <c r="F687" s="1000">
        <v>2020</v>
      </c>
      <c r="Q687" s="167"/>
    </row>
    <row r="688" spans="2:17" x14ac:dyDescent="0.25">
      <c r="Q688" s="167"/>
    </row>
    <row r="689" spans="2:17" ht="102" customHeight="1" x14ac:dyDescent="0.25">
      <c r="B689" s="1231" t="s">
        <v>173</v>
      </c>
      <c r="C689" s="1232"/>
      <c r="D689" s="1232"/>
      <c r="E689" s="1233"/>
      <c r="F689" s="282"/>
      <c r="G689" s="166" t="str">
        <f>"Nog af te bouwen regulatoir saldo einde "&amp;F687-1</f>
        <v>Nog af te bouwen regulatoir saldo einde 2019</v>
      </c>
      <c r="H689" s="166" t="str">
        <f>"Afbouw oudste openstaande regulatoir saldo vanaf boekjaar "&amp;F687-3&amp;" en vroeger, door aanwending van compensatie met regulatoir saldo ontstaan over boekjaar "&amp;F687-2</f>
        <v>Afbouw oudste openstaande regulatoir saldo vanaf boekjaar 2017 en vroeger, door aanwending van compensatie met regulatoir saldo ontstaan over boekjaar 2018</v>
      </c>
      <c r="I689" s="166" t="str">
        <f>"Nog af te bouwen regulatoir saldo na compensatie einde "&amp;F687-1</f>
        <v>Nog af te bouwen regulatoir saldo na compensatie einde 2019</v>
      </c>
      <c r="J689" s="166" t="str">
        <f>"60% van het geaccumuleerd regulatoir saldo door te rekenen volgens de tariefmethodologie in het boekjaar "&amp;F687</f>
        <v>60% van het geaccumuleerd regulatoir saldo door te rekenen volgens de tariefmethodologie in het boekjaar 2020</v>
      </c>
      <c r="K689" s="166" t="str">
        <f>"Aanwending van het 60% van het geaccumuleerd regulatoir saldo door te rekenen volgens de tariefmethodologie in het boekjaar "&amp;F687</f>
        <v>Aanwending van het 60% van het geaccumuleerd regulatoir saldo door te rekenen volgens de tariefmethodologie in het boekjaar 2020</v>
      </c>
      <c r="L689" s="166" t="str">
        <f>"Totale afbouw over "&amp;F687</f>
        <v>Totale afbouw over 2020</v>
      </c>
      <c r="M689" s="166" t="str">
        <f>"Nog af te bouwen regulatoir saldo einde "&amp;F687</f>
        <v>Nog af te bouwen regulatoir saldo einde 2020</v>
      </c>
      <c r="N689" s="212"/>
      <c r="Q689" s="167"/>
    </row>
    <row r="690" spans="2:17" ht="13" x14ac:dyDescent="0.25">
      <c r="B690" s="1228">
        <v>2015</v>
      </c>
      <c r="C690" s="1229"/>
      <c r="D690" s="1229"/>
      <c r="E690" s="1230"/>
      <c r="F690" s="283"/>
      <c r="G690" s="177">
        <f>+M682</f>
        <v>0</v>
      </c>
      <c r="H690" s="1003">
        <f>IF(SIGN(G693*M685)&lt;0,IF(G690&lt;&gt;0,-SIGN(G690)*MIN(ABS(G693),ABS(G690)),0),0)</f>
        <v>0</v>
      </c>
      <c r="I690" s="177">
        <f>+G690+H690</f>
        <v>0</v>
      </c>
      <c r="J690" s="995"/>
      <c r="K690" s="566">
        <f>-MIN(ABS(I690),ABS(J694))*SIGN(I690)</f>
        <v>0</v>
      </c>
      <c r="L690" s="1003">
        <f>+K690+H690</f>
        <v>0</v>
      </c>
      <c r="M690" s="177">
        <f>+I690+K690</f>
        <v>0</v>
      </c>
      <c r="N690" s="212"/>
      <c r="Q690" s="167"/>
    </row>
    <row r="691" spans="2:17" ht="13" x14ac:dyDescent="0.25">
      <c r="B691" s="1228">
        <v>2016</v>
      </c>
      <c r="C691" s="1229"/>
      <c r="D691" s="1229"/>
      <c r="E691" s="1230"/>
      <c r="F691" s="283"/>
      <c r="G691" s="177">
        <f>+M683</f>
        <v>0</v>
      </c>
      <c r="H691" s="1003">
        <f>IF(SIGN(G693*M685)&lt;0,IF(G691&lt;&gt;0,-SIGN(G691)*MIN(ABS(G693-H690),ABS(G691)),0),0)</f>
        <v>0</v>
      </c>
      <c r="I691" s="177">
        <f>+G691+H691</f>
        <v>0</v>
      </c>
      <c r="J691" s="995"/>
      <c r="K691" s="566">
        <f>-MIN(ABS(I691),ABS(J694-K690))*SIGN(I691)</f>
        <v>0</v>
      </c>
      <c r="L691" s="1003">
        <f>+K691+H691</f>
        <v>0</v>
      </c>
      <c r="M691" s="177">
        <f>+I691+K691</f>
        <v>0</v>
      </c>
      <c r="N691" s="212"/>
      <c r="Q691" s="167"/>
    </row>
    <row r="692" spans="2:17" ht="13" x14ac:dyDescent="0.25">
      <c r="B692" s="1228">
        <v>2017</v>
      </c>
      <c r="C692" s="1229"/>
      <c r="D692" s="1229">
        <v>2016</v>
      </c>
      <c r="E692" s="1230"/>
      <c r="F692" s="283"/>
      <c r="G692" s="177">
        <f>+M684</f>
        <v>0</v>
      </c>
      <c r="H692" s="1003">
        <f>IF(SIGN(G693*M685)&lt;0,IF(G692&lt;&gt;0,-SIGN(G692)*MIN(ABS(G693-H690-H691),ABS(G692)),0),0)</f>
        <v>0</v>
      </c>
      <c r="I692" s="177">
        <f>+G692+H692</f>
        <v>0</v>
      </c>
      <c r="J692" s="995"/>
      <c r="K692" s="566">
        <f>-MIN(ABS(I692),ABS(J694-K690-K691))*SIGN(I692)</f>
        <v>0</v>
      </c>
      <c r="L692" s="1003">
        <f>+K692+H692</f>
        <v>0</v>
      </c>
      <c r="M692" s="177">
        <f>+I692+K692</f>
        <v>0</v>
      </c>
      <c r="N692" s="212"/>
      <c r="Q692" s="167"/>
    </row>
    <row r="693" spans="2:17" ht="13" x14ac:dyDescent="0.25">
      <c r="B693" s="1228">
        <v>2018</v>
      </c>
      <c r="C693" s="1229"/>
      <c r="D693" s="1229"/>
      <c r="E693" s="1230"/>
      <c r="F693" s="283"/>
      <c r="G693" s="177">
        <f>J198</f>
        <v>0</v>
      </c>
      <c r="H693" s="1003">
        <f>IF(SIGN(G693*M685)&lt;0,-SUM(H690:H692),0)</f>
        <v>0</v>
      </c>
      <c r="I693" s="177">
        <f>+G693+H693</f>
        <v>0</v>
      </c>
      <c r="J693" s="995"/>
      <c r="K693" s="566">
        <f>-MIN(ABS(I693),ABS(J694-K690-K691-K692))*SIGN(I693)</f>
        <v>0</v>
      </c>
      <c r="L693" s="1003">
        <f>+K693+H693</f>
        <v>0</v>
      </c>
      <c r="M693" s="177">
        <f>+I693+K693</f>
        <v>0</v>
      </c>
      <c r="N693" s="212"/>
      <c r="Q693" s="167"/>
    </row>
    <row r="694" spans="2:17" s="281" customFormat="1" ht="13" x14ac:dyDescent="0.25">
      <c r="G694" s="284">
        <f>SUM(G690:G693)</f>
        <v>0</v>
      </c>
      <c r="H694" s="169">
        <f>SUM(H690:H693)</f>
        <v>0</v>
      </c>
      <c r="I694" s="284">
        <f>SUM(I690:I693)</f>
        <v>0</v>
      </c>
      <c r="J694" s="284">
        <f>-I694*0.6</f>
        <v>0</v>
      </c>
      <c r="K694" s="169">
        <f>SUM(K690:K693)</f>
        <v>0</v>
      </c>
      <c r="L694" s="169"/>
      <c r="M694" s="284">
        <f>SUM(M690:M693)</f>
        <v>0</v>
      </c>
    </row>
    <row r="695" spans="2:17" x14ac:dyDescent="0.25">
      <c r="Q695" s="167"/>
    </row>
    <row r="696" spans="2:17" ht="13" x14ac:dyDescent="0.25">
      <c r="B696" s="281" t="s">
        <v>172</v>
      </c>
      <c r="F696" s="1000">
        <v>2021</v>
      </c>
      <c r="Q696" s="167"/>
    </row>
    <row r="697" spans="2:17" x14ac:dyDescent="0.25">
      <c r="Q697" s="167"/>
    </row>
    <row r="698" spans="2:17" ht="102" customHeight="1" x14ac:dyDescent="0.25">
      <c r="B698" s="1231" t="s">
        <v>173</v>
      </c>
      <c r="C698" s="1232"/>
      <c r="D698" s="1232"/>
      <c r="E698" s="1233"/>
      <c r="F698" s="282"/>
      <c r="G698" s="166" t="str">
        <f>"Nog af te bouwen regulatoir saldo einde "&amp;F696-1</f>
        <v>Nog af te bouwen regulatoir saldo einde 2020</v>
      </c>
      <c r="H698" s="166" t="str">
        <f>"50% van oorspronkelijk saldo door te rekenen volgens de tariefmethodologie in het boekjaar "&amp;F696</f>
        <v>50% van oorspronkelijk saldo door te rekenen volgens de tariefmethodologie in het boekjaar 2021</v>
      </c>
      <c r="I698" s="166" t="str">
        <f>"Nog af te bouwen regulatoir saldo einde "&amp;F696</f>
        <v>Nog af te bouwen regulatoir saldo einde 2021</v>
      </c>
      <c r="J698" s="212"/>
      <c r="Q698" s="167"/>
    </row>
    <row r="699" spans="2:17" ht="13" x14ac:dyDescent="0.25">
      <c r="B699" s="1228">
        <v>2015</v>
      </c>
      <c r="C699" s="1229"/>
      <c r="D699" s="1229"/>
      <c r="E699" s="1230"/>
      <c r="F699" s="283"/>
      <c r="G699" s="177">
        <f>M690</f>
        <v>0</v>
      </c>
      <c r="H699" s="177">
        <f>-G699*0.5</f>
        <v>0</v>
      </c>
      <c r="I699" s="177">
        <f>+G699+H699</f>
        <v>0</v>
      </c>
      <c r="J699" s="212"/>
      <c r="Q699" s="167"/>
    </row>
    <row r="700" spans="2:17" ht="13" x14ac:dyDescent="0.25">
      <c r="B700" s="1228">
        <v>2016</v>
      </c>
      <c r="C700" s="1229"/>
      <c r="D700" s="1229"/>
      <c r="E700" s="1230"/>
      <c r="F700" s="283"/>
      <c r="G700" s="177">
        <f t="shared" ref="G700:G702" si="115">M691</f>
        <v>0</v>
      </c>
      <c r="H700" s="177">
        <f t="shared" ref="H700:H703" si="116">-G700*0.5</f>
        <v>0</v>
      </c>
      <c r="I700" s="177">
        <f t="shared" ref="I700:I703" si="117">+G700+H700</f>
        <v>0</v>
      </c>
      <c r="J700" s="212"/>
      <c r="Q700" s="167"/>
    </row>
    <row r="701" spans="2:17" ht="13" x14ac:dyDescent="0.25">
      <c r="B701" s="1228">
        <v>2017</v>
      </c>
      <c r="C701" s="1229"/>
      <c r="D701" s="1229">
        <v>2016</v>
      </c>
      <c r="E701" s="1230"/>
      <c r="F701" s="283"/>
      <c r="G701" s="177">
        <f t="shared" si="115"/>
        <v>0</v>
      </c>
      <c r="H701" s="177">
        <f t="shared" si="116"/>
        <v>0</v>
      </c>
      <c r="I701" s="177">
        <f t="shared" si="117"/>
        <v>0</v>
      </c>
      <c r="J701" s="212"/>
      <c r="Q701" s="167"/>
    </row>
    <row r="702" spans="2:17" ht="13" x14ac:dyDescent="0.25">
      <c r="B702" s="1228">
        <v>2018</v>
      </c>
      <c r="C702" s="1229"/>
      <c r="D702" s="1229"/>
      <c r="E702" s="1230"/>
      <c r="F702" s="283"/>
      <c r="G702" s="177">
        <f t="shared" si="115"/>
        <v>0</v>
      </c>
      <c r="H702" s="177">
        <f t="shared" si="116"/>
        <v>0</v>
      </c>
      <c r="I702" s="177">
        <f t="shared" si="117"/>
        <v>0</v>
      </c>
      <c r="J702" s="212"/>
      <c r="Q702" s="167"/>
    </row>
    <row r="703" spans="2:17" ht="13" x14ac:dyDescent="0.25">
      <c r="B703" s="1228">
        <v>2019</v>
      </c>
      <c r="C703" s="1229"/>
      <c r="D703" s="1229"/>
      <c r="E703" s="1230"/>
      <c r="F703" s="283"/>
      <c r="G703" s="177">
        <f>K199</f>
        <v>0</v>
      </c>
      <c r="H703" s="177">
        <f t="shared" si="116"/>
        <v>0</v>
      </c>
      <c r="I703" s="177">
        <f t="shared" si="117"/>
        <v>0</v>
      </c>
      <c r="J703" s="212"/>
      <c r="Q703" s="167"/>
    </row>
    <row r="704" spans="2:17" s="281" customFormat="1" ht="13" x14ac:dyDescent="0.25">
      <c r="G704" s="284">
        <f>SUM(G699:G703)</f>
        <v>0</v>
      </c>
      <c r="H704" s="284">
        <f>SUM(H699:H703)</f>
        <v>0</v>
      </c>
      <c r="I704" s="284">
        <f>SUM(I699:I703)</f>
        <v>0</v>
      </c>
    </row>
    <row r="705" spans="2:17" x14ac:dyDescent="0.25">
      <c r="Q705" s="167"/>
    </row>
    <row r="706" spans="2:17" ht="13" x14ac:dyDescent="0.25">
      <c r="B706" s="847" t="s">
        <v>172</v>
      </c>
      <c r="C706" s="842"/>
      <c r="D706" s="842"/>
      <c r="E706" s="842"/>
      <c r="F706" s="1004">
        <v>2022</v>
      </c>
      <c r="G706" s="842"/>
      <c r="H706" s="842"/>
      <c r="I706" s="842"/>
      <c r="Q706" s="167"/>
    </row>
    <row r="707" spans="2:17" x14ac:dyDescent="0.25">
      <c r="B707" s="842"/>
      <c r="C707" s="842"/>
      <c r="D707" s="842"/>
      <c r="E707" s="842"/>
      <c r="F707" s="842"/>
      <c r="G707" s="842"/>
      <c r="H707" s="842"/>
      <c r="I707" s="842"/>
      <c r="Q707" s="167"/>
    </row>
    <row r="708" spans="2:17" ht="102" customHeight="1" x14ac:dyDescent="0.25">
      <c r="B708" s="1237" t="s">
        <v>173</v>
      </c>
      <c r="C708" s="1238"/>
      <c r="D708" s="1238"/>
      <c r="E708" s="1239"/>
      <c r="F708" s="848"/>
      <c r="G708" s="837" t="str">
        <f>"Nog af te bouwen regulatoir saldo einde "&amp;F706-1</f>
        <v>Nog af te bouwen regulatoir saldo einde 2021</v>
      </c>
      <c r="H708" s="837" t="str">
        <f>"50% van oorspronkelijk saldo door te rekenen volgens de tariefmethodologie in het boekjaar "&amp;F706</f>
        <v>50% van oorspronkelijk saldo door te rekenen volgens de tariefmethodologie in het boekjaar 2022</v>
      </c>
      <c r="I708" s="837" t="str">
        <f>"Nog af te bouwen regulatoir saldo einde "&amp;F706</f>
        <v>Nog af te bouwen regulatoir saldo einde 2022</v>
      </c>
      <c r="J708" s="212"/>
      <c r="Q708" s="167"/>
    </row>
    <row r="709" spans="2:17" ht="13" x14ac:dyDescent="0.25">
      <c r="B709" s="1234">
        <v>2015</v>
      </c>
      <c r="C709" s="1235"/>
      <c r="D709" s="1235"/>
      <c r="E709" s="1236"/>
      <c r="F709" s="341"/>
      <c r="G709" s="339">
        <f>+I699</f>
        <v>0</v>
      </c>
      <c r="H709" s="339">
        <f>-G699*0.5</f>
        <v>0</v>
      </c>
      <c r="I709" s="339">
        <f>+G709+H709</f>
        <v>0</v>
      </c>
      <c r="J709" s="212"/>
      <c r="Q709" s="167"/>
    </row>
    <row r="710" spans="2:17" ht="13" x14ac:dyDescent="0.25">
      <c r="B710" s="1234">
        <v>2016</v>
      </c>
      <c r="C710" s="1235"/>
      <c r="D710" s="1235"/>
      <c r="E710" s="1236"/>
      <c r="F710" s="341"/>
      <c r="G710" s="339">
        <f t="shared" ref="G710:G713" si="118">+I700</f>
        <v>0</v>
      </c>
      <c r="H710" s="339">
        <f t="shared" ref="H710:H713" si="119">-G700*0.5</f>
        <v>0</v>
      </c>
      <c r="I710" s="339">
        <f t="shared" ref="I710:I714" si="120">+G710+H710</f>
        <v>0</v>
      </c>
      <c r="J710" s="212"/>
      <c r="Q710" s="167"/>
    </row>
    <row r="711" spans="2:17" ht="13" x14ac:dyDescent="0.25">
      <c r="B711" s="1234">
        <v>2017</v>
      </c>
      <c r="C711" s="1235"/>
      <c r="D711" s="1235">
        <v>2016</v>
      </c>
      <c r="E711" s="1236"/>
      <c r="F711" s="341"/>
      <c r="G711" s="339">
        <f t="shared" si="118"/>
        <v>0</v>
      </c>
      <c r="H711" s="339">
        <f t="shared" si="119"/>
        <v>0</v>
      </c>
      <c r="I711" s="339">
        <f t="shared" si="120"/>
        <v>0</v>
      </c>
      <c r="J711" s="212"/>
      <c r="Q711" s="167"/>
    </row>
    <row r="712" spans="2:17" ht="13" x14ac:dyDescent="0.25">
      <c r="B712" s="1234">
        <v>2018</v>
      </c>
      <c r="C712" s="1235"/>
      <c r="D712" s="1235"/>
      <c r="E712" s="1236"/>
      <c r="F712" s="341"/>
      <c r="G712" s="339">
        <f t="shared" si="118"/>
        <v>0</v>
      </c>
      <c r="H712" s="339">
        <f t="shared" si="119"/>
        <v>0</v>
      </c>
      <c r="I712" s="339">
        <f t="shared" si="120"/>
        <v>0</v>
      </c>
      <c r="J712" s="212"/>
      <c r="Q712" s="167"/>
    </row>
    <row r="713" spans="2:17" ht="13" x14ac:dyDescent="0.25">
      <c r="B713" s="1234">
        <v>2019</v>
      </c>
      <c r="C713" s="1235"/>
      <c r="D713" s="1235"/>
      <c r="E713" s="1236"/>
      <c r="F713" s="341"/>
      <c r="G713" s="339">
        <f t="shared" si="118"/>
        <v>0</v>
      </c>
      <c r="H713" s="339">
        <f t="shared" si="119"/>
        <v>0</v>
      </c>
      <c r="I713" s="339">
        <f t="shared" si="120"/>
        <v>0</v>
      </c>
      <c r="J713" s="212"/>
      <c r="Q713" s="167"/>
    </row>
    <row r="714" spans="2:17" ht="13" x14ac:dyDescent="0.25">
      <c r="B714" s="1234">
        <v>2020</v>
      </c>
      <c r="C714" s="1235"/>
      <c r="D714" s="1235"/>
      <c r="E714" s="1236"/>
      <c r="F714" s="341"/>
      <c r="G714" s="339">
        <f>L200</f>
        <v>0</v>
      </c>
      <c r="H714" s="339">
        <f t="shared" ref="H714" si="121">-G714*0.5</f>
        <v>0</v>
      </c>
      <c r="I714" s="339">
        <f t="shared" si="120"/>
        <v>0</v>
      </c>
      <c r="J714" s="212"/>
      <c r="Q714" s="167"/>
    </row>
    <row r="715" spans="2:17" s="281" customFormat="1" ht="13" x14ac:dyDescent="0.25">
      <c r="B715" s="847"/>
      <c r="C715" s="847"/>
      <c r="D715" s="847"/>
      <c r="E715" s="847"/>
      <c r="F715" s="847"/>
      <c r="G715" s="849">
        <f>SUM(G709:G714)</f>
        <v>0</v>
      </c>
      <c r="H715" s="849">
        <f t="shared" ref="H715" si="122">SUM(H709:H714)</f>
        <v>0</v>
      </c>
      <c r="I715" s="849">
        <f t="shared" ref="I715" si="123">SUM(I709:I714)</f>
        <v>0</v>
      </c>
    </row>
    <row r="716" spans="2:17" x14ac:dyDescent="0.25">
      <c r="B716" s="842"/>
      <c r="C716" s="842"/>
      <c r="D716" s="842"/>
      <c r="E716" s="842"/>
      <c r="F716" s="842"/>
      <c r="G716" s="842"/>
      <c r="H716" s="842"/>
      <c r="I716" s="842"/>
      <c r="Q716" s="167"/>
    </row>
    <row r="717" spans="2:17" ht="13" x14ac:dyDescent="0.25">
      <c r="B717" s="847" t="s">
        <v>172</v>
      </c>
      <c r="C717" s="842"/>
      <c r="D717" s="842"/>
      <c r="E717" s="842"/>
      <c r="F717" s="1004">
        <v>2023</v>
      </c>
      <c r="G717" s="842"/>
      <c r="H717" s="842"/>
      <c r="I717" s="842"/>
      <c r="Q717" s="167"/>
    </row>
    <row r="718" spans="2:17" x14ac:dyDescent="0.25">
      <c r="B718" s="842"/>
      <c r="C718" s="842"/>
      <c r="D718" s="842"/>
      <c r="E718" s="842"/>
      <c r="F718" s="842"/>
      <c r="G718" s="842"/>
      <c r="H718" s="842"/>
      <c r="I718" s="842"/>
      <c r="Q718" s="167"/>
    </row>
    <row r="719" spans="2:17" ht="102" customHeight="1" x14ac:dyDescent="0.25">
      <c r="B719" s="1237" t="s">
        <v>173</v>
      </c>
      <c r="C719" s="1238"/>
      <c r="D719" s="1238"/>
      <c r="E719" s="1239"/>
      <c r="F719" s="848"/>
      <c r="G719" s="837" t="str">
        <f>"Nog af te bouwen regulatoir saldo einde "&amp;F717-1</f>
        <v>Nog af te bouwen regulatoir saldo einde 2022</v>
      </c>
      <c r="H719" s="837" t="str">
        <f>"50% van oorspronkelijk saldo door te rekenen volgens de tariefmethodologie in het boekjaar "&amp;F717</f>
        <v>50% van oorspronkelijk saldo door te rekenen volgens de tariefmethodologie in het boekjaar 2023</v>
      </c>
      <c r="I719" s="837" t="str">
        <f>"Nog af te bouwen regulatoir saldo einde "&amp;F717</f>
        <v>Nog af te bouwen regulatoir saldo einde 2023</v>
      </c>
      <c r="J719" s="212"/>
      <c r="Q719" s="167"/>
    </row>
    <row r="720" spans="2:17" ht="13" x14ac:dyDescent="0.25">
      <c r="B720" s="1234">
        <v>2020</v>
      </c>
      <c r="C720" s="1235"/>
      <c r="D720" s="1235"/>
      <c r="E720" s="1236"/>
      <c r="F720" s="341"/>
      <c r="G720" s="339">
        <f>+I714</f>
        <v>0</v>
      </c>
      <c r="H720" s="339">
        <f>-G714*0.5</f>
        <v>0</v>
      </c>
      <c r="I720" s="339">
        <f t="shared" ref="I720:I721" si="124">+G720+H720</f>
        <v>0</v>
      </c>
      <c r="J720" s="212"/>
      <c r="Q720" s="167"/>
    </row>
    <row r="721" spans="2:17" ht="13" x14ac:dyDescent="0.25">
      <c r="B721" s="1234">
        <v>2021</v>
      </c>
      <c r="C721" s="1235"/>
      <c r="D721" s="1235"/>
      <c r="E721" s="1236"/>
      <c r="F721" s="341"/>
      <c r="G721" s="339">
        <f>M201</f>
        <v>0</v>
      </c>
      <c r="H721" s="339">
        <f t="shared" ref="H721" si="125">-G721*0.5</f>
        <v>0</v>
      </c>
      <c r="I721" s="339">
        <f t="shared" si="124"/>
        <v>0</v>
      </c>
      <c r="J721" s="212"/>
      <c r="Q721" s="167"/>
    </row>
    <row r="722" spans="2:17" s="281" customFormat="1" ht="13" x14ac:dyDescent="0.25">
      <c r="B722" s="847"/>
      <c r="C722" s="847"/>
      <c r="D722" s="847"/>
      <c r="E722" s="847"/>
      <c r="F722" s="847"/>
      <c r="G722" s="849">
        <f>SUM(G720:G721)</f>
        <v>0</v>
      </c>
      <c r="H722" s="849">
        <f>SUM(H720:H721)</f>
        <v>0</v>
      </c>
      <c r="I722" s="849">
        <f>SUM(I720:I721)</f>
        <v>0</v>
      </c>
    </row>
    <row r="723" spans="2:17" x14ac:dyDescent="0.25">
      <c r="B723" s="842"/>
      <c r="C723" s="842"/>
      <c r="D723" s="842"/>
      <c r="E723" s="842"/>
      <c r="F723" s="842"/>
      <c r="G723" s="842"/>
      <c r="H723" s="842"/>
      <c r="I723" s="842"/>
      <c r="Q723" s="167"/>
    </row>
    <row r="724" spans="2:17" ht="13" x14ac:dyDescent="0.25">
      <c r="B724" s="847" t="s">
        <v>172</v>
      </c>
      <c r="C724" s="842"/>
      <c r="D724" s="842"/>
      <c r="E724" s="842"/>
      <c r="F724" s="1004">
        <v>2024</v>
      </c>
      <c r="G724" s="842"/>
      <c r="H724" s="842"/>
      <c r="I724" s="842"/>
      <c r="Q724" s="167"/>
    </row>
    <row r="725" spans="2:17" x14ac:dyDescent="0.25">
      <c r="B725" s="842"/>
      <c r="C725" s="842"/>
      <c r="D725" s="842"/>
      <c r="E725" s="842"/>
      <c r="F725" s="842"/>
      <c r="G725" s="842"/>
      <c r="H725" s="842"/>
      <c r="I725" s="842"/>
      <c r="Q725" s="167"/>
    </row>
    <row r="726" spans="2:17" ht="102" customHeight="1" x14ac:dyDescent="0.25">
      <c r="B726" s="1237" t="s">
        <v>173</v>
      </c>
      <c r="C726" s="1238"/>
      <c r="D726" s="1238"/>
      <c r="E726" s="1239"/>
      <c r="F726" s="848"/>
      <c r="G726" s="837" t="str">
        <f>"Nog af te bouwen regulatoir saldo einde "&amp;F724-1</f>
        <v>Nog af te bouwen regulatoir saldo einde 2023</v>
      </c>
      <c r="H726" s="837" t="str">
        <f>"50% van oorspronkelijk saldo door te rekenen volgens de tariefmethodologie in het boekjaar "&amp;F724</f>
        <v>50% van oorspronkelijk saldo door te rekenen volgens de tariefmethodologie in het boekjaar 2024</v>
      </c>
      <c r="I726" s="837" t="str">
        <f>"Nog af te bouwen regulatoir saldo einde "&amp;F724</f>
        <v>Nog af te bouwen regulatoir saldo einde 2024</v>
      </c>
      <c r="J726" s="212"/>
      <c r="Q726" s="167"/>
    </row>
    <row r="727" spans="2:17" ht="13" x14ac:dyDescent="0.25">
      <c r="B727" s="1234">
        <v>2021</v>
      </c>
      <c r="C727" s="1235"/>
      <c r="D727" s="1235"/>
      <c r="E727" s="1236"/>
      <c r="F727" s="341"/>
      <c r="G727" s="339">
        <f>+I721</f>
        <v>0</v>
      </c>
      <c r="H727" s="339">
        <f>-G721*0.5</f>
        <v>0</v>
      </c>
      <c r="I727" s="339">
        <f t="shared" ref="I727:I728" si="126">+G727+H727</f>
        <v>0</v>
      </c>
      <c r="J727" s="212"/>
      <c r="Q727" s="167"/>
    </row>
    <row r="728" spans="2:17" ht="13" x14ac:dyDescent="0.25">
      <c r="B728" s="1234">
        <v>2022</v>
      </c>
      <c r="C728" s="1235"/>
      <c r="D728" s="1235"/>
      <c r="E728" s="1236"/>
      <c r="F728" s="341"/>
      <c r="G728" s="339">
        <f>N202</f>
        <v>0</v>
      </c>
      <c r="H728" s="339">
        <f t="shared" ref="H728" si="127">-G728*0.5</f>
        <v>0</v>
      </c>
      <c r="I728" s="339">
        <f t="shared" si="126"/>
        <v>0</v>
      </c>
      <c r="J728" s="212"/>
      <c r="Q728" s="167"/>
    </row>
    <row r="729" spans="2:17" s="281" customFormat="1" ht="13" x14ac:dyDescent="0.25">
      <c r="B729" s="847"/>
      <c r="C729" s="847"/>
      <c r="D729" s="847"/>
      <c r="E729" s="847"/>
      <c r="F729" s="847"/>
      <c r="G729" s="849">
        <f>SUM(G727:G728)</f>
        <v>0</v>
      </c>
      <c r="H729" s="849">
        <f>SUM(H727:H728)</f>
        <v>0</v>
      </c>
      <c r="I729" s="849">
        <f>SUM(I727:I728)</f>
        <v>0</v>
      </c>
    </row>
    <row r="730" spans="2:17" x14ac:dyDescent="0.25">
      <c r="Q730" s="167"/>
    </row>
    <row r="731" spans="2:17" ht="13" x14ac:dyDescent="0.25">
      <c r="B731" s="281" t="str">
        <f>B665</f>
        <v>De tariefposten in verband met de belastingen, heffingen, toeslagen, bijdragen en retributies</v>
      </c>
      <c r="Q731" s="167"/>
    </row>
    <row r="732" spans="2:17" ht="13" x14ac:dyDescent="0.25">
      <c r="B732" s="281" t="s">
        <v>174</v>
      </c>
      <c r="C732" s="224"/>
      <c r="D732" s="224"/>
      <c r="E732" s="224"/>
      <c r="Q732" s="167"/>
    </row>
    <row r="733" spans="2:17" ht="13" x14ac:dyDescent="0.25">
      <c r="B733" s="281"/>
      <c r="C733" s="224"/>
      <c r="D733" s="224"/>
      <c r="E733" s="224"/>
      <c r="Q733" s="167"/>
    </row>
    <row r="734" spans="2:17" ht="13" x14ac:dyDescent="0.25">
      <c r="B734" s="283">
        <v>2021</v>
      </c>
      <c r="C734" s="287">
        <f>+H704</f>
        <v>0</v>
      </c>
      <c r="D734" s="224"/>
      <c r="E734" s="224"/>
      <c r="Q734" s="167"/>
    </row>
    <row r="735" spans="2:17" ht="13" x14ac:dyDescent="0.25">
      <c r="B735" s="341">
        <v>2022</v>
      </c>
      <c r="C735" s="342">
        <f>+H715</f>
        <v>0</v>
      </c>
      <c r="D735" s="224"/>
      <c r="E735" s="224"/>
      <c r="Q735" s="167"/>
    </row>
    <row r="736" spans="2:17" ht="13" x14ac:dyDescent="0.25">
      <c r="B736" s="341">
        <v>2023</v>
      </c>
      <c r="C736" s="342">
        <f>+H722</f>
        <v>0</v>
      </c>
      <c r="D736" s="224"/>
      <c r="E736" s="224"/>
      <c r="Q736" s="167"/>
    </row>
    <row r="737" spans="2:17" ht="13" x14ac:dyDescent="0.25">
      <c r="B737" s="341">
        <v>2024</v>
      </c>
      <c r="C737" s="342">
        <f>+H729</f>
        <v>0</v>
      </c>
      <c r="D737" s="224"/>
      <c r="E737" s="224"/>
      <c r="P737" s="209"/>
      <c r="Q737" s="167"/>
    </row>
    <row r="738" spans="2:17" x14ac:dyDescent="0.25">
      <c r="P738" s="212"/>
      <c r="Q738" s="167"/>
    </row>
    <row r="739" spans="2:17" x14ac:dyDescent="0.25">
      <c r="P739" s="212"/>
      <c r="Q739" s="167"/>
    </row>
  </sheetData>
  <sheetProtection algorithmName="SHA-512" hashValue="LHCV/7sqkVF384m6D5ceu4tdxKvvsi82xwaKL4gtGR96bN0Msv9QW3Dd281kDgFI81oTr8rhUgCsDkC3xLjhfQ==" saltValue="R/STElAmsmq4ulRXUDHmdg==" spinCount="100000" sheet="1" objects="1" scenarios="1"/>
  <mergeCells count="424">
    <mergeCell ref="B721:E721"/>
    <mergeCell ref="B726:E726"/>
    <mergeCell ref="B727:E727"/>
    <mergeCell ref="B728:E728"/>
    <mergeCell ref="B579:E579"/>
    <mergeCell ref="B708:E708"/>
    <mergeCell ref="B709:E709"/>
    <mergeCell ref="B710:E710"/>
    <mergeCell ref="B711:E711"/>
    <mergeCell ref="B712:E712"/>
    <mergeCell ref="B713:E713"/>
    <mergeCell ref="B714:E714"/>
    <mergeCell ref="B719:E719"/>
    <mergeCell ref="B720:E720"/>
    <mergeCell ref="B698:E698"/>
    <mergeCell ref="B699:E699"/>
    <mergeCell ref="B700:E700"/>
    <mergeCell ref="B701:E701"/>
    <mergeCell ref="B702:E702"/>
    <mergeCell ref="B703:E703"/>
    <mergeCell ref="B645:E645"/>
    <mergeCell ref="B646:E646"/>
    <mergeCell ref="B651:E651"/>
    <mergeCell ref="B623:E623"/>
    <mergeCell ref="B624:E624"/>
    <mergeCell ref="B482:E482"/>
    <mergeCell ref="B483:E483"/>
    <mergeCell ref="B484:E484"/>
    <mergeCell ref="B485:E485"/>
    <mergeCell ref="B486:E486"/>
    <mergeCell ref="B487:E487"/>
    <mergeCell ref="B492:E492"/>
    <mergeCell ref="B511:E511"/>
    <mergeCell ref="B512:E512"/>
    <mergeCell ref="B560:E560"/>
    <mergeCell ref="B561:E561"/>
    <mergeCell ref="B562:E562"/>
    <mergeCell ref="B567:E567"/>
    <mergeCell ref="B568:E568"/>
    <mergeCell ref="B569:E569"/>
    <mergeCell ref="B570:E570"/>
    <mergeCell ref="B571:E571"/>
    <mergeCell ref="B572:E572"/>
    <mergeCell ref="B543:E543"/>
    <mergeCell ref="B548:E548"/>
    <mergeCell ref="B549:E549"/>
    <mergeCell ref="B550:E550"/>
    <mergeCell ref="B551:E551"/>
    <mergeCell ref="B417:E417"/>
    <mergeCell ref="B418:E418"/>
    <mergeCell ref="B419:E419"/>
    <mergeCell ref="B399:E399"/>
    <mergeCell ref="B400:E400"/>
    <mergeCell ref="B401:E401"/>
    <mergeCell ref="B406:E406"/>
    <mergeCell ref="B407:E407"/>
    <mergeCell ref="B408:E408"/>
    <mergeCell ref="B409:E409"/>
    <mergeCell ref="B410:E410"/>
    <mergeCell ref="B356:E356"/>
    <mergeCell ref="B361:E361"/>
    <mergeCell ref="B362:E362"/>
    <mergeCell ref="B363:E363"/>
    <mergeCell ref="B368:E368"/>
    <mergeCell ref="B369:E369"/>
    <mergeCell ref="B370:E370"/>
    <mergeCell ref="B415:E415"/>
    <mergeCell ref="B416:E416"/>
    <mergeCell ref="B386:E386"/>
    <mergeCell ref="B387:E387"/>
    <mergeCell ref="B391:E391"/>
    <mergeCell ref="B392:E392"/>
    <mergeCell ref="B393:E393"/>
    <mergeCell ref="B398:E398"/>
    <mergeCell ref="B242:E242"/>
    <mergeCell ref="B243:E243"/>
    <mergeCell ref="B225:E225"/>
    <mergeCell ref="B222:E222"/>
    <mergeCell ref="B244:E244"/>
    <mergeCell ref="B294:E294"/>
    <mergeCell ref="B295:E295"/>
    <mergeCell ref="B296:E296"/>
    <mergeCell ref="B340:E340"/>
    <mergeCell ref="B318:E318"/>
    <mergeCell ref="B323:E323"/>
    <mergeCell ref="B324:E324"/>
    <mergeCell ref="B325:E325"/>
    <mergeCell ref="B326:E326"/>
    <mergeCell ref="B331:E331"/>
    <mergeCell ref="B249:E249"/>
    <mergeCell ref="B260:E260"/>
    <mergeCell ref="B261:E261"/>
    <mergeCell ref="B311:E311"/>
    <mergeCell ref="B312:E312"/>
    <mergeCell ref="B316:E316"/>
    <mergeCell ref="B317:E317"/>
    <mergeCell ref="B250:E250"/>
    <mergeCell ref="B251:E251"/>
    <mergeCell ref="B139:E139"/>
    <mergeCell ref="B140:E140"/>
    <mergeCell ref="B141:E141"/>
    <mergeCell ref="B142:E142"/>
    <mergeCell ref="B128:E128"/>
    <mergeCell ref="B287:E287"/>
    <mergeCell ref="B282:E282"/>
    <mergeCell ref="B289:E289"/>
    <mergeCell ref="B288:E288"/>
    <mergeCell ref="B199:E199"/>
    <mergeCell ref="B200:E200"/>
    <mergeCell ref="B201:E201"/>
    <mergeCell ref="B202:E202"/>
    <mergeCell ref="B212:E212"/>
    <mergeCell ref="B213:E213"/>
    <mergeCell ref="B214:E214"/>
    <mergeCell ref="B215:E215"/>
    <mergeCell ref="B228:E228"/>
    <mergeCell ref="B230:E230"/>
    <mergeCell ref="B226:E226"/>
    <mergeCell ref="B227:E227"/>
    <mergeCell ref="B224:E224"/>
    <mergeCell ref="B237:E237"/>
    <mergeCell ref="B238:E238"/>
    <mergeCell ref="B115:E115"/>
    <mergeCell ref="B120:E120"/>
    <mergeCell ref="B137:E137"/>
    <mergeCell ref="B129:E129"/>
    <mergeCell ref="B130:E130"/>
    <mergeCell ref="B131:E131"/>
    <mergeCell ref="B132:E132"/>
    <mergeCell ref="B111:E111"/>
    <mergeCell ref="B138:E138"/>
    <mergeCell ref="B93:E93"/>
    <mergeCell ref="B40:E40"/>
    <mergeCell ref="B76:E76"/>
    <mergeCell ref="B67:E67"/>
    <mergeCell ref="B83:E83"/>
    <mergeCell ref="B156:E156"/>
    <mergeCell ref="B157:E157"/>
    <mergeCell ref="B158:E158"/>
    <mergeCell ref="B166:E166"/>
    <mergeCell ref="B154:E154"/>
    <mergeCell ref="B159:E159"/>
    <mergeCell ref="B160:E160"/>
    <mergeCell ref="B161:E161"/>
    <mergeCell ref="B162:E162"/>
    <mergeCell ref="B152:E152"/>
    <mergeCell ref="B102:E102"/>
    <mergeCell ref="B103:E103"/>
    <mergeCell ref="B104:E104"/>
    <mergeCell ref="B105:E105"/>
    <mergeCell ref="B133:E133"/>
    <mergeCell ref="B134:E134"/>
    <mergeCell ref="B135:E135"/>
    <mergeCell ref="B136:E136"/>
    <mergeCell ref="B144:E144"/>
    <mergeCell ref="B58:E58"/>
    <mergeCell ref="B59:E59"/>
    <mergeCell ref="B60:E60"/>
    <mergeCell ref="B61:E61"/>
    <mergeCell ref="B69:E69"/>
    <mergeCell ref="B70:E70"/>
    <mergeCell ref="B71:E71"/>
    <mergeCell ref="B72:E72"/>
    <mergeCell ref="B80:E80"/>
    <mergeCell ref="B91:E91"/>
    <mergeCell ref="B92:E92"/>
    <mergeCell ref="B62:E62"/>
    <mergeCell ref="B116:E116"/>
    <mergeCell ref="B117:E117"/>
    <mergeCell ref="B118:E118"/>
    <mergeCell ref="B127:E127"/>
    <mergeCell ref="B113:E113"/>
    <mergeCell ref="B114:E114"/>
    <mergeCell ref="B98:E98"/>
    <mergeCell ref="B99:E99"/>
    <mergeCell ref="B100:E100"/>
    <mergeCell ref="B75:E75"/>
    <mergeCell ref="B87:E87"/>
    <mergeCell ref="B86:E86"/>
    <mergeCell ref="B94:E94"/>
    <mergeCell ref="B77:E77"/>
    <mergeCell ref="B78:E78"/>
    <mergeCell ref="B79:E79"/>
    <mergeCell ref="B66:E66"/>
    <mergeCell ref="B73:E73"/>
    <mergeCell ref="B68:E68"/>
    <mergeCell ref="B119:E119"/>
    <mergeCell ref="B81:E81"/>
    <mergeCell ref="B175:E175"/>
    <mergeCell ref="B176:E176"/>
    <mergeCell ref="B181:E181"/>
    <mergeCell ref="B182:E182"/>
    <mergeCell ref="B163:E163"/>
    <mergeCell ref="B164:E164"/>
    <mergeCell ref="B165:E165"/>
    <mergeCell ref="B170:E170"/>
    <mergeCell ref="B171:E171"/>
    <mergeCell ref="B168:E168"/>
    <mergeCell ref="B180:E180"/>
    <mergeCell ref="B167:E167"/>
    <mergeCell ref="B145:E145"/>
    <mergeCell ref="B146:E146"/>
    <mergeCell ref="B147:E147"/>
    <mergeCell ref="B155:E155"/>
    <mergeCell ref="B172:E172"/>
    <mergeCell ref="B153:E153"/>
    <mergeCell ref="B143:E143"/>
    <mergeCell ref="B148:E148"/>
    <mergeCell ref="B149:E149"/>
    <mergeCell ref="B150:E150"/>
    <mergeCell ref="B151:E151"/>
    <mergeCell ref="B35:E35"/>
    <mergeCell ref="B56:E56"/>
    <mergeCell ref="B43:E43"/>
    <mergeCell ref="B54:E54"/>
    <mergeCell ref="B53:E53"/>
    <mergeCell ref="B51:E51"/>
    <mergeCell ref="B57:E57"/>
    <mergeCell ref="B55:E55"/>
    <mergeCell ref="B41:E41"/>
    <mergeCell ref="B52:E52"/>
    <mergeCell ref="B44:E44"/>
    <mergeCell ref="B36:E36"/>
    <mergeCell ref="B37:E37"/>
    <mergeCell ref="B38:E38"/>
    <mergeCell ref="B39:E39"/>
    <mergeCell ref="B47:E47"/>
    <mergeCell ref="B48:E48"/>
    <mergeCell ref="B49:E49"/>
    <mergeCell ref="B50:E50"/>
    <mergeCell ref="A1:J1"/>
    <mergeCell ref="B4:E4"/>
    <mergeCell ref="B7:E7"/>
    <mergeCell ref="B13:E13"/>
    <mergeCell ref="B15:E15"/>
    <mergeCell ref="B16:E16"/>
    <mergeCell ref="B31:E31"/>
    <mergeCell ref="B23:E23"/>
    <mergeCell ref="B28:E28"/>
    <mergeCell ref="B30:E30"/>
    <mergeCell ref="B17:E17"/>
    <mergeCell ref="B18:E18"/>
    <mergeCell ref="B19:E19"/>
    <mergeCell ref="B20:E20"/>
    <mergeCell ref="B21:E21"/>
    <mergeCell ref="B32:E32"/>
    <mergeCell ref="B33:E33"/>
    <mergeCell ref="B34:E34"/>
    <mergeCell ref="B42:E42"/>
    <mergeCell ref="B84:E84"/>
    <mergeCell ref="B125:E125"/>
    <mergeCell ref="B45:E45"/>
    <mergeCell ref="B46:E46"/>
    <mergeCell ref="B95:E95"/>
    <mergeCell ref="B88:E88"/>
    <mergeCell ref="B89:E89"/>
    <mergeCell ref="B90:E90"/>
    <mergeCell ref="B101:E101"/>
    <mergeCell ref="B106:E106"/>
    <mergeCell ref="B112:E112"/>
    <mergeCell ref="B110:E110"/>
    <mergeCell ref="B96:E96"/>
    <mergeCell ref="B63:E63"/>
    <mergeCell ref="B74:E74"/>
    <mergeCell ref="B85:E85"/>
    <mergeCell ref="B65:E65"/>
    <mergeCell ref="B64:E64"/>
    <mergeCell ref="B97:E97"/>
    <mergeCell ref="B82:E82"/>
    <mergeCell ref="B183:E183"/>
    <mergeCell ref="B184:E184"/>
    <mergeCell ref="B185:E185"/>
    <mergeCell ref="B186:E186"/>
    <mergeCell ref="B187:E187"/>
    <mergeCell ref="B192:E192"/>
    <mergeCell ref="B188:E188"/>
    <mergeCell ref="B189:E189"/>
    <mergeCell ref="B190:E190"/>
    <mergeCell ref="B191:E191"/>
    <mergeCell ref="B211:E211"/>
    <mergeCell ref="B216:E216"/>
    <mergeCell ref="B24:E24"/>
    <mergeCell ref="B108:E108"/>
    <mergeCell ref="B121:E121"/>
    <mergeCell ref="B217:E217"/>
    <mergeCell ref="B203:E203"/>
    <mergeCell ref="B206:E206"/>
    <mergeCell ref="B207:E207"/>
    <mergeCell ref="B208:E208"/>
    <mergeCell ref="B209:E209"/>
    <mergeCell ref="B210:E210"/>
    <mergeCell ref="B193:E193"/>
    <mergeCell ref="B194:E194"/>
    <mergeCell ref="B195:E195"/>
    <mergeCell ref="B196:E196"/>
    <mergeCell ref="B197:E197"/>
    <mergeCell ref="B173:E173"/>
    <mergeCell ref="B174:E174"/>
    <mergeCell ref="B169:E169"/>
    <mergeCell ref="B177:E177"/>
    <mergeCell ref="B178:E178"/>
    <mergeCell ref="B179:E179"/>
    <mergeCell ref="B198:E198"/>
    <mergeCell ref="B252:E252"/>
    <mergeCell ref="B257:E257"/>
    <mergeCell ref="B258:E258"/>
    <mergeCell ref="B259:E259"/>
    <mergeCell ref="B266:E266"/>
    <mergeCell ref="B267:E267"/>
    <mergeCell ref="B268:E268"/>
    <mergeCell ref="B269:E269"/>
    <mergeCell ref="B271:E271"/>
    <mergeCell ref="B270:E270"/>
    <mergeCell ref="B276:E276"/>
    <mergeCell ref="B277:E277"/>
    <mergeCell ref="B278:E278"/>
    <mergeCell ref="B279:E279"/>
    <mergeCell ref="B280:E280"/>
    <mergeCell ref="B281:E281"/>
    <mergeCell ref="B420:E420"/>
    <mergeCell ref="B425:E425"/>
    <mergeCell ref="B426:E426"/>
    <mergeCell ref="B341:E341"/>
    <mergeCell ref="B342:E342"/>
    <mergeCell ref="B343:E343"/>
    <mergeCell ref="B344:E344"/>
    <mergeCell ref="B345:E345"/>
    <mergeCell ref="B332:E332"/>
    <mergeCell ref="B333:E333"/>
    <mergeCell ref="B334:E334"/>
    <mergeCell ref="B335:E335"/>
    <mergeCell ref="B350:E350"/>
    <mergeCell ref="B351:E351"/>
    <mergeCell ref="B352:E352"/>
    <mergeCell ref="B353:E353"/>
    <mergeCell ref="B354:E354"/>
    <mergeCell ref="B355:E355"/>
    <mergeCell ref="B427:E427"/>
    <mergeCell ref="B428:E428"/>
    <mergeCell ref="B429:E429"/>
    <mergeCell ref="B430:E430"/>
    <mergeCell ref="B431:E431"/>
    <mergeCell ref="B436:E436"/>
    <mergeCell ref="B437:E437"/>
    <mergeCell ref="B533:E533"/>
    <mergeCell ref="B534:E534"/>
    <mergeCell ref="B460:E460"/>
    <mergeCell ref="B465:E465"/>
    <mergeCell ref="B466:E466"/>
    <mergeCell ref="B467:E467"/>
    <mergeCell ref="B468:E468"/>
    <mergeCell ref="B473:E473"/>
    <mergeCell ref="B453:E453"/>
    <mergeCell ref="B454:E454"/>
    <mergeCell ref="B458:E458"/>
    <mergeCell ref="B459:E459"/>
    <mergeCell ref="B510:E510"/>
    <mergeCell ref="B535:E535"/>
    <mergeCell ref="B540:E540"/>
    <mergeCell ref="B541:E541"/>
    <mergeCell ref="B542:E542"/>
    <mergeCell ref="B474:E474"/>
    <mergeCell ref="B475:E475"/>
    <mergeCell ref="B476:E476"/>
    <mergeCell ref="B477:E477"/>
    <mergeCell ref="B528:E528"/>
    <mergeCell ref="B529:E529"/>
    <mergeCell ref="B493:E493"/>
    <mergeCell ref="B494:E494"/>
    <mergeCell ref="B495:E495"/>
    <mergeCell ref="B496:E496"/>
    <mergeCell ref="B497:E497"/>
    <mergeCell ref="B498:E498"/>
    <mergeCell ref="B503:E503"/>
    <mergeCell ref="B504:E504"/>
    <mergeCell ref="B505:E505"/>
    <mergeCell ref="B552:E552"/>
    <mergeCell ref="B557:E557"/>
    <mergeCell ref="B558:E558"/>
    <mergeCell ref="B559:E559"/>
    <mergeCell ref="B617:E617"/>
    <mergeCell ref="B618:E618"/>
    <mergeCell ref="B607:E607"/>
    <mergeCell ref="B608:E608"/>
    <mergeCell ref="B609:E609"/>
    <mergeCell ref="B614:E614"/>
    <mergeCell ref="B615:E615"/>
    <mergeCell ref="B616:E616"/>
    <mergeCell ref="B573:E573"/>
    <mergeCell ref="B578:E578"/>
    <mergeCell ref="B594:E594"/>
    <mergeCell ref="B595:E595"/>
    <mergeCell ref="B599:E599"/>
    <mergeCell ref="B600:E600"/>
    <mergeCell ref="B601:E601"/>
    <mergeCell ref="B606:E606"/>
    <mergeCell ref="B625:E625"/>
    <mergeCell ref="B626:E626"/>
    <mergeCell ref="B627:E627"/>
    <mergeCell ref="B628:E628"/>
    <mergeCell ref="B633:E633"/>
    <mergeCell ref="B634:E634"/>
    <mergeCell ref="B635:E635"/>
    <mergeCell ref="B636:E636"/>
    <mergeCell ref="B637:E637"/>
    <mergeCell ref="B692:E692"/>
    <mergeCell ref="B693:E693"/>
    <mergeCell ref="B674:E674"/>
    <mergeCell ref="B675:E675"/>
    <mergeCell ref="B676:E676"/>
    <mergeCell ref="B681:E681"/>
    <mergeCell ref="B682:E682"/>
    <mergeCell ref="B683:E683"/>
    <mergeCell ref="B638:E638"/>
    <mergeCell ref="B639:E639"/>
    <mergeCell ref="B644:E644"/>
    <mergeCell ref="B669:E669"/>
    <mergeCell ref="B670:E670"/>
    <mergeCell ref="B684:E684"/>
    <mergeCell ref="B689:E689"/>
    <mergeCell ref="B690:E690"/>
    <mergeCell ref="B691:E691"/>
    <mergeCell ref="B653:E653"/>
    <mergeCell ref="B652:E652"/>
  </mergeCells>
  <conditionalFormatting sqref="B19:P20 R19:R20 B524:F524 B526:F526 B528:K529 B531:F531 B533:M536 B538:F538 B540:M544 B546:F546 B548:M553 B555:F555 B557:I563 B565:F565 B567:I574 B582:F582 B590:E590 B592:F592 B594:K595 B597:F597 B599:M602 B604:F604 B606:M610 B612:F612 B614:M619 B621:F621 B623:I629 B631:F631 B633:I640 B642:F642 B644:I647 B649:F649 B651:I654 B657:F657 B659:C662 B74:P95 R74:R95 B578:I580 B584:C586 B171:P192 R171:R192 B227:G227">
    <cfRule type="expression" dxfId="54" priority="5">
      <formula>$B$7="gas"</formula>
    </cfRule>
  </conditionalFormatting>
  <conditionalFormatting sqref="B576:F576">
    <cfRule type="expression" dxfId="53" priority="4">
      <formula>$B$7="gas"</formula>
    </cfRule>
  </conditionalFormatting>
  <conditionalFormatting sqref="B587:C587">
    <cfRule type="expression" dxfId="52" priority="3">
      <formula>$B$7="gas"</formula>
    </cfRule>
  </conditionalFormatting>
  <conditionalFormatting sqref="B581:F581">
    <cfRule type="expression" dxfId="51" priority="2">
      <formula>$B$7="gas"</formula>
    </cfRule>
  </conditionalFormatting>
  <conditionalFormatting sqref="B656:F656">
    <cfRule type="expression" dxfId="50" priority="1">
      <formula>$B$7="gas"</formula>
    </cfRule>
  </conditionalFormatting>
  <pageMargins left="0.70866141732283472" right="0.70866141732283472" top="0.74803149606299213" bottom="0.74803149606299213" header="0.31496062992125984" footer="0.31496062992125984"/>
  <pageSetup paperSize="8" scale="27" fitToWidth="2" fitToHeight="2" orientation="portrait" r:id="rId1"/>
  <rowBreaks count="1" manualBreakCount="1">
    <brk id="121" max="13" man="1"/>
  </rowBreaks>
  <ignoredErrors>
    <ignoredError sqref="G128 R15:R16 P193 P182 P160 P149 P171 P138 G149:K149 R31:R37 G129:K132 R128 P129:P132 G138:K138 P139:P143 G160:K160 P161:P165 G171:K171 P172:P176 G182:K182 P183:P187 G193:K193 P194:P198 P150:P154 R20 J143 H139:K139 G140 I140:K140 H141 J141:K141 I142 K142 J154 H150:K150 G151 I151:K151 H152 J152:K152 I153 K153 J165 H161:K161 G162 I162:K162 H163 J163:K163 I164 K164 J176 H172:K172 G173 I173:K173 H174 J174:K174 I175 K175 I187:J187 H183:K183 G184 I184:K184 H185 J185:K185 I186 K186 H194:K194 G195 I195:K195 H196 J196:K196 K197 G33:G38 H34:H38 I35:I38 J36:J38 K37:K38 L38 R21 R193 R182 R160 R149 R171 R138 R1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pageSetUpPr fitToPage="1"/>
  </sheetPr>
  <dimension ref="A1:AD107"/>
  <sheetViews>
    <sheetView zoomScale="90" zoomScaleNormal="90" zoomScaleSheetLayoutView="80" workbookViewId="0">
      <selection activeCell="G72" sqref="G72"/>
    </sheetView>
  </sheetViews>
  <sheetFormatPr defaultColWidth="11.453125" defaultRowHeight="12.5" x14ac:dyDescent="0.25"/>
  <cols>
    <col min="1" max="1" width="19.7265625" style="178" customWidth="1"/>
    <col min="2" max="2" width="14.81640625" style="178" customWidth="1"/>
    <col min="3" max="14" width="20.7265625" style="178" customWidth="1"/>
    <col min="15" max="15" width="14" style="178" customWidth="1"/>
    <col min="16" max="16" width="11.453125" style="178"/>
    <col min="17" max="17" width="12.26953125" style="178" bestFit="1" customWidth="1"/>
    <col min="18" max="16384" width="11.453125" style="178"/>
  </cols>
  <sheetData>
    <row r="1" spans="1:30" ht="24.65" customHeight="1" thickBot="1" x14ac:dyDescent="0.3">
      <c r="A1" s="1274" t="s">
        <v>244</v>
      </c>
      <c r="B1" s="1275"/>
      <c r="C1" s="1275"/>
      <c r="D1" s="1275"/>
      <c r="E1" s="1275"/>
      <c r="F1" s="1275"/>
      <c r="G1" s="1275"/>
      <c r="H1" s="1275"/>
      <c r="I1" s="1275"/>
      <c r="J1" s="1275"/>
      <c r="K1" s="1276"/>
      <c r="L1" s="229"/>
      <c r="M1" s="230"/>
      <c r="N1" s="230"/>
      <c r="O1" s="231"/>
      <c r="P1" s="231"/>
      <c r="Q1" s="231"/>
    </row>
    <row r="2" spans="1:30" x14ac:dyDescent="0.25">
      <c r="A2" s="232"/>
      <c r="B2" s="232"/>
      <c r="C2" s="232"/>
      <c r="D2" s="232"/>
      <c r="E2" s="232"/>
      <c r="F2" s="232"/>
      <c r="G2" s="232"/>
      <c r="H2" s="232"/>
      <c r="I2" s="232"/>
      <c r="J2" s="232"/>
      <c r="K2" s="232"/>
      <c r="L2" s="233"/>
      <c r="M2" s="288"/>
      <c r="N2" s="288"/>
      <c r="O2" s="237"/>
      <c r="P2" s="237"/>
      <c r="Q2" s="237"/>
    </row>
    <row r="3" spans="1:30" ht="13" thickBot="1" x14ac:dyDescent="0.3">
      <c r="A3" s="232"/>
      <c r="B3" s="232"/>
      <c r="C3" s="232"/>
      <c r="D3" s="232"/>
      <c r="E3" s="232"/>
      <c r="F3" s="232"/>
      <c r="G3" s="232"/>
      <c r="H3" s="232"/>
      <c r="I3" s="232"/>
      <c r="J3" s="232"/>
      <c r="K3" s="232"/>
      <c r="L3" s="233"/>
      <c r="M3" s="288"/>
      <c r="N3" s="288"/>
      <c r="O3" s="237"/>
      <c r="P3" s="237"/>
      <c r="Q3" s="237"/>
    </row>
    <row r="4" spans="1:30" s="179" customFormat="1" ht="18.649999999999999" customHeight="1" thickBot="1" x14ac:dyDescent="0.3">
      <c r="A4" s="1217" t="s">
        <v>245</v>
      </c>
      <c r="B4" s="1218"/>
      <c r="C4" s="1218"/>
      <c r="D4" s="1218"/>
      <c r="E4" s="1218"/>
      <c r="F4" s="1218"/>
      <c r="G4" s="1218"/>
      <c r="H4" s="1218"/>
      <c r="I4" s="1218"/>
      <c r="J4" s="1218"/>
      <c r="K4" s="1219"/>
      <c r="L4" s="235"/>
      <c r="M4" s="289"/>
      <c r="N4" s="237" t="str">
        <f>+TITELBLAD!B16</f>
        <v>Rapportering over boekjaar:</v>
      </c>
      <c r="O4" s="237">
        <f>+TITELBLAD!E16</f>
        <v>2021</v>
      </c>
      <c r="P4" s="237" t="str">
        <f>+TITELBLAD!F16</f>
        <v>ex-ante</v>
      </c>
      <c r="Q4" s="237"/>
      <c r="R4" s="178"/>
      <c r="S4" s="178"/>
      <c r="T4" s="178"/>
      <c r="U4" s="178"/>
      <c r="V4" s="178"/>
      <c r="W4" s="178"/>
      <c r="X4" s="178"/>
      <c r="Y4" s="178"/>
      <c r="Z4" s="178"/>
      <c r="AA4" s="178"/>
      <c r="AB4" s="178"/>
      <c r="AC4" s="178"/>
      <c r="AD4" s="178"/>
    </row>
    <row r="5" spans="1:30" ht="13" thickBot="1" x14ac:dyDescent="0.3">
      <c r="M5" s="237"/>
      <c r="N5" s="237"/>
      <c r="O5" s="237"/>
      <c r="P5" s="237"/>
      <c r="Q5" s="237"/>
    </row>
    <row r="6" spans="1:30" ht="17" thickBot="1" x14ac:dyDescent="0.3">
      <c r="C6" s="1220" t="str">
        <f>+TITELBLAD!C7</f>
        <v>NAAM DNB</v>
      </c>
      <c r="D6" s="1221"/>
      <c r="E6" s="1221"/>
      <c r="F6" s="1221"/>
      <c r="G6" s="1221"/>
      <c r="H6" s="1221"/>
      <c r="I6" s="1222"/>
      <c r="M6" s="237"/>
      <c r="N6" s="237"/>
      <c r="O6" s="237"/>
      <c r="P6" s="237"/>
      <c r="Q6" s="237"/>
    </row>
    <row r="7" spans="1:30" ht="17" thickBot="1" x14ac:dyDescent="0.3">
      <c r="C7" s="1220" t="str">
        <f>+TITELBLAD!C10</f>
        <v>elektriciteit</v>
      </c>
      <c r="D7" s="1221"/>
      <c r="E7" s="1221"/>
      <c r="F7" s="1221"/>
      <c r="G7" s="1221"/>
      <c r="H7" s="1221"/>
      <c r="I7" s="1222"/>
      <c r="M7" s="237"/>
      <c r="N7" s="237"/>
      <c r="O7" s="237"/>
      <c r="P7" s="237"/>
    </row>
    <row r="8" spans="1:30" s="179" customFormat="1" ht="17" thickBot="1" x14ac:dyDescent="0.3">
      <c r="A8" s="178"/>
      <c r="B8" s="178"/>
      <c r="C8" s="1220" t="s">
        <v>30</v>
      </c>
      <c r="D8" s="1221"/>
      <c r="E8" s="1221"/>
      <c r="F8" s="1221"/>
      <c r="G8" s="1221"/>
      <c r="H8" s="1221"/>
      <c r="I8" s="1222"/>
      <c r="J8" s="178"/>
      <c r="K8" s="178"/>
      <c r="L8" s="178"/>
      <c r="M8" s="178"/>
      <c r="N8" s="178"/>
      <c r="O8" s="178"/>
      <c r="P8" s="178"/>
      <c r="Q8" s="178"/>
      <c r="R8" s="178"/>
      <c r="S8" s="178"/>
      <c r="T8" s="178"/>
      <c r="U8" s="178"/>
      <c r="V8" s="178"/>
      <c r="W8" s="178"/>
      <c r="X8" s="178"/>
      <c r="Y8" s="178"/>
      <c r="Z8" s="178"/>
      <c r="AA8" s="178"/>
      <c r="AB8" s="178"/>
      <c r="AC8" s="178"/>
      <c r="AD8" s="178"/>
    </row>
    <row r="9" spans="1:30" s="179" customFormat="1" ht="13.5" thickBot="1" x14ac:dyDescent="0.3">
      <c r="A9" s="178"/>
      <c r="B9" s="178"/>
      <c r="C9" s="238">
        <v>2015</v>
      </c>
      <c r="D9" s="239">
        <v>2016</v>
      </c>
      <c r="E9" s="239">
        <v>2017</v>
      </c>
      <c r="F9" s="239">
        <v>2018</v>
      </c>
      <c r="G9" s="239">
        <v>2019</v>
      </c>
      <c r="H9" s="239">
        <v>2020</v>
      </c>
      <c r="I9" s="239">
        <v>2021</v>
      </c>
      <c r="J9" s="178"/>
      <c r="K9" s="178"/>
      <c r="L9" s="178"/>
      <c r="M9" s="178"/>
      <c r="N9" s="178"/>
      <c r="O9" s="178"/>
      <c r="P9" s="178"/>
      <c r="Q9" s="178"/>
      <c r="R9" s="178"/>
      <c r="S9" s="178"/>
      <c r="T9" s="178"/>
      <c r="U9" s="178"/>
      <c r="V9" s="178"/>
      <c r="W9" s="178"/>
      <c r="X9" s="178"/>
      <c r="Y9" s="178"/>
      <c r="Z9" s="178"/>
      <c r="AA9" s="178"/>
      <c r="AB9" s="178"/>
      <c r="AC9" s="178"/>
      <c r="AD9" s="178"/>
    </row>
    <row r="10" spans="1:30" s="179" customFormat="1" x14ac:dyDescent="0.25">
      <c r="A10" s="178"/>
      <c r="B10" s="178"/>
      <c r="C10" s="986">
        <v>0</v>
      </c>
      <c r="D10" s="987">
        <v>0</v>
      </c>
      <c r="E10" s="987">
        <v>0</v>
      </c>
      <c r="F10" s="987">
        <v>0</v>
      </c>
      <c r="G10" s="987">
        <v>0</v>
      </c>
      <c r="H10" s="987">
        <v>0</v>
      </c>
      <c r="I10" s="987">
        <v>0</v>
      </c>
      <c r="J10" s="178"/>
      <c r="K10" s="178"/>
      <c r="L10" s="178"/>
      <c r="M10" s="178"/>
      <c r="N10" s="178"/>
      <c r="O10" s="178"/>
      <c r="P10" s="178"/>
      <c r="Q10" s="178"/>
      <c r="R10" s="178"/>
      <c r="S10" s="178"/>
      <c r="T10" s="178"/>
      <c r="U10" s="178"/>
      <c r="V10" s="178"/>
      <c r="W10" s="178"/>
      <c r="X10" s="178"/>
      <c r="Y10" s="178"/>
      <c r="Z10" s="178"/>
      <c r="AA10" s="178"/>
      <c r="AB10" s="178"/>
      <c r="AC10" s="178"/>
      <c r="AD10" s="178"/>
    </row>
    <row r="11" spans="1:30" s="240" customFormat="1" ht="13" x14ac:dyDescent="0.25">
      <c r="C11" s="241" t="s">
        <v>41</v>
      </c>
      <c r="F11" s="242"/>
      <c r="G11" s="242"/>
      <c r="H11" s="242"/>
      <c r="I11" s="242"/>
    </row>
    <row r="12" spans="1:30" s="240" customFormat="1" ht="13" x14ac:dyDescent="0.25">
      <c r="C12" s="243" t="s">
        <v>166</v>
      </c>
    </row>
    <row r="13" spans="1:30" s="240" customFormat="1" ht="13" x14ac:dyDescent="0.25">
      <c r="C13" s="243"/>
    </row>
    <row r="14" spans="1:30" ht="13" thickBot="1" x14ac:dyDescent="0.3">
      <c r="C14" s="244"/>
    </row>
    <row r="15" spans="1:30" ht="21.75" customHeight="1" thickBot="1" x14ac:dyDescent="0.3">
      <c r="A15" s="1217" t="s">
        <v>18</v>
      </c>
      <c r="B15" s="1218"/>
      <c r="C15" s="1218"/>
      <c r="D15" s="1218"/>
      <c r="E15" s="1218"/>
      <c r="F15" s="1218"/>
      <c r="G15" s="1218"/>
      <c r="H15" s="1218"/>
      <c r="I15" s="1218"/>
      <c r="J15" s="1218"/>
      <c r="K15" s="1219"/>
      <c r="L15" s="1271"/>
      <c r="M15" s="1272"/>
    </row>
    <row r="17" spans="1:30" ht="13" x14ac:dyDescent="0.25">
      <c r="C17" s="241" t="s">
        <v>41</v>
      </c>
    </row>
    <row r="18" spans="1:30" ht="13" x14ac:dyDescent="0.25">
      <c r="C18" s="243" t="s">
        <v>166</v>
      </c>
    </row>
    <row r="19" spans="1:30" ht="16.5" x14ac:dyDescent="0.25">
      <c r="C19" s="1210" t="s">
        <v>19</v>
      </c>
      <c r="D19" s="1211"/>
      <c r="E19" s="1211"/>
      <c r="F19" s="1211"/>
      <c r="G19" s="1211"/>
      <c r="H19" s="1211"/>
      <c r="I19" s="1212"/>
      <c r="K19" s="245" t="s">
        <v>20</v>
      </c>
    </row>
    <row r="20" spans="1:30" ht="13.5" thickBot="1" x14ac:dyDescent="0.3">
      <c r="A20" s="1213"/>
      <c r="B20" s="1213"/>
      <c r="C20" s="246">
        <f t="shared" ref="C20:I20" si="0">C9</f>
        <v>2015</v>
      </c>
      <c r="D20" s="247">
        <f t="shared" si="0"/>
        <v>2016</v>
      </c>
      <c r="E20" s="247">
        <f t="shared" si="0"/>
        <v>2017</v>
      </c>
      <c r="F20" s="247">
        <f t="shared" si="0"/>
        <v>2018</v>
      </c>
      <c r="G20" s="247">
        <f t="shared" si="0"/>
        <v>2019</v>
      </c>
      <c r="H20" s="247">
        <f t="shared" si="0"/>
        <v>2020</v>
      </c>
      <c r="I20" s="247">
        <f t="shared" si="0"/>
        <v>2021</v>
      </c>
      <c r="K20" s="248"/>
    </row>
    <row r="21" spans="1:30" s="179" customFormat="1" ht="12.75" customHeight="1" thickBot="1" x14ac:dyDescent="0.3">
      <c r="A21" s="1214" t="s">
        <v>21</v>
      </c>
      <c r="B21" s="249">
        <f>C9</f>
        <v>2015</v>
      </c>
      <c r="C21" s="989">
        <v>0</v>
      </c>
      <c r="D21" s="250"/>
      <c r="E21" s="250"/>
      <c r="F21" s="250"/>
      <c r="G21" s="250"/>
      <c r="H21" s="250"/>
      <c r="I21" s="251"/>
      <c r="J21" s="252"/>
      <c r="K21" s="253">
        <f>SUM(C21:I21)</f>
        <v>0</v>
      </c>
      <c r="L21" s="178"/>
      <c r="M21" s="178"/>
      <c r="N21" s="178"/>
      <c r="O21" s="178"/>
      <c r="P21" s="178"/>
      <c r="Q21" s="178"/>
      <c r="R21" s="178"/>
      <c r="S21" s="178"/>
      <c r="T21" s="178"/>
      <c r="U21" s="178"/>
      <c r="V21" s="178"/>
      <c r="W21" s="178"/>
      <c r="X21" s="178"/>
      <c r="Y21" s="178"/>
      <c r="Z21" s="178"/>
      <c r="AA21" s="178"/>
      <c r="AB21" s="178"/>
      <c r="AC21" s="178"/>
      <c r="AD21" s="178"/>
    </row>
    <row r="22" spans="1:30" s="179" customFormat="1" ht="13.5" customHeight="1" thickBot="1" x14ac:dyDescent="0.3">
      <c r="A22" s="1215"/>
      <c r="B22" s="254">
        <f>D9</f>
        <v>2016</v>
      </c>
      <c r="C22" s="255">
        <f>C10-C21</f>
        <v>0</v>
      </c>
      <c r="D22" s="989">
        <v>0</v>
      </c>
      <c r="E22" s="256"/>
      <c r="F22" s="256"/>
      <c r="G22" s="256"/>
      <c r="H22" s="256"/>
      <c r="I22" s="257"/>
      <c r="J22" s="252"/>
      <c r="K22" s="253">
        <f t="shared" ref="K22:K27" si="1">SUM(C22:I22)</f>
        <v>0</v>
      </c>
      <c r="L22" s="178"/>
      <c r="M22" s="178"/>
      <c r="N22" s="178"/>
      <c r="O22" s="178"/>
      <c r="P22" s="178"/>
      <c r="Q22" s="178"/>
      <c r="R22" s="178"/>
      <c r="S22" s="178"/>
      <c r="T22" s="178"/>
      <c r="U22" s="178"/>
      <c r="V22" s="178"/>
      <c r="W22" s="178"/>
      <c r="X22" s="178"/>
      <c r="Y22" s="178"/>
      <c r="Z22" s="178"/>
      <c r="AA22" s="178"/>
      <c r="AB22" s="178"/>
      <c r="AC22" s="178"/>
      <c r="AD22" s="178"/>
    </row>
    <row r="23" spans="1:30" s="179" customFormat="1" ht="13.5" customHeight="1" thickBot="1" x14ac:dyDescent="0.3">
      <c r="A23" s="1215"/>
      <c r="B23" s="254">
        <f>E9</f>
        <v>2017</v>
      </c>
      <c r="C23" s="258"/>
      <c r="D23" s="255">
        <f>D10-D22</f>
        <v>0</v>
      </c>
      <c r="E23" s="989">
        <v>0</v>
      </c>
      <c r="F23" s="256"/>
      <c r="G23" s="256"/>
      <c r="H23" s="256"/>
      <c r="I23" s="257"/>
      <c r="J23" s="252"/>
      <c r="K23" s="253">
        <f t="shared" si="1"/>
        <v>0</v>
      </c>
      <c r="L23" s="178"/>
      <c r="M23" s="178"/>
      <c r="N23" s="178"/>
      <c r="O23" s="178"/>
      <c r="P23" s="178"/>
      <c r="Q23" s="178"/>
      <c r="R23" s="178"/>
      <c r="S23" s="178"/>
      <c r="T23" s="178"/>
      <c r="U23" s="178"/>
      <c r="V23" s="178"/>
      <c r="W23" s="178"/>
      <c r="X23" s="178"/>
      <c r="Y23" s="178"/>
      <c r="Z23" s="178"/>
      <c r="AA23" s="178"/>
      <c r="AB23" s="178"/>
      <c r="AC23" s="178"/>
      <c r="AD23" s="178"/>
    </row>
    <row r="24" spans="1:30" s="179" customFormat="1" ht="13.5" customHeight="1" thickBot="1" x14ac:dyDescent="0.3">
      <c r="A24" s="1215"/>
      <c r="B24" s="254">
        <f>F9</f>
        <v>2018</v>
      </c>
      <c r="C24" s="258"/>
      <c r="D24" s="256"/>
      <c r="E24" s="255">
        <f>E10-E23</f>
        <v>0</v>
      </c>
      <c r="F24" s="989">
        <v>0</v>
      </c>
      <c r="G24" s="256"/>
      <c r="H24" s="256"/>
      <c r="I24" s="257"/>
      <c r="J24" s="252"/>
      <c r="K24" s="253">
        <f t="shared" si="1"/>
        <v>0</v>
      </c>
      <c r="L24" s="178"/>
      <c r="M24" s="178"/>
      <c r="N24" s="178"/>
      <c r="O24" s="178"/>
      <c r="P24" s="178"/>
      <c r="Q24" s="178"/>
      <c r="R24" s="178"/>
      <c r="S24" s="178"/>
      <c r="T24" s="178"/>
      <c r="U24" s="178"/>
      <c r="V24" s="178"/>
      <c r="W24" s="178"/>
      <c r="X24" s="178"/>
      <c r="Y24" s="178"/>
      <c r="Z24" s="178"/>
      <c r="AA24" s="178"/>
      <c r="AB24" s="178"/>
      <c r="AC24" s="178"/>
      <c r="AD24" s="178"/>
    </row>
    <row r="25" spans="1:30" s="179" customFormat="1" ht="13.5" customHeight="1" thickBot="1" x14ac:dyDescent="0.3">
      <c r="A25" s="1215"/>
      <c r="B25" s="254">
        <f>G9</f>
        <v>2019</v>
      </c>
      <c r="C25" s="258"/>
      <c r="D25" s="256"/>
      <c r="E25" s="256"/>
      <c r="F25" s="255">
        <f>F$10-F24</f>
        <v>0</v>
      </c>
      <c r="G25" s="989">
        <v>0</v>
      </c>
      <c r="H25" s="256"/>
      <c r="I25" s="257"/>
      <c r="J25" s="252"/>
      <c r="K25" s="253">
        <f t="shared" si="1"/>
        <v>0</v>
      </c>
      <c r="L25" s="178"/>
      <c r="M25" s="178"/>
      <c r="N25" s="178"/>
      <c r="O25" s="178"/>
      <c r="P25" s="178"/>
      <c r="Q25" s="178"/>
      <c r="R25" s="178"/>
      <c r="S25" s="178"/>
      <c r="T25" s="178"/>
      <c r="U25" s="178"/>
      <c r="V25" s="178"/>
      <c r="W25" s="178"/>
      <c r="X25" s="178"/>
      <c r="Y25" s="178"/>
      <c r="Z25" s="178"/>
      <c r="AA25" s="178"/>
      <c r="AB25" s="178"/>
      <c r="AC25" s="178"/>
      <c r="AD25" s="178"/>
    </row>
    <row r="26" spans="1:30" s="179" customFormat="1" ht="13.5" customHeight="1" thickBot="1" x14ac:dyDescent="0.3">
      <c r="A26" s="1215"/>
      <c r="B26" s="254">
        <f>H9</f>
        <v>2020</v>
      </c>
      <c r="C26" s="258"/>
      <c r="D26" s="256"/>
      <c r="E26" s="256"/>
      <c r="F26" s="259"/>
      <c r="G26" s="255">
        <f>G$10-G25</f>
        <v>0</v>
      </c>
      <c r="H26" s="989">
        <v>0</v>
      </c>
      <c r="I26" s="257"/>
      <c r="J26" s="252"/>
      <c r="K26" s="253">
        <f t="shared" si="1"/>
        <v>0</v>
      </c>
      <c r="L26" s="178"/>
      <c r="M26" s="178"/>
      <c r="N26" s="178"/>
      <c r="O26" s="178"/>
      <c r="P26" s="178"/>
      <c r="Q26" s="178"/>
      <c r="R26" s="178"/>
      <c r="S26" s="178"/>
      <c r="T26" s="178"/>
      <c r="U26" s="178"/>
      <c r="V26" s="178"/>
      <c r="W26" s="178"/>
      <c r="X26" s="178"/>
      <c r="Y26" s="178"/>
      <c r="Z26" s="178"/>
      <c r="AA26" s="178"/>
      <c r="AB26" s="178"/>
      <c r="AC26" s="178"/>
      <c r="AD26" s="178"/>
    </row>
    <row r="27" spans="1:30" s="179" customFormat="1" ht="13.5" customHeight="1" thickBot="1" x14ac:dyDescent="0.3">
      <c r="A27" s="1215"/>
      <c r="B27" s="254">
        <f>I9</f>
        <v>2021</v>
      </c>
      <c r="C27" s="258"/>
      <c r="D27" s="256"/>
      <c r="E27" s="256"/>
      <c r="F27" s="256"/>
      <c r="G27" s="256"/>
      <c r="H27" s="260">
        <f>H$10-H26</f>
        <v>0</v>
      </c>
      <c r="I27" s="989">
        <v>0</v>
      </c>
      <c r="J27" s="252"/>
      <c r="K27" s="253">
        <f t="shared" si="1"/>
        <v>0</v>
      </c>
      <c r="L27" s="178"/>
      <c r="M27" s="178"/>
      <c r="N27" s="178"/>
      <c r="O27" s="178"/>
      <c r="P27" s="178"/>
      <c r="Q27" s="178"/>
      <c r="R27" s="178"/>
      <c r="S27" s="178"/>
      <c r="T27" s="178"/>
      <c r="U27" s="178"/>
      <c r="V27" s="178"/>
      <c r="W27" s="178"/>
      <c r="X27" s="178"/>
      <c r="Y27" s="178"/>
      <c r="Z27" s="178"/>
      <c r="AA27" s="178"/>
      <c r="AB27" s="178"/>
      <c r="AC27" s="178"/>
      <c r="AD27" s="178"/>
    </row>
    <row r="28" spans="1:30" s="265" customFormat="1" ht="15.5" x14ac:dyDescent="0.25">
      <c r="A28" s="1216"/>
      <c r="B28" s="331" t="s">
        <v>22</v>
      </c>
      <c r="C28" s="261">
        <f t="shared" ref="C28:I28" si="2">SUM(C21:C27)</f>
        <v>0</v>
      </c>
      <c r="D28" s="261">
        <f t="shared" si="2"/>
        <v>0</v>
      </c>
      <c r="E28" s="261">
        <f t="shared" si="2"/>
        <v>0</v>
      </c>
      <c r="F28" s="261">
        <f t="shared" si="2"/>
        <v>0</v>
      </c>
      <c r="G28" s="261">
        <f t="shared" si="2"/>
        <v>0</v>
      </c>
      <c r="H28" s="261">
        <f t="shared" si="2"/>
        <v>0</v>
      </c>
      <c r="I28" s="330">
        <f t="shared" si="2"/>
        <v>0</v>
      </c>
      <c r="J28" s="262"/>
      <c r="K28" s="263">
        <f>SUM(K21:K27)</f>
        <v>0</v>
      </c>
      <c r="L28" s="264"/>
      <c r="M28" s="264"/>
      <c r="N28" s="264"/>
      <c r="O28" s="264"/>
      <c r="P28" s="264"/>
      <c r="Q28" s="264"/>
      <c r="R28" s="264"/>
      <c r="S28" s="264"/>
      <c r="T28" s="264"/>
      <c r="U28" s="264"/>
      <c r="V28" s="264"/>
      <c r="W28" s="264"/>
      <c r="X28" s="264"/>
      <c r="Y28" s="264"/>
      <c r="Z28" s="264"/>
      <c r="AA28" s="264"/>
      <c r="AB28" s="264"/>
      <c r="AC28" s="264"/>
      <c r="AD28" s="264"/>
    </row>
    <row r="29" spans="1:30" s="243" customFormat="1" ht="15.75" customHeight="1" x14ac:dyDescent="0.25">
      <c r="A29" s="266" t="s">
        <v>34</v>
      </c>
      <c r="C29" s="267">
        <f>+C28+C42</f>
        <v>0</v>
      </c>
      <c r="D29" s="267">
        <f>+D28+D42</f>
        <v>0</v>
      </c>
      <c r="E29" s="267">
        <f>+E28+E42</f>
        <v>0</v>
      </c>
      <c r="F29" s="267">
        <f>+F28+F42</f>
        <v>0</v>
      </c>
      <c r="G29" s="267">
        <f>+G28+G42</f>
        <v>0</v>
      </c>
      <c r="H29" s="267">
        <f t="shared" ref="H29:I29" si="3">+H28+H42</f>
        <v>0</v>
      </c>
      <c r="I29" s="267">
        <f t="shared" si="3"/>
        <v>0</v>
      </c>
      <c r="J29" s="267"/>
      <c r="K29" s="267">
        <f>+K28+K42</f>
        <v>0</v>
      </c>
      <c r="L29" s="267"/>
    </row>
    <row r="30" spans="1:30" s="268" customFormat="1" ht="13" x14ac:dyDescent="0.25">
      <c r="A30" s="243"/>
      <c r="B30" s="243"/>
      <c r="C30" s="267"/>
      <c r="D30" s="267"/>
      <c r="E30" s="267"/>
      <c r="F30" s="267"/>
      <c r="G30" s="267"/>
      <c r="H30" s="267"/>
      <c r="I30" s="267"/>
      <c r="J30" s="243"/>
      <c r="K30" s="243"/>
      <c r="L30" s="243"/>
      <c r="M30" s="243"/>
      <c r="N30" s="243"/>
      <c r="O30" s="243"/>
      <c r="P30" s="243"/>
      <c r="Q30" s="243"/>
      <c r="R30" s="243"/>
      <c r="S30" s="243"/>
      <c r="T30" s="243"/>
      <c r="U30" s="243"/>
      <c r="V30" s="243"/>
      <c r="W30" s="243"/>
      <c r="X30" s="243"/>
      <c r="Y30" s="243"/>
      <c r="Z30" s="243"/>
      <c r="AA30" s="243"/>
      <c r="AB30" s="243"/>
      <c r="AC30" s="243"/>
      <c r="AD30" s="243"/>
    </row>
    <row r="31" spans="1:30" s="268" customFormat="1" ht="13" x14ac:dyDescent="0.25">
      <c r="A31" s="243"/>
      <c r="B31" s="243"/>
      <c r="C31" s="241" t="s">
        <v>32</v>
      </c>
      <c r="D31" s="267"/>
      <c r="E31" s="267"/>
      <c r="F31" s="267"/>
      <c r="G31" s="267"/>
      <c r="H31" s="267"/>
      <c r="I31" s="267"/>
      <c r="J31" s="243"/>
      <c r="K31" s="243"/>
      <c r="L31" s="243"/>
      <c r="M31" s="243"/>
      <c r="N31" s="243"/>
      <c r="O31" s="243"/>
      <c r="P31" s="243"/>
      <c r="Q31" s="243"/>
      <c r="R31" s="243"/>
      <c r="S31" s="243"/>
      <c r="T31" s="243"/>
      <c r="U31" s="243"/>
      <c r="V31" s="243"/>
      <c r="W31" s="243"/>
      <c r="X31" s="243"/>
      <c r="Y31" s="243"/>
      <c r="Z31" s="243"/>
      <c r="AA31" s="243"/>
      <c r="AB31" s="243"/>
      <c r="AC31" s="243"/>
      <c r="AD31" s="243"/>
    </row>
    <row r="32" spans="1:30" s="268" customFormat="1" ht="13" x14ac:dyDescent="0.25">
      <c r="A32" s="243"/>
      <c r="B32" s="243"/>
      <c r="C32" s="241" t="s">
        <v>33</v>
      </c>
      <c r="D32" s="267"/>
      <c r="E32" s="267"/>
      <c r="F32" s="267"/>
      <c r="G32" s="267"/>
      <c r="H32" s="267"/>
      <c r="I32" s="267"/>
      <c r="J32" s="243"/>
      <c r="K32" s="243"/>
      <c r="L32" s="243"/>
      <c r="M32" s="243"/>
      <c r="N32" s="243"/>
      <c r="O32" s="243"/>
      <c r="P32" s="243"/>
      <c r="Q32" s="243"/>
      <c r="R32" s="243"/>
      <c r="S32" s="243"/>
      <c r="T32" s="243"/>
      <c r="U32" s="243"/>
      <c r="V32" s="243"/>
      <c r="W32" s="243"/>
      <c r="X32" s="243"/>
      <c r="Y32" s="243"/>
      <c r="Z32" s="243"/>
      <c r="AA32" s="243"/>
      <c r="AB32" s="243"/>
      <c r="AC32" s="243"/>
      <c r="AD32" s="243"/>
    </row>
    <row r="33" spans="1:30" s="179" customFormat="1" ht="16.5" x14ac:dyDescent="0.25">
      <c r="A33" s="178"/>
      <c r="B33" s="178"/>
      <c r="C33" s="1201" t="s">
        <v>19</v>
      </c>
      <c r="D33" s="1202"/>
      <c r="E33" s="1202"/>
      <c r="F33" s="1202"/>
      <c r="G33" s="1202"/>
      <c r="H33" s="1202"/>
      <c r="I33" s="1203"/>
      <c r="J33" s="178"/>
      <c r="K33" s="245" t="s">
        <v>20</v>
      </c>
      <c r="L33" s="178"/>
      <c r="M33" s="245" t="s">
        <v>20</v>
      </c>
      <c r="N33" s="178"/>
      <c r="O33" s="178"/>
      <c r="P33" s="178"/>
      <c r="Q33" s="178"/>
      <c r="R33" s="178"/>
      <c r="S33" s="178"/>
      <c r="T33" s="178"/>
      <c r="U33" s="178"/>
      <c r="V33" s="178"/>
      <c r="W33" s="178"/>
      <c r="X33" s="178"/>
      <c r="Y33" s="178"/>
      <c r="Z33" s="178"/>
      <c r="AA33" s="178"/>
      <c r="AB33" s="178"/>
      <c r="AC33" s="178"/>
      <c r="AD33" s="178"/>
    </row>
    <row r="34" spans="1:30" s="179" customFormat="1" x14ac:dyDescent="0.25">
      <c r="A34" s="178"/>
      <c r="B34" s="178"/>
      <c r="C34" s="247">
        <f t="shared" ref="C34:I34" si="4">C20</f>
        <v>2015</v>
      </c>
      <c r="D34" s="247">
        <f t="shared" si="4"/>
        <v>2016</v>
      </c>
      <c r="E34" s="247">
        <f t="shared" si="4"/>
        <v>2017</v>
      </c>
      <c r="F34" s="247">
        <f t="shared" si="4"/>
        <v>2018</v>
      </c>
      <c r="G34" s="247">
        <f t="shared" si="4"/>
        <v>2019</v>
      </c>
      <c r="H34" s="247">
        <f t="shared" si="4"/>
        <v>2020</v>
      </c>
      <c r="I34" s="247">
        <f t="shared" si="4"/>
        <v>2021</v>
      </c>
      <c r="J34" s="178"/>
      <c r="K34" s="248" t="s">
        <v>23</v>
      </c>
      <c r="L34" s="178"/>
      <c r="M34" s="248" t="s">
        <v>24</v>
      </c>
      <c r="N34" s="178"/>
      <c r="O34" s="178"/>
      <c r="P34" s="178"/>
      <c r="Q34" s="178"/>
      <c r="R34" s="178"/>
      <c r="S34" s="178"/>
      <c r="T34" s="178"/>
      <c r="U34" s="178"/>
      <c r="V34" s="178"/>
      <c r="W34" s="178"/>
      <c r="X34" s="178"/>
      <c r="Y34" s="178"/>
      <c r="Z34" s="178"/>
      <c r="AA34" s="178"/>
      <c r="AB34" s="178"/>
      <c r="AC34" s="178"/>
      <c r="AD34" s="178"/>
    </row>
    <row r="35" spans="1:30" s="179" customFormat="1" ht="13" x14ac:dyDescent="0.25">
      <c r="A35" s="1214" t="s">
        <v>113</v>
      </c>
      <c r="B35" s="269">
        <f t="shared" ref="B35:B40" si="5">B21</f>
        <v>2015</v>
      </c>
      <c r="C35" s="270"/>
      <c r="D35" s="270"/>
      <c r="E35" s="270"/>
      <c r="F35" s="270"/>
      <c r="G35" s="270"/>
      <c r="H35" s="270"/>
      <c r="I35" s="271"/>
      <c r="J35" s="252"/>
      <c r="K35" s="253">
        <f>SUM(C35:I35)</f>
        <v>0</v>
      </c>
      <c r="L35" s="252"/>
      <c r="M35" s="272">
        <f>SUM(K21,K35)</f>
        <v>0</v>
      </c>
      <c r="N35" s="178"/>
      <c r="O35" s="178"/>
      <c r="P35" s="178"/>
      <c r="Q35" s="178"/>
      <c r="R35" s="178"/>
      <c r="S35" s="178"/>
      <c r="T35" s="178"/>
      <c r="U35" s="178"/>
      <c r="V35" s="178"/>
      <c r="W35" s="178"/>
      <c r="X35" s="178"/>
      <c r="Y35" s="178"/>
      <c r="Z35" s="178"/>
      <c r="AA35" s="178"/>
      <c r="AB35" s="178"/>
      <c r="AC35" s="178"/>
      <c r="AD35" s="178"/>
    </row>
    <row r="36" spans="1:30" s="179" customFormat="1" ht="13" x14ac:dyDescent="0.25">
      <c r="A36" s="1215"/>
      <c r="B36" s="273">
        <f t="shared" si="5"/>
        <v>2016</v>
      </c>
      <c r="C36" s="270"/>
      <c r="D36" s="270"/>
      <c r="E36" s="270"/>
      <c r="F36" s="270"/>
      <c r="G36" s="270"/>
      <c r="H36" s="270"/>
      <c r="I36" s="274"/>
      <c r="J36" s="252"/>
      <c r="K36" s="253">
        <f t="shared" ref="K36:K41" si="6">SUM(C36:I36)</f>
        <v>0</v>
      </c>
      <c r="L36" s="252"/>
      <c r="M36" s="272">
        <f t="shared" ref="M36:M41" si="7">SUM(K22,K36)</f>
        <v>0</v>
      </c>
      <c r="N36" s="178"/>
      <c r="O36" s="178"/>
      <c r="P36" s="178"/>
      <c r="Q36" s="178"/>
      <c r="R36" s="178"/>
      <c r="S36" s="178"/>
      <c r="T36" s="178"/>
      <c r="U36" s="178"/>
      <c r="V36" s="178"/>
      <c r="W36" s="178"/>
      <c r="X36" s="178"/>
      <c r="Y36" s="178"/>
      <c r="Z36" s="178"/>
      <c r="AA36" s="178"/>
      <c r="AB36" s="178"/>
      <c r="AC36" s="178"/>
      <c r="AD36" s="178"/>
    </row>
    <row r="37" spans="1:30" s="179" customFormat="1" ht="13" x14ac:dyDescent="0.25">
      <c r="A37" s="1215" t="s">
        <v>25</v>
      </c>
      <c r="B37" s="273">
        <f t="shared" si="5"/>
        <v>2017</v>
      </c>
      <c r="C37" s="255">
        <f>I65</f>
        <v>0</v>
      </c>
      <c r="D37" s="270"/>
      <c r="E37" s="270"/>
      <c r="F37" s="270"/>
      <c r="G37" s="270"/>
      <c r="H37" s="270"/>
      <c r="I37" s="274"/>
      <c r="J37" s="252"/>
      <c r="K37" s="253">
        <f t="shared" si="6"/>
        <v>0</v>
      </c>
      <c r="L37" s="252"/>
      <c r="M37" s="272">
        <f t="shared" si="7"/>
        <v>0</v>
      </c>
      <c r="N37" s="178"/>
      <c r="O37" s="178"/>
      <c r="P37" s="178"/>
      <c r="Q37" s="178"/>
      <c r="R37" s="178"/>
      <c r="S37" s="178"/>
      <c r="T37" s="178"/>
      <c r="U37" s="178"/>
      <c r="V37" s="178"/>
      <c r="W37" s="178"/>
      <c r="X37" s="178"/>
      <c r="Y37" s="178"/>
      <c r="Z37" s="178"/>
      <c r="AA37" s="178"/>
      <c r="AB37" s="178"/>
      <c r="AC37" s="178"/>
      <c r="AD37" s="178"/>
    </row>
    <row r="38" spans="1:30" s="179" customFormat="1" ht="13" x14ac:dyDescent="0.25">
      <c r="A38" s="1215"/>
      <c r="B38" s="273">
        <f t="shared" si="5"/>
        <v>2018</v>
      </c>
      <c r="C38" s="255">
        <f>K70</f>
        <v>0</v>
      </c>
      <c r="D38" s="255">
        <f>K71</f>
        <v>0</v>
      </c>
      <c r="E38" s="270"/>
      <c r="F38" s="270"/>
      <c r="G38" s="270"/>
      <c r="H38" s="270"/>
      <c r="I38" s="274"/>
      <c r="J38" s="252"/>
      <c r="K38" s="253">
        <f t="shared" si="6"/>
        <v>0</v>
      </c>
      <c r="L38" s="252"/>
      <c r="M38" s="272">
        <f t="shared" si="7"/>
        <v>0</v>
      </c>
      <c r="N38" s="244" t="s">
        <v>27</v>
      </c>
      <c r="O38" s="178"/>
      <c r="P38" s="178"/>
      <c r="Q38" s="178"/>
      <c r="R38" s="178"/>
      <c r="S38" s="178"/>
      <c r="T38" s="178"/>
      <c r="U38" s="178"/>
      <c r="V38" s="178"/>
      <c r="W38" s="178"/>
      <c r="X38" s="178"/>
      <c r="Y38" s="178"/>
      <c r="Z38" s="178"/>
      <c r="AA38" s="178"/>
      <c r="AB38" s="178"/>
      <c r="AC38" s="178"/>
      <c r="AD38" s="178"/>
    </row>
    <row r="39" spans="1:30" s="179" customFormat="1" ht="13" x14ac:dyDescent="0.25">
      <c r="A39" s="1215" t="s">
        <v>26</v>
      </c>
      <c r="B39" s="273">
        <f t="shared" si="5"/>
        <v>2019</v>
      </c>
      <c r="C39" s="255">
        <f>K77</f>
        <v>0</v>
      </c>
      <c r="D39" s="255">
        <f>K78</f>
        <v>0</v>
      </c>
      <c r="E39" s="255">
        <f>K79</f>
        <v>0</v>
      </c>
      <c r="F39" s="270"/>
      <c r="G39" s="270"/>
      <c r="H39" s="270"/>
      <c r="I39" s="274"/>
      <c r="J39" s="252"/>
      <c r="K39" s="253">
        <f t="shared" si="6"/>
        <v>0</v>
      </c>
      <c r="L39" s="252"/>
      <c r="M39" s="272">
        <f t="shared" si="7"/>
        <v>0</v>
      </c>
      <c r="N39" s="244" t="s">
        <v>28</v>
      </c>
      <c r="O39" s="178"/>
      <c r="P39" s="178"/>
      <c r="Q39" s="178"/>
      <c r="R39" s="178"/>
      <c r="S39" s="178"/>
      <c r="T39" s="178"/>
      <c r="U39" s="178"/>
      <c r="V39" s="178"/>
      <c r="W39" s="178"/>
      <c r="X39" s="178"/>
      <c r="Y39" s="178"/>
      <c r="Z39" s="178"/>
      <c r="AA39" s="178"/>
      <c r="AB39" s="178"/>
      <c r="AC39" s="178"/>
      <c r="AD39" s="178"/>
    </row>
    <row r="40" spans="1:30" s="179" customFormat="1" ht="13" x14ac:dyDescent="0.25">
      <c r="A40" s="1215"/>
      <c r="B40" s="273">
        <f t="shared" si="5"/>
        <v>2020</v>
      </c>
      <c r="C40" s="255">
        <f>+K85</f>
        <v>0</v>
      </c>
      <c r="D40" s="255">
        <f>K86</f>
        <v>0</v>
      </c>
      <c r="E40" s="255">
        <f>K87</f>
        <v>0</v>
      </c>
      <c r="F40" s="255">
        <f>K88</f>
        <v>0</v>
      </c>
      <c r="G40" s="270"/>
      <c r="H40" s="270"/>
      <c r="I40" s="274"/>
      <c r="J40" s="252"/>
      <c r="K40" s="253">
        <f t="shared" si="6"/>
        <v>0</v>
      </c>
      <c r="L40" s="252"/>
      <c r="M40" s="272">
        <f t="shared" si="7"/>
        <v>0</v>
      </c>
      <c r="N40" s="244"/>
      <c r="O40" s="178"/>
      <c r="P40" s="178"/>
      <c r="Q40" s="178"/>
      <c r="R40" s="178"/>
      <c r="S40" s="178"/>
      <c r="T40" s="178"/>
      <c r="U40" s="178"/>
      <c r="V40" s="178"/>
      <c r="W40" s="178"/>
      <c r="X40" s="178"/>
      <c r="Y40" s="178"/>
      <c r="Z40" s="178"/>
      <c r="AA40" s="178"/>
      <c r="AB40" s="178"/>
      <c r="AC40" s="178"/>
      <c r="AD40" s="178"/>
    </row>
    <row r="41" spans="1:30" s="179" customFormat="1" ht="13" x14ac:dyDescent="0.25">
      <c r="A41" s="1215"/>
      <c r="B41" s="273">
        <f t="shared" ref="B41" si="8">B27</f>
        <v>2021</v>
      </c>
      <c r="C41" s="255">
        <f>+G94</f>
        <v>0</v>
      </c>
      <c r="D41" s="255">
        <f>G95</f>
        <v>0</v>
      </c>
      <c r="E41" s="255">
        <f>G96</f>
        <v>0</v>
      </c>
      <c r="F41" s="255">
        <f>G97</f>
        <v>0</v>
      </c>
      <c r="G41" s="255">
        <f>G98</f>
        <v>0</v>
      </c>
      <c r="H41" s="270"/>
      <c r="I41" s="274"/>
      <c r="J41" s="252"/>
      <c r="K41" s="253">
        <f t="shared" si="6"/>
        <v>0</v>
      </c>
      <c r="L41" s="252"/>
      <c r="M41" s="272">
        <f t="shared" si="7"/>
        <v>0</v>
      </c>
      <c r="N41" s="244"/>
      <c r="O41" s="178"/>
      <c r="P41" s="178"/>
      <c r="Q41" s="178"/>
      <c r="R41" s="178"/>
      <c r="S41" s="178"/>
      <c r="T41" s="178"/>
      <c r="U41" s="178"/>
      <c r="V41" s="178"/>
      <c r="W41" s="178"/>
      <c r="X41" s="178"/>
      <c r="Y41" s="178"/>
      <c r="Z41" s="178"/>
      <c r="AA41" s="178"/>
      <c r="AB41" s="178"/>
      <c r="AC41" s="178"/>
      <c r="AD41" s="178"/>
    </row>
    <row r="42" spans="1:30" s="265" customFormat="1" ht="15.5" x14ac:dyDescent="0.25">
      <c r="A42" s="1273"/>
      <c r="B42" s="331" t="s">
        <v>22</v>
      </c>
      <c r="C42" s="332">
        <f t="shared" ref="C42:I42" si="9">SUM(C35:C41)</f>
        <v>0</v>
      </c>
      <c r="D42" s="332">
        <f t="shared" si="9"/>
        <v>0</v>
      </c>
      <c r="E42" s="332">
        <f t="shared" si="9"/>
        <v>0</v>
      </c>
      <c r="F42" s="332">
        <f>SUM(F35:F41)</f>
        <v>0</v>
      </c>
      <c r="G42" s="332">
        <f t="shared" ref="G42:H42" si="10">SUM(G35:G41)</f>
        <v>0</v>
      </c>
      <c r="H42" s="332">
        <f t="shared" si="10"/>
        <v>0</v>
      </c>
      <c r="I42" s="332">
        <f t="shared" si="9"/>
        <v>0</v>
      </c>
      <c r="J42" s="252"/>
      <c r="K42" s="263">
        <f>SUM(K35:K41)</f>
        <v>0</v>
      </c>
      <c r="L42" s="262"/>
      <c r="M42" s="263">
        <f>SUM(M35:M41)</f>
        <v>0</v>
      </c>
      <c r="N42" s="264"/>
      <c r="O42" s="264"/>
      <c r="P42" s="264"/>
      <c r="Q42" s="264"/>
      <c r="R42" s="264"/>
      <c r="S42" s="264"/>
      <c r="T42" s="264"/>
      <c r="U42" s="264"/>
      <c r="V42" s="264"/>
      <c r="W42" s="264"/>
      <c r="X42" s="264"/>
      <c r="Y42" s="264"/>
      <c r="Z42" s="264"/>
      <c r="AA42" s="264"/>
      <c r="AB42" s="264"/>
      <c r="AC42" s="264"/>
      <c r="AD42" s="264"/>
    </row>
    <row r="43" spans="1:30" x14ac:dyDescent="0.25">
      <c r="J43" s="252"/>
    </row>
    <row r="44" spans="1:30" ht="13" thickBot="1" x14ac:dyDescent="0.3"/>
    <row r="45" spans="1:30" s="179" customFormat="1" ht="22.5" customHeight="1" thickBot="1" x14ac:dyDescent="0.3">
      <c r="A45" s="1217" t="s">
        <v>175</v>
      </c>
      <c r="B45" s="1218"/>
      <c r="C45" s="1218"/>
      <c r="D45" s="1218"/>
      <c r="E45" s="1218"/>
      <c r="F45" s="1218"/>
      <c r="G45" s="1218"/>
      <c r="H45" s="1218"/>
      <c r="I45" s="1218"/>
      <c r="J45" s="1218"/>
      <c r="K45" s="1219"/>
      <c r="M45" s="178"/>
      <c r="N45" s="178"/>
      <c r="O45" s="178"/>
      <c r="P45" s="178"/>
      <c r="Q45" s="178"/>
      <c r="R45" s="178"/>
      <c r="S45" s="178"/>
      <c r="T45" s="178"/>
      <c r="U45" s="178"/>
      <c r="V45" s="178"/>
      <c r="W45" s="178"/>
      <c r="X45" s="178"/>
      <c r="Y45" s="178"/>
      <c r="Z45" s="178"/>
      <c r="AA45" s="178"/>
      <c r="AB45" s="178"/>
      <c r="AC45" s="178"/>
      <c r="AD45" s="178"/>
    </row>
    <row r="47" spans="1:30" ht="13" x14ac:dyDescent="0.25">
      <c r="C47" s="241" t="s">
        <v>164</v>
      </c>
    </row>
    <row r="48" spans="1:30" ht="13" x14ac:dyDescent="0.25">
      <c r="C48" s="241" t="s">
        <v>29</v>
      </c>
    </row>
    <row r="49" spans="1:30" ht="16.5" x14ac:dyDescent="0.25">
      <c r="C49" s="1210" t="s">
        <v>19</v>
      </c>
      <c r="D49" s="1211"/>
      <c r="E49" s="1211"/>
      <c r="F49" s="1211"/>
      <c r="G49" s="1211"/>
      <c r="H49" s="1211"/>
      <c r="I49" s="1212"/>
    </row>
    <row r="50" spans="1:30" x14ac:dyDescent="0.25">
      <c r="C50" s="247">
        <f t="shared" ref="C50:H50" si="11">C34</f>
        <v>2015</v>
      </c>
      <c r="D50" s="247">
        <f t="shared" si="11"/>
        <v>2016</v>
      </c>
      <c r="E50" s="247">
        <f t="shared" si="11"/>
        <v>2017</v>
      </c>
      <c r="F50" s="247">
        <f t="shared" si="11"/>
        <v>2018</v>
      </c>
      <c r="G50" s="247">
        <f t="shared" si="11"/>
        <v>2019</v>
      </c>
      <c r="H50" s="247">
        <f t="shared" si="11"/>
        <v>2020</v>
      </c>
      <c r="I50" s="247">
        <f>I34</f>
        <v>2021</v>
      </c>
      <c r="K50" s="93" t="s">
        <v>20</v>
      </c>
    </row>
    <row r="51" spans="1:30" x14ac:dyDescent="0.25">
      <c r="A51" s="1204" t="s">
        <v>144</v>
      </c>
      <c r="B51" s="276">
        <f t="shared" ref="B51:B56" si="12">B35</f>
        <v>2015</v>
      </c>
      <c r="C51" s="255">
        <f>+C21</f>
        <v>0</v>
      </c>
      <c r="D51" s="277"/>
      <c r="E51" s="270"/>
      <c r="F51" s="270"/>
      <c r="G51" s="270"/>
      <c r="H51" s="270"/>
      <c r="I51" s="271"/>
      <c r="K51" s="278">
        <f>SUM(C51:I51)</f>
        <v>0</v>
      </c>
    </row>
    <row r="52" spans="1:30" x14ac:dyDescent="0.25">
      <c r="A52" s="1205"/>
      <c r="B52" s="247">
        <f t="shared" si="12"/>
        <v>2016</v>
      </c>
      <c r="C52" s="255">
        <f>+C51+C36+C22</f>
        <v>0</v>
      </c>
      <c r="D52" s="255">
        <f>+D22</f>
        <v>0</v>
      </c>
      <c r="E52" s="279"/>
      <c r="F52" s="279"/>
      <c r="G52" s="279"/>
      <c r="H52" s="279"/>
      <c r="I52" s="280"/>
      <c r="K52" s="278">
        <f t="shared" ref="K52:K57" si="13">SUM(C52:I52)</f>
        <v>0</v>
      </c>
    </row>
    <row r="53" spans="1:30" x14ac:dyDescent="0.25">
      <c r="A53" s="1205"/>
      <c r="B53" s="247">
        <f t="shared" si="12"/>
        <v>2017</v>
      </c>
      <c r="C53" s="255">
        <f>+C52+C37+C23</f>
        <v>0</v>
      </c>
      <c r="D53" s="255">
        <f>+D52+D37+D23</f>
        <v>0</v>
      </c>
      <c r="E53" s="255">
        <f>+E23</f>
        <v>0</v>
      </c>
      <c r="F53" s="279"/>
      <c r="G53" s="279"/>
      <c r="H53" s="279"/>
      <c r="I53" s="280"/>
      <c r="K53" s="278">
        <f t="shared" si="13"/>
        <v>0</v>
      </c>
    </row>
    <row r="54" spans="1:30" x14ac:dyDescent="0.25">
      <c r="A54" s="1205"/>
      <c r="B54" s="247">
        <f t="shared" si="12"/>
        <v>2018</v>
      </c>
      <c r="C54" s="255">
        <f>+C53+C38+C24</f>
        <v>0</v>
      </c>
      <c r="D54" s="255">
        <f t="shared" ref="D54:D57" si="14">+D53+D38+D24</f>
        <v>0</v>
      </c>
      <c r="E54" s="255">
        <f>+E53+E38+E24</f>
        <v>0</v>
      </c>
      <c r="F54" s="255">
        <f>+F24</f>
        <v>0</v>
      </c>
      <c r="G54" s="279"/>
      <c r="H54" s="279"/>
      <c r="I54" s="280"/>
      <c r="K54" s="278">
        <f t="shared" si="13"/>
        <v>0</v>
      </c>
    </row>
    <row r="55" spans="1:30" x14ac:dyDescent="0.25">
      <c r="A55" s="1205"/>
      <c r="B55" s="247">
        <f t="shared" si="12"/>
        <v>2019</v>
      </c>
      <c r="C55" s="255">
        <f t="shared" ref="C55:C57" si="15">+C54+C39+C25</f>
        <v>0</v>
      </c>
      <c r="D55" s="255">
        <f t="shared" si="14"/>
        <v>0</v>
      </c>
      <c r="E55" s="255">
        <f t="shared" ref="E55:E57" si="16">+E54+E39+E25</f>
        <v>0</v>
      </c>
      <c r="F55" s="255">
        <f>+F54+F39+F25</f>
        <v>0</v>
      </c>
      <c r="G55" s="255">
        <f>+G25</f>
        <v>0</v>
      </c>
      <c r="H55" s="279"/>
      <c r="I55" s="280"/>
      <c r="K55" s="278">
        <f t="shared" si="13"/>
        <v>0</v>
      </c>
    </row>
    <row r="56" spans="1:30" x14ac:dyDescent="0.25">
      <c r="A56" s="1205"/>
      <c r="B56" s="247">
        <f t="shared" si="12"/>
        <v>2020</v>
      </c>
      <c r="C56" s="255">
        <f t="shared" si="15"/>
        <v>0</v>
      </c>
      <c r="D56" s="255">
        <f t="shared" si="14"/>
        <v>0</v>
      </c>
      <c r="E56" s="255">
        <f t="shared" si="16"/>
        <v>0</v>
      </c>
      <c r="F56" s="255">
        <f t="shared" ref="F56:H57" si="17">+F55+F40+F26</f>
        <v>0</v>
      </c>
      <c r="G56" s="255">
        <f t="shared" si="17"/>
        <v>0</v>
      </c>
      <c r="H56" s="255">
        <f>+H26</f>
        <v>0</v>
      </c>
      <c r="I56" s="280"/>
      <c r="K56" s="278">
        <f t="shared" si="13"/>
        <v>0</v>
      </c>
    </row>
    <row r="57" spans="1:30" x14ac:dyDescent="0.25">
      <c r="A57" s="1206"/>
      <c r="B57" s="247">
        <f t="shared" ref="B57" si="18">B41</f>
        <v>2021</v>
      </c>
      <c r="C57" s="255">
        <f t="shared" si="15"/>
        <v>0</v>
      </c>
      <c r="D57" s="255">
        <f t="shared" si="14"/>
        <v>0</v>
      </c>
      <c r="E57" s="255">
        <f t="shared" si="16"/>
        <v>0</v>
      </c>
      <c r="F57" s="255">
        <f t="shared" si="17"/>
        <v>0</v>
      </c>
      <c r="G57" s="255">
        <f t="shared" si="17"/>
        <v>0</v>
      </c>
      <c r="H57" s="255">
        <f t="shared" si="17"/>
        <v>0</v>
      </c>
      <c r="I57" s="255">
        <f>+I27</f>
        <v>0</v>
      </c>
      <c r="K57" s="278">
        <f t="shared" si="13"/>
        <v>0</v>
      </c>
    </row>
    <row r="58" spans="1:30" ht="13" x14ac:dyDescent="0.25">
      <c r="C58" s="241"/>
    </row>
    <row r="59" spans="1:30" ht="13.5" thickBot="1" x14ac:dyDescent="0.3">
      <c r="C59" s="241"/>
    </row>
    <row r="60" spans="1:30" s="179" customFormat="1" ht="22.5" customHeight="1" thickBot="1" x14ac:dyDescent="0.3">
      <c r="A60" s="1217" t="s">
        <v>176</v>
      </c>
      <c r="B60" s="1218"/>
      <c r="C60" s="1218"/>
      <c r="D60" s="1218"/>
      <c r="E60" s="1218"/>
      <c r="F60" s="1218"/>
      <c r="G60" s="1218"/>
      <c r="H60" s="1218"/>
      <c r="I60" s="1218"/>
      <c r="J60" s="1218"/>
      <c r="K60" s="1219"/>
      <c r="M60" s="178"/>
      <c r="N60" s="178"/>
      <c r="O60" s="178"/>
      <c r="P60" s="178"/>
      <c r="Q60" s="178"/>
      <c r="R60" s="178"/>
      <c r="S60" s="178"/>
      <c r="T60" s="178"/>
      <c r="U60" s="178"/>
      <c r="V60" s="178"/>
      <c r="W60" s="178"/>
      <c r="X60" s="178"/>
      <c r="Y60" s="178"/>
      <c r="Z60" s="178"/>
      <c r="AA60" s="178"/>
      <c r="AB60" s="178"/>
      <c r="AC60" s="178"/>
      <c r="AD60" s="178"/>
    </row>
    <row r="61" spans="1:30" x14ac:dyDescent="0.25">
      <c r="A61" s="167"/>
      <c r="B61" s="167"/>
      <c r="C61" s="167"/>
      <c r="D61" s="167"/>
      <c r="E61" s="167"/>
      <c r="F61" s="167"/>
      <c r="G61" s="167"/>
      <c r="H61" s="167"/>
      <c r="I61" s="167"/>
      <c r="J61" s="167"/>
      <c r="K61" s="167"/>
      <c r="L61" s="167"/>
      <c r="M61" s="212"/>
      <c r="N61" s="167"/>
    </row>
    <row r="62" spans="1:30" ht="13" x14ac:dyDescent="0.25">
      <c r="A62" s="281" t="s">
        <v>172</v>
      </c>
      <c r="B62" s="167"/>
      <c r="C62" s="167"/>
      <c r="D62" s="167"/>
      <c r="E62" s="1000">
        <v>2017</v>
      </c>
      <c r="F62" s="167"/>
      <c r="G62" s="167"/>
      <c r="H62" s="167"/>
      <c r="I62" s="167"/>
      <c r="J62" s="167"/>
      <c r="K62" s="167"/>
      <c r="L62" s="212"/>
      <c r="M62" s="167"/>
    </row>
    <row r="63" spans="1:30" x14ac:dyDescent="0.25">
      <c r="A63" s="167"/>
      <c r="B63" s="167"/>
      <c r="C63" s="167"/>
      <c r="D63" s="167"/>
      <c r="E63" s="167"/>
      <c r="F63" s="167"/>
      <c r="G63" s="167"/>
      <c r="H63" s="167"/>
      <c r="I63" s="167"/>
      <c r="J63" s="167"/>
      <c r="K63" s="212"/>
      <c r="L63" s="167"/>
      <c r="M63" s="167"/>
    </row>
    <row r="64" spans="1:30" ht="128.15" customHeight="1" x14ac:dyDescent="0.25">
      <c r="A64" s="1231" t="s">
        <v>173</v>
      </c>
      <c r="B64" s="1232"/>
      <c r="C64" s="1232"/>
      <c r="D64" s="1233"/>
      <c r="E64" s="282"/>
      <c r="F64" s="166" t="str">
        <f>"Nog af te bouwen regulatoir saldo einde "&amp;E62-1</f>
        <v>Nog af te bouwen regulatoir saldo einde 2016</v>
      </c>
      <c r="G64" s="166" t="str">
        <f>"Afbouw oudste openstaande regulatoir saldo vanaf boekjaar "&amp;E62-3&amp;" en vroeger, door aanwending van compensatie met regulatoir saldo ontstaan over boekjaar "&amp;E62-2</f>
        <v>Afbouw oudste openstaande regulatoir saldo vanaf boekjaar 2014 en vroeger, door aanwending van compensatie met regulatoir saldo ontstaan over boekjaar 2015</v>
      </c>
      <c r="H64" s="166" t="str">
        <f>"Nog af te bouwen regulatoir saldo na compensatie einde "&amp;E62-1</f>
        <v>Nog af te bouwen regulatoir saldo na compensatie einde 2016</v>
      </c>
      <c r="I64" s="166" t="str">
        <f>"Aanwending van 60% van het geaccumuleerd regulatoir saldo door te rekenen volgens de tariefmethodologie in het boekjaar "&amp;E62</f>
        <v>Aanwending van 60% van het geaccumuleerd regulatoir saldo door te rekenen volgens de tariefmethodologie in het boekjaar 2017</v>
      </c>
      <c r="J64" s="166" t="str">
        <f>"Nog af te bouwen regulatoir saldo einde "&amp;E62</f>
        <v>Nog af te bouwen regulatoir saldo einde 2017</v>
      </c>
      <c r="K64" s="212"/>
      <c r="L64" s="167"/>
      <c r="M64" s="167"/>
    </row>
    <row r="65" spans="1:13" ht="13" x14ac:dyDescent="0.25">
      <c r="A65" s="1228">
        <v>2015</v>
      </c>
      <c r="B65" s="1229"/>
      <c r="C65" s="1229"/>
      <c r="D65" s="1230"/>
      <c r="E65" s="283"/>
      <c r="F65" s="177">
        <f>C21+C22</f>
        <v>0</v>
      </c>
      <c r="G65" s="566">
        <v>0</v>
      </c>
      <c r="H65" s="177">
        <f>+F65+G65</f>
        <v>0</v>
      </c>
      <c r="I65" s="177">
        <f>-H65*0.6</f>
        <v>0</v>
      </c>
      <c r="J65" s="1001">
        <f>+I65+F65</f>
        <v>0</v>
      </c>
      <c r="K65" s="212"/>
      <c r="L65" s="167"/>
      <c r="M65" s="167"/>
    </row>
    <row r="66" spans="1:13" x14ac:dyDescent="0.25">
      <c r="A66" s="167"/>
      <c r="B66" s="167"/>
      <c r="C66" s="167"/>
      <c r="D66" s="167"/>
      <c r="E66" s="167"/>
      <c r="F66" s="167"/>
      <c r="G66" s="167"/>
      <c r="H66" s="167"/>
      <c r="I66" s="167"/>
      <c r="J66" s="167"/>
      <c r="K66" s="212"/>
      <c r="L66" s="167"/>
      <c r="M66" s="167"/>
    </row>
    <row r="67" spans="1:13" ht="13" x14ac:dyDescent="0.25">
      <c r="A67" s="281" t="s">
        <v>172</v>
      </c>
      <c r="B67" s="167"/>
      <c r="C67" s="167"/>
      <c r="D67" s="167"/>
      <c r="E67" s="1000">
        <v>2018</v>
      </c>
      <c r="F67" s="167"/>
      <c r="G67" s="167"/>
      <c r="H67" s="167"/>
      <c r="I67" s="167"/>
      <c r="J67" s="167"/>
      <c r="K67" s="167"/>
      <c r="L67" s="212"/>
      <c r="M67" s="167"/>
    </row>
    <row r="68" spans="1:13" x14ac:dyDescent="0.25">
      <c r="A68" s="167"/>
      <c r="B68" s="167"/>
      <c r="C68" s="167"/>
      <c r="D68" s="167"/>
      <c r="E68" s="167"/>
      <c r="F68" s="167"/>
      <c r="G68" s="167"/>
      <c r="H68" s="167"/>
      <c r="I68" s="167"/>
      <c r="J68" s="167"/>
      <c r="K68" s="167"/>
      <c r="L68" s="212"/>
      <c r="M68" s="167"/>
    </row>
    <row r="69" spans="1:13" ht="128.15" customHeight="1" x14ac:dyDescent="0.25">
      <c r="A69" s="1231" t="s">
        <v>173</v>
      </c>
      <c r="B69" s="1232"/>
      <c r="C69" s="1232"/>
      <c r="D69" s="1233"/>
      <c r="E69" s="282"/>
      <c r="F69" s="166" t="str">
        <f>"Nog af te bouwen regulatoir saldo einde "&amp;E67-1</f>
        <v>Nog af te bouwen regulatoir saldo einde 2017</v>
      </c>
      <c r="G69" s="166" t="str">
        <f>"Afbouw oudste openstaande regulatoir saldo vanaf boekjaar "&amp;E67-3&amp;" en vroeger, door aanwending van compensatie met regulatoir saldo ontstaan over boekjaar "&amp;E67-2</f>
        <v>Afbouw oudste openstaande regulatoir saldo vanaf boekjaar 2015 en vroeger, door aanwending van compensatie met regulatoir saldo ontstaan over boekjaar 2016</v>
      </c>
      <c r="H69" s="166" t="str">
        <f>"Nog af te bouwen regulatoir saldo na compensatie einde "&amp;E67-1</f>
        <v>Nog af te bouwen regulatoir saldo na compensatie einde 2017</v>
      </c>
      <c r="I69" s="166" t="str">
        <f>"60% van het geaccumuleerd regulatoir saldo door te rekenen volgens de tariefmethodologie in het boekjaar "&amp;E67</f>
        <v>60% van het geaccumuleerd regulatoir saldo door te rekenen volgens de tariefmethodologie in het boekjaar 2018</v>
      </c>
      <c r="J69" s="166" t="str">
        <f>"Aanwending van 60% van het geaccumuleerd regulatoir saldo door te rekenen volgens de tariefmethodologie in het boekjaar "&amp;E67</f>
        <v>Aanwending van 60% van het geaccumuleerd regulatoir saldo door te rekenen volgens de tariefmethodologie in het boekjaar 2018</v>
      </c>
      <c r="K69" s="166" t="str">
        <f>"Totale afbouw over "&amp;E67</f>
        <v>Totale afbouw over 2018</v>
      </c>
      <c r="L69" s="166" t="str">
        <f>"Nog af te bouwen regulatoir saldo einde "&amp;E67</f>
        <v>Nog af te bouwen regulatoir saldo einde 2018</v>
      </c>
    </row>
    <row r="70" spans="1:13" ht="13" x14ac:dyDescent="0.25">
      <c r="A70" s="1228">
        <v>2015</v>
      </c>
      <c r="B70" s="1229"/>
      <c r="C70" s="1229"/>
      <c r="D70" s="1230"/>
      <c r="E70" s="283"/>
      <c r="F70" s="566">
        <f>J65</f>
        <v>0</v>
      </c>
      <c r="G70" s="566">
        <f>IF(SIGN(F71*J65)&lt;0,IF(F70&lt;&gt;0,-SIGN(F70)*MIN(ABS(F71),ABS(F70)),0),0)</f>
        <v>0</v>
      </c>
      <c r="H70" s="566">
        <f>+F70+G70</f>
        <v>0</v>
      </c>
      <c r="I70" s="1005"/>
      <c r="J70" s="566">
        <f>-MIN(ABS(H70),ABS(I72))*SIGN(H70)</f>
        <v>0</v>
      </c>
      <c r="K70" s="1003">
        <f>+J70+G70</f>
        <v>0</v>
      </c>
      <c r="L70" s="566">
        <f>+H70+J70</f>
        <v>0</v>
      </c>
    </row>
    <row r="71" spans="1:13" ht="13" x14ac:dyDescent="0.25">
      <c r="A71" s="1228">
        <v>2016</v>
      </c>
      <c r="B71" s="1229"/>
      <c r="C71" s="1229"/>
      <c r="D71" s="1230"/>
      <c r="E71" s="283"/>
      <c r="F71" s="566">
        <f>D22+D23</f>
        <v>0</v>
      </c>
      <c r="G71" s="1003">
        <f>IF(SIGN(F71*J65)&lt;0,-G70,0)</f>
        <v>0</v>
      </c>
      <c r="H71" s="566">
        <f>+F71+G71</f>
        <v>0</v>
      </c>
      <c r="I71" s="1005"/>
      <c r="J71" s="566">
        <f>-MIN(ABS(H71),ABS(I72-J70))*SIGN(H71)</f>
        <v>0</v>
      </c>
      <c r="K71" s="1003">
        <f>+J71+G71</f>
        <v>0</v>
      </c>
      <c r="L71" s="566">
        <f>+H71+J71</f>
        <v>0</v>
      </c>
    </row>
    <row r="72" spans="1:13" ht="13" x14ac:dyDescent="0.25">
      <c r="A72" s="281"/>
      <c r="B72" s="281"/>
      <c r="C72" s="281"/>
      <c r="D72" s="281"/>
      <c r="E72" s="281"/>
      <c r="F72" s="169">
        <f>SUM(F70:F71)</f>
        <v>0</v>
      </c>
      <c r="G72" s="169">
        <f>SUM(G70:G71)</f>
        <v>0</v>
      </c>
      <c r="H72" s="169">
        <f>SUM(H70:H71)</f>
        <v>0</v>
      </c>
      <c r="I72" s="169">
        <f>-H72*0.6</f>
        <v>0</v>
      </c>
      <c r="J72" s="169">
        <f>SUM(J70:J71)</f>
        <v>0</v>
      </c>
      <c r="K72" s="570"/>
      <c r="L72" s="169">
        <f>SUM(L70:L71)</f>
        <v>0</v>
      </c>
    </row>
    <row r="73" spans="1:13" x14ac:dyDescent="0.25">
      <c r="A73" s="167"/>
      <c r="B73" s="167"/>
      <c r="C73" s="167"/>
      <c r="D73" s="167"/>
      <c r="E73" s="167"/>
      <c r="F73" s="167"/>
      <c r="G73" s="167"/>
      <c r="H73" s="167"/>
      <c r="I73" s="167"/>
      <c r="J73" s="167"/>
      <c r="K73" s="167"/>
      <c r="L73" s="167"/>
    </row>
    <row r="74" spans="1:13" ht="13" x14ac:dyDescent="0.25">
      <c r="A74" s="281" t="s">
        <v>172</v>
      </c>
      <c r="B74" s="167"/>
      <c r="C74" s="167"/>
      <c r="D74" s="167"/>
      <c r="E74" s="1000">
        <v>2019</v>
      </c>
      <c r="F74" s="167"/>
      <c r="G74" s="167"/>
      <c r="H74" s="167"/>
      <c r="I74" s="167"/>
      <c r="J74" s="167"/>
      <c r="K74" s="167"/>
      <c r="L74" s="167"/>
    </row>
    <row r="75" spans="1:13" x14ac:dyDescent="0.25">
      <c r="A75" s="167"/>
      <c r="B75" s="167"/>
      <c r="C75" s="167"/>
      <c r="D75" s="167"/>
      <c r="E75" s="167"/>
      <c r="F75" s="167"/>
      <c r="G75" s="167"/>
      <c r="H75" s="167"/>
      <c r="I75" s="167"/>
      <c r="J75" s="167"/>
      <c r="K75" s="167"/>
      <c r="L75" s="167"/>
    </row>
    <row r="76" spans="1:13" ht="128.15" customHeight="1" x14ac:dyDescent="0.25">
      <c r="A76" s="1231" t="s">
        <v>173</v>
      </c>
      <c r="B76" s="1232"/>
      <c r="C76" s="1232"/>
      <c r="D76" s="1233"/>
      <c r="E76" s="282"/>
      <c r="F76" s="166" t="str">
        <f>"Nog af te bouwen regulatoir saldo einde "&amp;E74-1</f>
        <v>Nog af te bouwen regulatoir saldo einde 2018</v>
      </c>
      <c r="G76" s="166" t="str">
        <f>"Afbouw oudste openstaande regulatoir saldo vanaf boekjaar "&amp;E74-3&amp;" en vroeger, door aanwending van compensatie met regulatoir saldo ontstaan over boekjaar "&amp;E74-2</f>
        <v>Afbouw oudste openstaande regulatoir saldo vanaf boekjaar 2016 en vroeger, door aanwending van compensatie met regulatoir saldo ontstaan over boekjaar 2017</v>
      </c>
      <c r="H76" s="166" t="str">
        <f>"Nog af te bouwen regulatoir saldo na compensatie einde "&amp;E74-1</f>
        <v>Nog af te bouwen regulatoir saldo na compensatie einde 2018</v>
      </c>
      <c r="I76" s="166" t="str">
        <f>"60% van het geaccumuleerd regulatoir saldo door te rekenen volgens de tariefmethodologie in het boekjaar "&amp;E74</f>
        <v>60% van het geaccumuleerd regulatoir saldo door te rekenen volgens de tariefmethodologie in het boekjaar 2019</v>
      </c>
      <c r="J76" s="166" t="str">
        <f>"Aanwending van het 60% van het geaccumuleerd regulatoir saldo door te rekenen volgens de tariefmethodologie in het boekjaar "&amp;E74</f>
        <v>Aanwending van het 60% van het geaccumuleerd regulatoir saldo door te rekenen volgens de tariefmethodologie in het boekjaar 2019</v>
      </c>
      <c r="K76" s="166" t="str">
        <f>"Totale afbouw over "&amp;E74</f>
        <v>Totale afbouw over 2019</v>
      </c>
      <c r="L76" s="166" t="str">
        <f>"Nog af te bouwen regulatoir saldo einde "&amp;E74</f>
        <v>Nog af te bouwen regulatoir saldo einde 2019</v>
      </c>
    </row>
    <row r="77" spans="1:13" ht="13" x14ac:dyDescent="0.25">
      <c r="A77" s="1228">
        <v>2015</v>
      </c>
      <c r="B77" s="1229"/>
      <c r="C77" s="1229"/>
      <c r="D77" s="1230"/>
      <c r="E77" s="283"/>
      <c r="F77" s="566">
        <f>+L70</f>
        <v>0</v>
      </c>
      <c r="G77" s="1003">
        <f>IF(SIGN(F79*L72)&lt;0,IF(F77&lt;&gt;0,-SIGN(F77)*MIN(ABS(F79),ABS(F77)),0),0)</f>
        <v>0</v>
      </c>
      <c r="H77" s="566">
        <f>+F77+G77</f>
        <v>0</v>
      </c>
      <c r="I77" s="1005"/>
      <c r="J77" s="566">
        <f>-MIN(ABS(H77),ABS(I80))*SIGN(H77)</f>
        <v>0</v>
      </c>
      <c r="K77" s="1003">
        <f>+J77+G77</f>
        <v>0</v>
      </c>
      <c r="L77" s="566">
        <f>+H77+J77</f>
        <v>0</v>
      </c>
    </row>
    <row r="78" spans="1:13" ht="13" x14ac:dyDescent="0.25">
      <c r="A78" s="1228">
        <v>2016</v>
      </c>
      <c r="B78" s="1229"/>
      <c r="C78" s="1229">
        <v>2016</v>
      </c>
      <c r="D78" s="1230"/>
      <c r="E78" s="283"/>
      <c r="F78" s="566">
        <f>+L71</f>
        <v>0</v>
      </c>
      <c r="G78" s="1003">
        <f>IF(SIGN(F79*L72)&lt;0,IF(F78&lt;&gt;0,-SIGN(F78)*MIN(ABS(F79-G77),ABS(F78)),0),0)</f>
        <v>0</v>
      </c>
      <c r="H78" s="566">
        <f>+F78+G78</f>
        <v>0</v>
      </c>
      <c r="I78" s="1005"/>
      <c r="J78" s="566">
        <f>-MIN(ABS(H78),ABS(I80-J77))*SIGN(H78)</f>
        <v>0</v>
      </c>
      <c r="K78" s="1003">
        <f>+J78+G78</f>
        <v>0</v>
      </c>
      <c r="L78" s="566">
        <f>+H78+J78</f>
        <v>0</v>
      </c>
    </row>
    <row r="79" spans="1:13" ht="13" x14ac:dyDescent="0.25">
      <c r="A79" s="1228">
        <v>2017</v>
      </c>
      <c r="B79" s="1229"/>
      <c r="C79" s="1229"/>
      <c r="D79" s="1230"/>
      <c r="E79" s="283"/>
      <c r="F79" s="566">
        <f>E23+E24</f>
        <v>0</v>
      </c>
      <c r="G79" s="1003">
        <f>IF(SIGN(F79*L72)&lt;0,-SUM(G77:G78),0)</f>
        <v>0</v>
      </c>
      <c r="H79" s="566">
        <f>+F79+G79</f>
        <v>0</v>
      </c>
      <c r="I79" s="1005"/>
      <c r="J79" s="566">
        <f>-MIN(ABS(H79),ABS(I80-J77-J78))*SIGN(H79)</f>
        <v>0</v>
      </c>
      <c r="K79" s="1003">
        <f>+J79+G79</f>
        <v>0</v>
      </c>
      <c r="L79" s="566">
        <f>+H79+J79</f>
        <v>0</v>
      </c>
    </row>
    <row r="80" spans="1:13" ht="13" x14ac:dyDescent="0.25">
      <c r="A80" s="281"/>
      <c r="B80" s="281"/>
      <c r="C80" s="281"/>
      <c r="D80" s="281"/>
      <c r="E80" s="281"/>
      <c r="F80" s="169">
        <f>SUM(F77:F79)</f>
        <v>0</v>
      </c>
      <c r="G80" s="169">
        <f>SUM(G77:G79)</f>
        <v>0</v>
      </c>
      <c r="H80" s="169">
        <f>SUM(H77:H79)</f>
        <v>0</v>
      </c>
      <c r="I80" s="169">
        <f>-H80*0.6</f>
        <v>0</v>
      </c>
      <c r="J80" s="169">
        <f>SUM(J77:J79)</f>
        <v>0</v>
      </c>
      <c r="K80" s="570"/>
      <c r="L80" s="169">
        <f>SUM(L77:L79)</f>
        <v>0</v>
      </c>
    </row>
    <row r="81" spans="1:12" x14ac:dyDescent="0.25">
      <c r="A81" s="167"/>
      <c r="B81" s="167"/>
      <c r="C81" s="167"/>
      <c r="D81" s="167"/>
      <c r="E81" s="167"/>
      <c r="F81" s="167"/>
      <c r="G81" s="167"/>
      <c r="H81" s="167"/>
      <c r="I81" s="167"/>
      <c r="J81" s="167"/>
      <c r="K81" s="167"/>
      <c r="L81" s="167"/>
    </row>
    <row r="82" spans="1:12" ht="13" x14ac:dyDescent="0.25">
      <c r="A82" s="281" t="s">
        <v>172</v>
      </c>
      <c r="B82" s="167"/>
      <c r="C82" s="167"/>
      <c r="D82" s="167"/>
      <c r="E82" s="1000">
        <v>2020</v>
      </c>
      <c r="F82" s="167"/>
      <c r="G82" s="167"/>
      <c r="H82" s="167"/>
      <c r="I82" s="167"/>
      <c r="J82" s="167"/>
      <c r="K82" s="167"/>
      <c r="L82" s="167"/>
    </row>
    <row r="83" spans="1:12" x14ac:dyDescent="0.25">
      <c r="A83" s="167"/>
      <c r="B83" s="167"/>
      <c r="C83" s="167"/>
      <c r="D83" s="167"/>
      <c r="E83" s="167"/>
      <c r="F83" s="167"/>
      <c r="G83" s="167"/>
      <c r="H83" s="167"/>
      <c r="I83" s="167"/>
      <c r="J83" s="167"/>
      <c r="K83" s="167"/>
      <c r="L83" s="167"/>
    </row>
    <row r="84" spans="1:12" ht="128.15" customHeight="1" x14ac:dyDescent="0.25">
      <c r="A84" s="1231" t="s">
        <v>173</v>
      </c>
      <c r="B84" s="1232"/>
      <c r="C84" s="1232"/>
      <c r="D84" s="1233"/>
      <c r="E84" s="282"/>
      <c r="F84" s="166" t="str">
        <f>"Nog af te bouwen regulatoir saldo einde "&amp;E82-1</f>
        <v>Nog af te bouwen regulatoir saldo einde 2019</v>
      </c>
      <c r="G84" s="166" t="str">
        <f>"Afbouw oudste openstaande regulatoir saldo vanaf boekjaar "&amp;E82-3&amp;" en vroeger, door aanwending van compensatie met regulatoir saldo ontstaan over boekjaar "&amp;E82-2</f>
        <v>Afbouw oudste openstaande regulatoir saldo vanaf boekjaar 2017 en vroeger, door aanwending van compensatie met regulatoir saldo ontstaan over boekjaar 2018</v>
      </c>
      <c r="H84" s="166" t="str">
        <f>"Nog af te bouwen regulatoir saldo na compensatie einde "&amp;E82-1</f>
        <v>Nog af te bouwen regulatoir saldo na compensatie einde 2019</v>
      </c>
      <c r="I84" s="166" t="str">
        <f>"60% van het geaccumuleerd regulatoir saldo door te rekenen volgens de tariefmethodologie in het boekjaar "&amp;E82</f>
        <v>60% van het geaccumuleerd regulatoir saldo door te rekenen volgens de tariefmethodologie in het boekjaar 2020</v>
      </c>
      <c r="J84" s="166" t="str">
        <f>"Aanwending van het 60% van het geaccumuleerd regulatoir saldo door te rekenen volgens de tariefmethodologie in het boekjaar "&amp;E82</f>
        <v>Aanwending van het 60% van het geaccumuleerd regulatoir saldo door te rekenen volgens de tariefmethodologie in het boekjaar 2020</v>
      </c>
      <c r="K84" s="166" t="str">
        <f>"Totale afbouw over "&amp;E82</f>
        <v>Totale afbouw over 2020</v>
      </c>
      <c r="L84" s="166" t="str">
        <f>"Nog af te bouwen regulatoir saldo einde "&amp;E82</f>
        <v>Nog af te bouwen regulatoir saldo einde 2020</v>
      </c>
    </row>
    <row r="85" spans="1:12" ht="13" x14ac:dyDescent="0.25">
      <c r="A85" s="1228">
        <v>2015</v>
      </c>
      <c r="B85" s="1229"/>
      <c r="C85" s="1229"/>
      <c r="D85" s="1230"/>
      <c r="E85" s="283"/>
      <c r="F85" s="566">
        <f>+L77</f>
        <v>0</v>
      </c>
      <c r="G85" s="1003">
        <f>IF(SIGN(F88*L80)&lt;0,IF(F85&lt;&gt;0,-SIGN(F85)*MIN(ABS(F88),ABS(F85)),0),0)</f>
        <v>0</v>
      </c>
      <c r="H85" s="566">
        <f>+F85+G85</f>
        <v>0</v>
      </c>
      <c r="I85" s="1005"/>
      <c r="J85" s="566">
        <f>-MIN(ABS(H85),ABS(I89))*SIGN(H85)</f>
        <v>0</v>
      </c>
      <c r="K85" s="1003">
        <f>+J85+G85</f>
        <v>0</v>
      </c>
      <c r="L85" s="566">
        <f>+H85+J85</f>
        <v>0</v>
      </c>
    </row>
    <row r="86" spans="1:12" ht="13" x14ac:dyDescent="0.25">
      <c r="A86" s="1228">
        <v>2016</v>
      </c>
      <c r="B86" s="1229"/>
      <c r="C86" s="1229"/>
      <c r="D86" s="1230"/>
      <c r="E86" s="283"/>
      <c r="F86" s="566">
        <f>+L78</f>
        <v>0</v>
      </c>
      <c r="G86" s="1003">
        <f>IF(SIGN(F88*L80)&lt;0,IF(F86&lt;&gt;0,-SIGN(F86)*MIN(ABS(F88-G85),ABS(F86)),0),0)</f>
        <v>0</v>
      </c>
      <c r="H86" s="566">
        <f>+F86+G86</f>
        <v>0</v>
      </c>
      <c r="I86" s="1005"/>
      <c r="J86" s="566">
        <f>-MIN(ABS(H86),ABS(I89-J85))*SIGN(H86)</f>
        <v>0</v>
      </c>
      <c r="K86" s="1003">
        <f>+J86+G86</f>
        <v>0</v>
      </c>
      <c r="L86" s="566">
        <f>+H86+J86</f>
        <v>0</v>
      </c>
    </row>
    <row r="87" spans="1:12" ht="13" x14ac:dyDescent="0.25">
      <c r="A87" s="1228">
        <v>2017</v>
      </c>
      <c r="B87" s="1229"/>
      <c r="C87" s="1229">
        <v>2016</v>
      </c>
      <c r="D87" s="1230"/>
      <c r="E87" s="283"/>
      <c r="F87" s="566">
        <f>+L79</f>
        <v>0</v>
      </c>
      <c r="G87" s="1003">
        <f>IF(SIGN(F88*L80)&lt;0,IF(F87&lt;&gt;0,-SIGN(F87)*MIN(ABS(F88-G85-G86),ABS(F87)),0),0)</f>
        <v>0</v>
      </c>
      <c r="H87" s="566">
        <f>+F87+G87</f>
        <v>0</v>
      </c>
      <c r="I87" s="1005"/>
      <c r="J87" s="566">
        <f>-MIN(ABS(H87),ABS(I89-J85-J86))*SIGN(H87)</f>
        <v>0</v>
      </c>
      <c r="K87" s="1003">
        <f>+J87+G87</f>
        <v>0</v>
      </c>
      <c r="L87" s="566">
        <f>+H87+J87</f>
        <v>0</v>
      </c>
    </row>
    <row r="88" spans="1:12" ht="13" x14ac:dyDescent="0.25">
      <c r="A88" s="1228">
        <v>2018</v>
      </c>
      <c r="B88" s="1229"/>
      <c r="C88" s="1229"/>
      <c r="D88" s="1230"/>
      <c r="E88" s="283"/>
      <c r="F88" s="566">
        <f>F24+F25</f>
        <v>0</v>
      </c>
      <c r="G88" s="1003">
        <f>IF(SIGN(F88*L80)&lt;0,-SUM(G85:G87),0)</f>
        <v>0</v>
      </c>
      <c r="H88" s="566">
        <f>+F88+G88</f>
        <v>0</v>
      </c>
      <c r="I88" s="1005"/>
      <c r="J88" s="566">
        <f>-MIN(ABS(H88),ABS(I89-J85-J86-J87))*SIGN(H88)</f>
        <v>0</v>
      </c>
      <c r="K88" s="1003">
        <f>+J88+G88</f>
        <v>0</v>
      </c>
      <c r="L88" s="566">
        <f>+H88+J88</f>
        <v>0</v>
      </c>
    </row>
    <row r="89" spans="1:12" ht="13" x14ac:dyDescent="0.25">
      <c r="A89" s="281"/>
      <c r="B89" s="281"/>
      <c r="C89" s="281"/>
      <c r="D89" s="281"/>
      <c r="E89" s="281"/>
      <c r="F89" s="169">
        <f>SUM(F85:F88)</f>
        <v>0</v>
      </c>
      <c r="G89" s="169">
        <f>SUM(G85:G88)</f>
        <v>0</v>
      </c>
      <c r="H89" s="169">
        <f>SUM(H85:H88)</f>
        <v>0</v>
      </c>
      <c r="I89" s="169">
        <f>-H89*0.6</f>
        <v>0</v>
      </c>
      <c r="J89" s="169">
        <f>SUM(J85:J88)</f>
        <v>0</v>
      </c>
      <c r="K89" s="169"/>
      <c r="L89" s="169">
        <f>SUM(L85:L88)</f>
        <v>0</v>
      </c>
    </row>
    <row r="90" spans="1:12" s="167" customFormat="1" x14ac:dyDescent="0.25"/>
    <row r="91" spans="1:12" s="167" customFormat="1" ht="13" x14ac:dyDescent="0.25">
      <c r="A91" s="281" t="s">
        <v>172</v>
      </c>
      <c r="E91" s="1000">
        <v>2021</v>
      </c>
    </row>
    <row r="92" spans="1:12" s="167" customFormat="1" x14ac:dyDescent="0.25"/>
    <row r="93" spans="1:12" s="167" customFormat="1" ht="78" customHeight="1" x14ac:dyDescent="0.25">
      <c r="A93" s="1231" t="s">
        <v>173</v>
      </c>
      <c r="B93" s="1232"/>
      <c r="C93" s="1232"/>
      <c r="D93" s="1233"/>
      <c r="E93" s="282"/>
      <c r="F93" s="166" t="str">
        <f>"Nog af te bouwen regulatoir saldo einde "&amp;E91-1</f>
        <v>Nog af te bouwen regulatoir saldo einde 2020</v>
      </c>
      <c r="G93" s="166" t="str">
        <f>"50% van het regulatoir saldo door te rekenen volgens de tariefmethodologie in het boekjaar "&amp;E91</f>
        <v>50% van het regulatoir saldo door te rekenen volgens de tariefmethodologie in het boekjaar 2021</v>
      </c>
      <c r="H93" s="166" t="str">
        <f>"Nog af te bouwen regulatoir saldo einde "&amp;E91</f>
        <v>Nog af te bouwen regulatoir saldo einde 2021</v>
      </c>
      <c r="I93" s="212"/>
    </row>
    <row r="94" spans="1:12" s="167" customFormat="1" ht="13" x14ac:dyDescent="0.25">
      <c r="A94" s="1228">
        <v>2015</v>
      </c>
      <c r="B94" s="1229"/>
      <c r="C94" s="1229"/>
      <c r="D94" s="1230"/>
      <c r="E94" s="283"/>
      <c r="F94" s="566">
        <f>+L85</f>
        <v>0</v>
      </c>
      <c r="G94" s="566">
        <f>-F94*0.5</f>
        <v>0</v>
      </c>
      <c r="H94" s="566">
        <f>+F94+G94</f>
        <v>0</v>
      </c>
      <c r="I94" s="212"/>
    </row>
    <row r="95" spans="1:12" s="167" customFormat="1" ht="13" x14ac:dyDescent="0.25">
      <c r="A95" s="1228">
        <v>2016</v>
      </c>
      <c r="B95" s="1229"/>
      <c r="C95" s="1229"/>
      <c r="D95" s="1230"/>
      <c r="E95" s="283"/>
      <c r="F95" s="566">
        <f t="shared" ref="F95:F97" si="19">+L86</f>
        <v>0</v>
      </c>
      <c r="G95" s="566">
        <f t="shared" ref="G95:G98" si="20">-F95*0.5</f>
        <v>0</v>
      </c>
      <c r="H95" s="566">
        <f t="shared" ref="H95:H98" si="21">+F95+G95</f>
        <v>0</v>
      </c>
      <c r="I95" s="212"/>
    </row>
    <row r="96" spans="1:12" s="167" customFormat="1" ht="13" x14ac:dyDescent="0.25">
      <c r="A96" s="1228">
        <v>2017</v>
      </c>
      <c r="B96" s="1229"/>
      <c r="C96" s="1229">
        <v>2016</v>
      </c>
      <c r="D96" s="1230"/>
      <c r="E96" s="283"/>
      <c r="F96" s="566">
        <f t="shared" si="19"/>
        <v>0</v>
      </c>
      <c r="G96" s="566">
        <f t="shared" si="20"/>
        <v>0</v>
      </c>
      <c r="H96" s="566">
        <f t="shared" si="21"/>
        <v>0</v>
      </c>
      <c r="I96" s="212"/>
    </row>
    <row r="97" spans="1:13" s="167" customFormat="1" ht="13" x14ac:dyDescent="0.25">
      <c r="A97" s="1228">
        <v>2018</v>
      </c>
      <c r="B97" s="1229"/>
      <c r="C97" s="1229"/>
      <c r="D97" s="1230"/>
      <c r="E97" s="283"/>
      <c r="F97" s="566">
        <f t="shared" si="19"/>
        <v>0</v>
      </c>
      <c r="G97" s="566">
        <f t="shared" si="20"/>
        <v>0</v>
      </c>
      <c r="H97" s="566">
        <f t="shared" si="21"/>
        <v>0</v>
      </c>
      <c r="I97" s="212"/>
    </row>
    <row r="98" spans="1:13" s="167" customFormat="1" ht="13" x14ac:dyDescent="0.25">
      <c r="A98" s="1228">
        <v>2019</v>
      </c>
      <c r="B98" s="1229"/>
      <c r="C98" s="1229"/>
      <c r="D98" s="1230"/>
      <c r="E98" s="283"/>
      <c r="F98" s="566">
        <f>+G25+G26</f>
        <v>0</v>
      </c>
      <c r="G98" s="566">
        <f t="shared" si="20"/>
        <v>0</v>
      </c>
      <c r="H98" s="566">
        <f t="shared" si="21"/>
        <v>0</v>
      </c>
      <c r="I98" s="212"/>
    </row>
    <row r="99" spans="1:13" s="281" customFormat="1" ht="13" x14ac:dyDescent="0.25">
      <c r="F99" s="169">
        <f>SUM(F94:F98)</f>
        <v>0</v>
      </c>
      <c r="G99" s="169">
        <f>SUM(G94:G98)</f>
        <v>0</v>
      </c>
      <c r="H99" s="169">
        <f>SUM(H94:H98)</f>
        <v>0</v>
      </c>
    </row>
    <row r="100" spans="1:13" x14ac:dyDescent="0.25">
      <c r="A100" s="167"/>
      <c r="B100" s="167"/>
      <c r="C100" s="167"/>
      <c r="D100" s="167"/>
      <c r="E100" s="167"/>
      <c r="F100" s="167"/>
      <c r="G100" s="167"/>
      <c r="H100" s="167"/>
      <c r="I100" s="167"/>
      <c r="J100" s="167"/>
      <c r="K100" s="167"/>
      <c r="L100" s="209"/>
      <c r="M100" s="167"/>
    </row>
    <row r="101" spans="1:13" x14ac:dyDescent="0.25">
      <c r="A101" s="167"/>
      <c r="B101" s="167"/>
      <c r="C101" s="167"/>
      <c r="D101" s="167"/>
      <c r="E101" s="167"/>
      <c r="F101" s="167"/>
      <c r="G101" s="167"/>
      <c r="H101" s="167"/>
      <c r="I101" s="167"/>
      <c r="J101" s="167"/>
      <c r="K101" s="167"/>
      <c r="L101" s="209"/>
      <c r="M101" s="167"/>
    </row>
    <row r="102" spans="1:13" ht="13" x14ac:dyDescent="0.25">
      <c r="A102" s="281" t="s">
        <v>174</v>
      </c>
      <c r="B102" s="224"/>
      <c r="C102" s="224"/>
      <c r="D102" s="224"/>
      <c r="E102" s="167"/>
      <c r="F102" s="167"/>
      <c r="G102" s="167"/>
      <c r="H102" s="167"/>
      <c r="I102" s="167"/>
      <c r="J102" s="167"/>
      <c r="K102" s="167"/>
      <c r="L102" s="209"/>
      <c r="M102" s="167"/>
    </row>
    <row r="103" spans="1:13" ht="13" x14ac:dyDescent="0.25">
      <c r="A103" s="281"/>
      <c r="B103" s="224"/>
      <c r="C103" s="224"/>
      <c r="D103" s="224"/>
      <c r="E103" s="167"/>
      <c r="F103" s="167"/>
      <c r="G103" s="167"/>
      <c r="H103" s="167"/>
      <c r="I103" s="167"/>
      <c r="J103" s="167"/>
      <c r="K103" s="167"/>
      <c r="L103" s="209"/>
      <c r="M103" s="167"/>
    </row>
    <row r="104" spans="1:13" ht="13" x14ac:dyDescent="0.25">
      <c r="A104" s="283">
        <v>2021</v>
      </c>
      <c r="B104" s="287">
        <f>+G99</f>
        <v>0</v>
      </c>
      <c r="C104" s="224"/>
      <c r="D104" s="224"/>
      <c r="E104" s="167"/>
      <c r="F104" s="167"/>
      <c r="G104" s="167"/>
      <c r="H104" s="167"/>
      <c r="I104" s="167"/>
      <c r="J104" s="167"/>
      <c r="K104" s="167"/>
      <c r="L104" s="209"/>
      <c r="M104" s="167"/>
    </row>
    <row r="105" spans="1:13" ht="13" x14ac:dyDescent="0.25">
      <c r="C105" s="224"/>
      <c r="D105" s="224"/>
      <c r="E105" s="167"/>
      <c r="F105" s="167"/>
      <c r="G105" s="167"/>
      <c r="H105" s="167"/>
      <c r="I105" s="167"/>
      <c r="J105" s="167"/>
      <c r="K105" s="167"/>
      <c r="L105" s="209"/>
      <c r="M105" s="167"/>
    </row>
    <row r="106" spans="1:13" ht="13" x14ac:dyDescent="0.25">
      <c r="C106" s="224"/>
      <c r="D106" s="224"/>
      <c r="E106" s="167"/>
      <c r="F106" s="167"/>
      <c r="G106" s="167"/>
      <c r="H106" s="167"/>
      <c r="I106" s="167"/>
      <c r="J106" s="167"/>
      <c r="K106" s="167"/>
      <c r="L106" s="209"/>
      <c r="M106" s="167"/>
    </row>
    <row r="107" spans="1:13" ht="13" x14ac:dyDescent="0.25">
      <c r="C107" s="224"/>
      <c r="D107" s="224"/>
      <c r="E107" s="167"/>
      <c r="F107" s="167"/>
      <c r="G107" s="167"/>
      <c r="H107" s="167"/>
      <c r="I107" s="167"/>
      <c r="J107" s="167"/>
      <c r="K107" s="167"/>
      <c r="L107" s="209"/>
      <c r="M107" s="167"/>
    </row>
  </sheetData>
  <sheetProtection algorithmName="SHA-512" hashValue="hTQ5NgXpG8DPBptHD6MmG56t8xC7vNgIAttI6iTYFCanHyrzr5xHcMPka+mbEvTToIZ06pYnVucbSyegGjtZfQ==" saltValue="GkMriOS5hGdU+7IGE1EjKw==" spinCount="100000" sheet="1" objects="1" scenarios="1"/>
  <mergeCells count="36">
    <mergeCell ref="A98:D98"/>
    <mergeCell ref="A93:D93"/>
    <mergeCell ref="A94:D94"/>
    <mergeCell ref="A95:D95"/>
    <mergeCell ref="A96:D96"/>
    <mergeCell ref="A97:D97"/>
    <mergeCell ref="A71:D71"/>
    <mergeCell ref="A86:D86"/>
    <mergeCell ref="A87:D87"/>
    <mergeCell ref="A88:D88"/>
    <mergeCell ref="A76:D76"/>
    <mergeCell ref="A77:D77"/>
    <mergeCell ref="A78:D78"/>
    <mergeCell ref="A79:D79"/>
    <mergeCell ref="A84:D84"/>
    <mergeCell ref="A85:D85"/>
    <mergeCell ref="A60:K60"/>
    <mergeCell ref="A64:D64"/>
    <mergeCell ref="A65:D65"/>
    <mergeCell ref="A69:D69"/>
    <mergeCell ref="A70:D70"/>
    <mergeCell ref="A1:K1"/>
    <mergeCell ref="A4:K4"/>
    <mergeCell ref="C6:I6"/>
    <mergeCell ref="C7:I7"/>
    <mergeCell ref="C8:I8"/>
    <mergeCell ref="A45:K45"/>
    <mergeCell ref="C49:I49"/>
    <mergeCell ref="A51:A57"/>
    <mergeCell ref="L15:M15"/>
    <mergeCell ref="C19:I19"/>
    <mergeCell ref="A20:B20"/>
    <mergeCell ref="A21:A28"/>
    <mergeCell ref="C33:I33"/>
    <mergeCell ref="A35:A42"/>
    <mergeCell ref="A15:K15"/>
  </mergeCells>
  <conditionalFormatting sqref="A1:XFD1048576">
    <cfRule type="expression" dxfId="49" priority="1">
      <formula>$C$7="gas"</formula>
    </cfRule>
  </conditionalFormatting>
  <pageMargins left="0.78740157480314965" right="0.78740157480314965" top="0.98425196850393704" bottom="0.98425196850393704" header="0.51181102362204722" footer="0.51181102362204722"/>
  <pageSetup paperSize="8" scale="43" orientation="landscape" r:id="rId1"/>
  <headerFooter alignWithMargins="0">
    <oddFooter>&amp;CPage &amp;P</oddFooter>
  </headerFooter>
  <ignoredErrors>
    <ignoredError sqref="K34 M3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pageSetUpPr fitToPage="1"/>
  </sheetPr>
  <dimension ref="A1:AG102"/>
  <sheetViews>
    <sheetView zoomScale="80" zoomScaleNormal="80" zoomScaleSheetLayoutView="80" workbookViewId="0">
      <selection activeCell="F14" sqref="F14"/>
    </sheetView>
  </sheetViews>
  <sheetFormatPr defaultColWidth="11.453125" defaultRowHeight="12.5" x14ac:dyDescent="0.25"/>
  <cols>
    <col min="1" max="1" width="24.26953125" style="178" customWidth="1"/>
    <col min="2" max="2" width="21.54296875" style="178" customWidth="1"/>
    <col min="3" max="12" width="17.7265625" style="178" customWidth="1"/>
    <col min="13" max="13" width="2.26953125" style="178" customWidth="1"/>
    <col min="14" max="14" width="17.7265625" style="178" customWidth="1"/>
    <col min="15" max="15" width="2" style="178" customWidth="1"/>
    <col min="16" max="16" width="17.7265625" style="178" customWidth="1"/>
    <col min="17" max="17" width="28.7265625" style="178" bestFit="1" customWidth="1"/>
    <col min="18" max="18" width="14" style="178" customWidth="1"/>
    <col min="19" max="19" width="11.453125" style="178"/>
    <col min="20" max="20" width="12.26953125" style="178" bestFit="1" customWidth="1"/>
    <col min="21" max="16384" width="11.453125" style="178"/>
  </cols>
  <sheetData>
    <row r="1" spans="1:22" ht="25.5" customHeight="1" thickBot="1" x14ac:dyDescent="0.3">
      <c r="A1" s="1274" t="s">
        <v>246</v>
      </c>
      <c r="B1" s="1275"/>
      <c r="C1" s="1275"/>
      <c r="D1" s="1275"/>
      <c r="E1" s="1275"/>
      <c r="F1" s="1275"/>
      <c r="G1" s="1275"/>
      <c r="H1" s="1275"/>
      <c r="I1" s="1275"/>
      <c r="J1" s="1275"/>
      <c r="K1" s="1275"/>
      <c r="L1" s="1275"/>
      <c r="M1" s="1275"/>
      <c r="N1" s="1276"/>
      <c r="O1" s="220"/>
      <c r="P1" s="296"/>
      <c r="Q1" s="230"/>
      <c r="R1" s="231"/>
      <c r="S1" s="231"/>
      <c r="T1" s="231"/>
      <c r="U1" s="231"/>
    </row>
    <row r="2" spans="1:22" x14ac:dyDescent="0.25">
      <c r="A2" s="233"/>
      <c r="B2" s="233"/>
      <c r="C2" s="233"/>
      <c r="D2" s="233"/>
      <c r="E2" s="233"/>
      <c r="F2" s="233"/>
      <c r="G2" s="233"/>
      <c r="H2" s="233"/>
      <c r="I2" s="233"/>
      <c r="J2" s="233"/>
      <c r="K2" s="233"/>
      <c r="L2" s="233"/>
      <c r="M2" s="233"/>
      <c r="N2" s="233"/>
      <c r="O2" s="220"/>
      <c r="P2" s="296"/>
      <c r="Q2" s="288"/>
      <c r="R2" s="237"/>
      <c r="S2" s="237"/>
      <c r="T2" s="231"/>
      <c r="U2" s="231"/>
    </row>
    <row r="3" spans="1:22" x14ac:dyDescent="0.25">
      <c r="A3" s="233"/>
      <c r="B3" s="233"/>
      <c r="C3" s="288">
        <f t="shared" ref="C3:L3" si="0">+C7+1</f>
        <v>2016</v>
      </c>
      <c r="D3" s="288">
        <f t="shared" si="0"/>
        <v>2017</v>
      </c>
      <c r="E3" s="288">
        <f t="shared" si="0"/>
        <v>2018</v>
      </c>
      <c r="F3" s="288">
        <f t="shared" si="0"/>
        <v>2019</v>
      </c>
      <c r="G3" s="288">
        <f t="shared" si="0"/>
        <v>2020</v>
      </c>
      <c r="H3" s="288"/>
      <c r="I3" s="288"/>
      <c r="J3" s="288"/>
      <c r="K3" s="288"/>
      <c r="L3" s="288">
        <f t="shared" si="0"/>
        <v>2025</v>
      </c>
      <c r="M3" s="288"/>
      <c r="N3" s="288"/>
      <c r="O3" s="210"/>
      <c r="P3" s="296"/>
      <c r="Q3" s="237"/>
      <c r="R3" s="237"/>
      <c r="S3" s="237"/>
      <c r="T3" s="231"/>
      <c r="U3" s="231"/>
      <c r="V3" s="237"/>
    </row>
    <row r="4" spans="1:22" s="167" customFormat="1" ht="16.5" x14ac:dyDescent="0.25">
      <c r="A4" s="224"/>
      <c r="C4" s="1210" t="str">
        <f>+TITELBLAD!C7</f>
        <v>NAAM DNB</v>
      </c>
      <c r="D4" s="1211"/>
      <c r="E4" s="1211"/>
      <c r="F4" s="1211"/>
      <c r="G4" s="1211"/>
      <c r="H4" s="1211"/>
      <c r="I4" s="1211"/>
      <c r="J4" s="1211"/>
      <c r="K4" s="1211"/>
      <c r="L4" s="1212"/>
      <c r="O4" s="220"/>
      <c r="P4" s="296"/>
      <c r="Q4" s="288" t="str">
        <f>+TITELBLAD!B16</f>
        <v>Rapportering over boekjaar:</v>
      </c>
      <c r="R4" s="237">
        <f>+TITELBLAD!E16</f>
        <v>2021</v>
      </c>
      <c r="S4" s="237" t="str">
        <f>+TITELBLAD!F16</f>
        <v>ex-ante</v>
      </c>
      <c r="T4" s="296"/>
      <c r="U4" s="296"/>
    </row>
    <row r="5" spans="1:22" s="167" customFormat="1" ht="16.5" x14ac:dyDescent="0.25">
      <c r="A5" s="224"/>
      <c r="C5" s="1210" t="str">
        <f>+TITELBLAD!C10</f>
        <v>elektriciteit</v>
      </c>
      <c r="D5" s="1211"/>
      <c r="E5" s="1211"/>
      <c r="F5" s="1211"/>
      <c r="G5" s="1211"/>
      <c r="H5" s="1211"/>
      <c r="I5" s="1211"/>
      <c r="J5" s="1211"/>
      <c r="K5" s="1211"/>
      <c r="L5" s="1212"/>
      <c r="O5" s="220"/>
      <c r="P5" s="296"/>
      <c r="Q5" s="209"/>
      <c r="R5" s="209"/>
      <c r="S5" s="209"/>
      <c r="T5" s="296"/>
      <c r="U5" s="296"/>
    </row>
    <row r="6" spans="1:22" s="167" customFormat="1" ht="16.5" x14ac:dyDescent="0.25">
      <c r="A6" s="224"/>
      <c r="C6" s="1210" t="s">
        <v>19</v>
      </c>
      <c r="D6" s="1211"/>
      <c r="E6" s="1211"/>
      <c r="F6" s="1211"/>
      <c r="G6" s="1211"/>
      <c r="H6" s="1211"/>
      <c r="I6" s="1211"/>
      <c r="J6" s="1211"/>
      <c r="K6" s="1211"/>
      <c r="L6" s="1212"/>
      <c r="O6" s="220"/>
      <c r="P6" s="296"/>
      <c r="Q6" s="209"/>
      <c r="R6" s="209"/>
      <c r="S6" s="209"/>
      <c r="T6" s="296"/>
      <c r="U6" s="296"/>
    </row>
    <row r="7" spans="1:22" s="167" customFormat="1" ht="52.5" customHeight="1" thickBot="1" x14ac:dyDescent="0.3">
      <c r="A7" s="1283"/>
      <c r="B7" s="1284"/>
      <c r="C7" s="877">
        <v>2015</v>
      </c>
      <c r="D7" s="877">
        <v>2016</v>
      </c>
      <c r="E7" s="877">
        <v>2017</v>
      </c>
      <c r="F7" s="877">
        <v>2018</v>
      </c>
      <c r="G7" s="877">
        <v>2019</v>
      </c>
      <c r="H7" s="877">
        <v>2020</v>
      </c>
      <c r="I7" s="877">
        <v>2021</v>
      </c>
      <c r="J7" s="878">
        <v>2022</v>
      </c>
      <c r="K7" s="878">
        <v>2023</v>
      </c>
      <c r="L7" s="878">
        <v>2024</v>
      </c>
      <c r="O7" s="220"/>
      <c r="P7" s="296"/>
      <c r="Q7" s="209"/>
      <c r="R7" s="209"/>
      <c r="S7" s="209"/>
      <c r="T7" s="296"/>
      <c r="U7" s="296"/>
    </row>
    <row r="8" spans="1:22" s="167" customFormat="1" ht="28.5" customHeight="1" thickBot="1" x14ac:dyDescent="0.3">
      <c r="A8" s="1285" t="s">
        <v>154</v>
      </c>
      <c r="B8" s="1286"/>
      <c r="C8" s="880">
        <f t="shared" ref="C8:L8" si="1">SUM(C9:C15)</f>
        <v>0</v>
      </c>
      <c r="D8" s="880">
        <f t="shared" si="1"/>
        <v>0</v>
      </c>
      <c r="E8" s="880">
        <f t="shared" si="1"/>
        <v>0</v>
      </c>
      <c r="F8" s="880">
        <f t="shared" si="1"/>
        <v>0</v>
      </c>
      <c r="G8" s="880">
        <f t="shared" si="1"/>
        <v>0</v>
      </c>
      <c r="H8" s="880">
        <f t="shared" si="1"/>
        <v>0</v>
      </c>
      <c r="I8" s="880">
        <f t="shared" si="1"/>
        <v>0</v>
      </c>
      <c r="J8" s="881">
        <f t="shared" si="1"/>
        <v>0</v>
      </c>
      <c r="K8" s="881">
        <f t="shared" si="1"/>
        <v>0</v>
      </c>
      <c r="L8" s="882">
        <f t="shared" si="1"/>
        <v>0</v>
      </c>
      <c r="O8" s="220"/>
      <c r="P8" s="296"/>
      <c r="Q8" s="209"/>
      <c r="R8" s="209"/>
      <c r="S8" s="209"/>
      <c r="T8" s="296"/>
      <c r="U8" s="296"/>
    </row>
    <row r="9" spans="1:22" s="167" customFormat="1" ht="38.25" customHeight="1" x14ac:dyDescent="0.25">
      <c r="A9" s="1279" t="s">
        <v>107</v>
      </c>
      <c r="B9" s="1280"/>
      <c r="C9" s="1006">
        <v>0</v>
      </c>
      <c r="D9" s="1006">
        <v>0</v>
      </c>
      <c r="E9" s="1006">
        <v>0</v>
      </c>
      <c r="F9" s="1006">
        <v>0</v>
      </c>
      <c r="G9" s="1006">
        <v>0</v>
      </c>
      <c r="H9" s="1006">
        <v>0</v>
      </c>
      <c r="I9" s="1006">
        <v>0</v>
      </c>
      <c r="J9" s="879">
        <v>0</v>
      </c>
      <c r="K9" s="879">
        <v>0</v>
      </c>
      <c r="L9" s="883">
        <v>0</v>
      </c>
      <c r="O9" s="220"/>
      <c r="P9" s="296"/>
      <c r="Q9" s="296"/>
      <c r="R9" s="296"/>
      <c r="S9" s="296"/>
      <c r="T9" s="296"/>
      <c r="U9" s="296"/>
    </row>
    <row r="10" spans="1:22" s="167" customFormat="1" ht="41.25" customHeight="1" x14ac:dyDescent="0.25">
      <c r="A10" s="1281" t="s">
        <v>108</v>
      </c>
      <c r="B10" s="1282"/>
      <c r="C10" s="213">
        <v>0</v>
      </c>
      <c r="D10" s="213">
        <v>0</v>
      </c>
      <c r="E10" s="213">
        <v>0</v>
      </c>
      <c r="F10" s="213">
        <v>0</v>
      </c>
      <c r="G10" s="213">
        <v>0</v>
      </c>
      <c r="H10" s="213">
        <v>0</v>
      </c>
      <c r="I10" s="213">
        <v>0</v>
      </c>
      <c r="J10" s="340">
        <v>0</v>
      </c>
      <c r="K10" s="340">
        <v>0</v>
      </c>
      <c r="L10" s="884">
        <v>0</v>
      </c>
      <c r="O10" s="220"/>
      <c r="P10" s="296"/>
      <c r="Q10" s="296"/>
      <c r="R10" s="296"/>
      <c r="S10" s="296"/>
      <c r="T10" s="296"/>
      <c r="U10" s="296"/>
    </row>
    <row r="11" spans="1:22" s="167" customFormat="1" ht="37.5" customHeight="1" x14ac:dyDescent="0.25">
      <c r="A11" s="1281" t="s">
        <v>204</v>
      </c>
      <c r="B11" s="1282"/>
      <c r="C11" s="340"/>
      <c r="D11" s="340"/>
      <c r="E11" s="340"/>
      <c r="F11" s="340"/>
      <c r="G11" s="340"/>
      <c r="H11" s="340"/>
      <c r="I11" s="213">
        <v>0</v>
      </c>
      <c r="J11" s="340">
        <v>0</v>
      </c>
      <c r="K11" s="340">
        <v>0</v>
      </c>
      <c r="L11" s="884">
        <v>0</v>
      </c>
      <c r="O11" s="220"/>
      <c r="P11" s="296"/>
      <c r="Q11" s="296"/>
      <c r="R11" s="296"/>
      <c r="S11" s="296"/>
      <c r="T11" s="296"/>
      <c r="U11" s="296"/>
    </row>
    <row r="12" spans="1:22" s="167" customFormat="1" ht="37.5" customHeight="1" x14ac:dyDescent="0.25">
      <c r="A12" s="1281" t="s">
        <v>109</v>
      </c>
      <c r="B12" s="1282"/>
      <c r="C12" s="213">
        <v>0</v>
      </c>
      <c r="D12" s="213">
        <v>0</v>
      </c>
      <c r="E12" s="213">
        <v>0</v>
      </c>
      <c r="F12" s="213">
        <v>0</v>
      </c>
      <c r="G12" s="213">
        <v>0</v>
      </c>
      <c r="H12" s="213">
        <v>0</v>
      </c>
      <c r="I12" s="213">
        <v>0</v>
      </c>
      <c r="J12" s="340">
        <v>0</v>
      </c>
      <c r="K12" s="340">
        <v>0</v>
      </c>
      <c r="L12" s="884">
        <v>0</v>
      </c>
      <c r="O12" s="220"/>
      <c r="P12" s="296"/>
      <c r="Q12" s="296"/>
      <c r="R12" s="296"/>
      <c r="S12" s="296"/>
      <c r="T12" s="296"/>
      <c r="U12" s="296"/>
    </row>
    <row r="13" spans="1:22" s="167" customFormat="1" ht="48" customHeight="1" x14ac:dyDescent="0.25">
      <c r="A13" s="1281" t="s">
        <v>110</v>
      </c>
      <c r="B13" s="1282"/>
      <c r="C13" s="213">
        <v>0</v>
      </c>
      <c r="D13" s="213">
        <v>0</v>
      </c>
      <c r="E13" s="213">
        <v>0</v>
      </c>
      <c r="F13" s="213">
        <v>0</v>
      </c>
      <c r="G13" s="213">
        <v>0</v>
      </c>
      <c r="H13" s="213">
        <v>0</v>
      </c>
      <c r="I13" s="213">
        <v>0</v>
      </c>
      <c r="J13" s="340">
        <v>0</v>
      </c>
      <c r="K13" s="340">
        <v>0</v>
      </c>
      <c r="L13" s="884">
        <v>0</v>
      </c>
      <c r="O13" s="220"/>
      <c r="P13" s="296"/>
      <c r="Q13" s="296"/>
      <c r="R13" s="296"/>
      <c r="S13" s="296"/>
      <c r="T13" s="296"/>
      <c r="U13" s="296"/>
    </row>
    <row r="14" spans="1:22" s="167" customFormat="1" ht="34.5" customHeight="1" x14ac:dyDescent="0.25">
      <c r="A14" s="1281" t="s">
        <v>111</v>
      </c>
      <c r="B14" s="1282"/>
      <c r="C14" s="213">
        <v>0</v>
      </c>
      <c r="D14" s="213">
        <v>0</v>
      </c>
      <c r="E14" s="213">
        <v>0</v>
      </c>
      <c r="F14" s="213">
        <v>0</v>
      </c>
      <c r="G14" s="213">
        <v>0</v>
      </c>
      <c r="H14" s="213">
        <v>0</v>
      </c>
      <c r="I14" s="213">
        <v>0</v>
      </c>
      <c r="J14" s="340">
        <v>0</v>
      </c>
      <c r="K14" s="340">
        <v>0</v>
      </c>
      <c r="L14" s="884">
        <v>0</v>
      </c>
      <c r="O14" s="220"/>
      <c r="P14" s="296"/>
      <c r="Q14" s="296"/>
      <c r="R14" s="296"/>
      <c r="S14" s="296"/>
      <c r="T14" s="296"/>
      <c r="U14" s="296"/>
    </row>
    <row r="15" spans="1:22" s="167" customFormat="1" ht="46.5" customHeight="1" thickBot="1" x14ac:dyDescent="0.3">
      <c r="A15" s="1277" t="s">
        <v>112</v>
      </c>
      <c r="B15" s="1278"/>
      <c r="C15" s="1007">
        <v>0</v>
      </c>
      <c r="D15" s="1007">
        <v>0</v>
      </c>
      <c r="E15" s="1007">
        <v>0</v>
      </c>
      <c r="F15" s="1007">
        <v>0</v>
      </c>
      <c r="G15" s="1007">
        <v>0</v>
      </c>
      <c r="H15" s="1007">
        <v>0</v>
      </c>
      <c r="I15" s="1007">
        <v>0</v>
      </c>
      <c r="J15" s="885">
        <v>0</v>
      </c>
      <c r="K15" s="885">
        <v>0</v>
      </c>
      <c r="L15" s="886">
        <v>0</v>
      </c>
      <c r="O15" s="220"/>
      <c r="P15" s="296"/>
      <c r="Q15" s="296"/>
      <c r="R15" s="296"/>
      <c r="S15" s="296"/>
      <c r="T15" s="296"/>
      <c r="U15" s="296"/>
    </row>
    <row r="16" spans="1:22" ht="13" thickBot="1" x14ac:dyDescent="0.3"/>
    <row r="17" spans="1:15" s="167" customFormat="1" ht="30" customHeight="1" thickBot="1" x14ac:dyDescent="0.3">
      <c r="A17" s="1285" t="s">
        <v>169</v>
      </c>
      <c r="B17" s="1286"/>
      <c r="C17" s="880">
        <f t="shared" ref="C17:L17" si="2">SUM(C18:C24)</f>
        <v>0</v>
      </c>
      <c r="D17" s="880">
        <f t="shared" si="2"/>
        <v>0</v>
      </c>
      <c r="E17" s="880">
        <f t="shared" si="2"/>
        <v>0</v>
      </c>
      <c r="F17" s="880">
        <f t="shared" si="2"/>
        <v>0</v>
      </c>
      <c r="G17" s="880">
        <f t="shared" si="2"/>
        <v>0</v>
      </c>
      <c r="H17" s="880">
        <f t="shared" si="2"/>
        <v>0</v>
      </c>
      <c r="I17" s="880">
        <f t="shared" si="2"/>
        <v>0</v>
      </c>
      <c r="J17" s="881">
        <f t="shared" si="2"/>
        <v>0</v>
      </c>
      <c r="K17" s="881">
        <f t="shared" si="2"/>
        <v>0</v>
      </c>
      <c r="L17" s="882">
        <f t="shared" si="2"/>
        <v>0</v>
      </c>
      <c r="O17" s="220"/>
    </row>
    <row r="18" spans="1:15" s="167" customFormat="1" ht="38.25" customHeight="1" x14ac:dyDescent="0.25">
      <c r="A18" s="1279" t="s">
        <v>107</v>
      </c>
      <c r="B18" s="1280"/>
      <c r="C18" s="1006">
        <v>0</v>
      </c>
      <c r="D18" s="1006">
        <v>0</v>
      </c>
      <c r="E18" s="1006">
        <v>0</v>
      </c>
      <c r="F18" s="1006">
        <v>0</v>
      </c>
      <c r="G18" s="1006">
        <v>0</v>
      </c>
      <c r="H18" s="1006">
        <v>0</v>
      </c>
      <c r="I18" s="1006">
        <v>0</v>
      </c>
      <c r="J18" s="879">
        <v>0</v>
      </c>
      <c r="K18" s="879">
        <v>0</v>
      </c>
      <c r="L18" s="883">
        <v>0</v>
      </c>
      <c r="O18" s="220"/>
    </row>
    <row r="19" spans="1:15" s="167" customFormat="1" ht="41.25" customHeight="1" x14ac:dyDescent="0.25">
      <c r="A19" s="1281" t="s">
        <v>108</v>
      </c>
      <c r="B19" s="1282"/>
      <c r="C19" s="213">
        <v>0</v>
      </c>
      <c r="D19" s="213">
        <v>0</v>
      </c>
      <c r="E19" s="213">
        <v>0</v>
      </c>
      <c r="F19" s="213">
        <v>0</v>
      </c>
      <c r="G19" s="213">
        <v>0</v>
      </c>
      <c r="H19" s="213">
        <v>0</v>
      </c>
      <c r="I19" s="213">
        <v>0</v>
      </c>
      <c r="J19" s="340">
        <v>0</v>
      </c>
      <c r="K19" s="340">
        <v>0</v>
      </c>
      <c r="L19" s="884">
        <v>0</v>
      </c>
      <c r="O19" s="220"/>
    </row>
    <row r="20" spans="1:15" s="167" customFormat="1" ht="37.5" customHeight="1" x14ac:dyDescent="0.25">
      <c r="A20" s="1281" t="s">
        <v>204</v>
      </c>
      <c r="B20" s="1282"/>
      <c r="C20" s="340"/>
      <c r="D20" s="340"/>
      <c r="E20" s="340"/>
      <c r="F20" s="340"/>
      <c r="G20" s="340"/>
      <c r="H20" s="340"/>
      <c r="I20" s="213">
        <v>0</v>
      </c>
      <c r="J20" s="340">
        <v>0</v>
      </c>
      <c r="K20" s="340">
        <v>0</v>
      </c>
      <c r="L20" s="884">
        <v>0</v>
      </c>
      <c r="O20" s="220"/>
    </row>
    <row r="21" spans="1:15" s="167" customFormat="1" ht="37.5" customHeight="1" x14ac:dyDescent="0.25">
      <c r="A21" s="1281" t="s">
        <v>109</v>
      </c>
      <c r="B21" s="1282"/>
      <c r="C21" s="213">
        <v>0</v>
      </c>
      <c r="D21" s="213">
        <v>0</v>
      </c>
      <c r="E21" s="213">
        <v>0</v>
      </c>
      <c r="F21" s="213">
        <v>0</v>
      </c>
      <c r="G21" s="213">
        <v>0</v>
      </c>
      <c r="H21" s="213">
        <v>0</v>
      </c>
      <c r="I21" s="213">
        <v>0</v>
      </c>
      <c r="J21" s="340">
        <v>0</v>
      </c>
      <c r="K21" s="340">
        <v>0</v>
      </c>
      <c r="L21" s="884">
        <v>0</v>
      </c>
      <c r="O21" s="220"/>
    </row>
    <row r="22" spans="1:15" s="167" customFormat="1" ht="48" customHeight="1" x14ac:dyDescent="0.25">
      <c r="A22" s="1281" t="s">
        <v>110</v>
      </c>
      <c r="B22" s="1282"/>
      <c r="C22" s="213">
        <v>0</v>
      </c>
      <c r="D22" s="213">
        <v>0</v>
      </c>
      <c r="E22" s="213">
        <v>0</v>
      </c>
      <c r="F22" s="213">
        <v>0</v>
      </c>
      <c r="G22" s="213">
        <v>0</v>
      </c>
      <c r="H22" s="213">
        <v>0</v>
      </c>
      <c r="I22" s="213">
        <v>0</v>
      </c>
      <c r="J22" s="340">
        <v>0</v>
      </c>
      <c r="K22" s="340">
        <v>0</v>
      </c>
      <c r="L22" s="884">
        <v>0</v>
      </c>
      <c r="O22" s="220"/>
    </row>
    <row r="23" spans="1:15" s="167" customFormat="1" ht="34.5" customHeight="1" x14ac:dyDescent="0.25">
      <c r="A23" s="1281" t="s">
        <v>111</v>
      </c>
      <c r="B23" s="1282"/>
      <c r="C23" s="213">
        <v>0</v>
      </c>
      <c r="D23" s="213">
        <v>0</v>
      </c>
      <c r="E23" s="213">
        <v>0</v>
      </c>
      <c r="F23" s="213">
        <v>0</v>
      </c>
      <c r="G23" s="213">
        <v>0</v>
      </c>
      <c r="H23" s="213">
        <v>0</v>
      </c>
      <c r="I23" s="213">
        <v>0</v>
      </c>
      <c r="J23" s="340">
        <v>0</v>
      </c>
      <c r="K23" s="340">
        <v>0</v>
      </c>
      <c r="L23" s="884">
        <v>0</v>
      </c>
      <c r="O23" s="220"/>
    </row>
    <row r="24" spans="1:15" s="167" customFormat="1" ht="46.5" customHeight="1" thickBot="1" x14ac:dyDescent="0.3">
      <c r="A24" s="1277" t="s">
        <v>112</v>
      </c>
      <c r="B24" s="1278"/>
      <c r="C24" s="1007">
        <v>0</v>
      </c>
      <c r="D24" s="1007">
        <v>0</v>
      </c>
      <c r="E24" s="1007">
        <v>0</v>
      </c>
      <c r="F24" s="1007">
        <v>0</v>
      </c>
      <c r="G24" s="1007">
        <v>0</v>
      </c>
      <c r="H24" s="1007">
        <v>0</v>
      </c>
      <c r="I24" s="1007">
        <v>0</v>
      </c>
      <c r="J24" s="885">
        <v>0</v>
      </c>
      <c r="K24" s="885">
        <v>0</v>
      </c>
      <c r="L24" s="886">
        <v>0</v>
      </c>
      <c r="O24" s="220"/>
    </row>
    <row r="25" spans="1:15" ht="13" thickBot="1" x14ac:dyDescent="0.3"/>
    <row r="26" spans="1:15" s="176" customFormat="1" ht="27.75" customHeight="1" thickBot="1" x14ac:dyDescent="0.3">
      <c r="A26" s="1287" t="s">
        <v>157</v>
      </c>
      <c r="B26" s="1288"/>
      <c r="C26" s="889">
        <f t="shared" ref="C26:L26" si="3">SUM(C27:C33)</f>
        <v>0</v>
      </c>
      <c r="D26" s="889">
        <f t="shared" si="3"/>
        <v>0</v>
      </c>
      <c r="E26" s="889">
        <f t="shared" si="3"/>
        <v>0</v>
      </c>
      <c r="F26" s="889">
        <f t="shared" si="3"/>
        <v>0</v>
      </c>
      <c r="G26" s="889">
        <f t="shared" si="3"/>
        <v>0</v>
      </c>
      <c r="H26" s="889">
        <f t="shared" si="3"/>
        <v>0</v>
      </c>
      <c r="I26" s="889">
        <f t="shared" si="3"/>
        <v>0</v>
      </c>
      <c r="J26" s="890">
        <f t="shared" si="3"/>
        <v>0</v>
      </c>
      <c r="K26" s="890">
        <f t="shared" si="3"/>
        <v>0</v>
      </c>
      <c r="L26" s="891">
        <f t="shared" si="3"/>
        <v>0</v>
      </c>
    </row>
    <row r="27" spans="1:15" s="224" customFormat="1" ht="38.25" customHeight="1" x14ac:dyDescent="0.25">
      <c r="A27" s="1279" t="s">
        <v>107</v>
      </c>
      <c r="B27" s="1280"/>
      <c r="C27" s="887">
        <f t="shared" ref="C27:H28" si="4">+C9-C18</f>
        <v>0</v>
      </c>
      <c r="D27" s="887">
        <f t="shared" si="4"/>
        <v>0</v>
      </c>
      <c r="E27" s="887">
        <f t="shared" si="4"/>
        <v>0</v>
      </c>
      <c r="F27" s="887">
        <f t="shared" si="4"/>
        <v>0</v>
      </c>
      <c r="G27" s="887">
        <f t="shared" si="4"/>
        <v>0</v>
      </c>
      <c r="H27" s="887">
        <f t="shared" si="4"/>
        <v>0</v>
      </c>
      <c r="I27" s="887">
        <f>+(I9-I18)+(I13-I22)+(I11-I20)</f>
        <v>0</v>
      </c>
      <c r="J27" s="888">
        <f>+(J9-J18)+(J13-J22)+(J11-J20)</f>
        <v>0</v>
      </c>
      <c r="K27" s="888">
        <f>+(K9-K18)+(K13-K22)+(K11-K20)</f>
        <v>0</v>
      </c>
      <c r="L27" s="892">
        <f>+(L9-L18)+(L13-L22)+(L11-L20)</f>
        <v>0</v>
      </c>
      <c r="O27" s="225"/>
    </row>
    <row r="28" spans="1:15" s="224" customFormat="1" ht="41.25" customHeight="1" x14ac:dyDescent="0.25">
      <c r="A28" s="1281" t="s">
        <v>108</v>
      </c>
      <c r="B28" s="1282"/>
      <c r="C28" s="177">
        <f t="shared" si="4"/>
        <v>0</v>
      </c>
      <c r="D28" s="177">
        <f t="shared" si="4"/>
        <v>0</v>
      </c>
      <c r="E28" s="177">
        <f t="shared" si="4"/>
        <v>0</v>
      </c>
      <c r="F28" s="177">
        <f t="shared" si="4"/>
        <v>0</v>
      </c>
      <c r="G28" s="177">
        <f t="shared" si="4"/>
        <v>0</v>
      </c>
      <c r="H28" s="177">
        <f t="shared" si="4"/>
        <v>0</v>
      </c>
      <c r="I28" s="177">
        <f t="shared" ref="I28:L30" si="5">+I10-I19</f>
        <v>0</v>
      </c>
      <c r="J28" s="339">
        <f t="shared" si="5"/>
        <v>0</v>
      </c>
      <c r="K28" s="339">
        <f t="shared" si="5"/>
        <v>0</v>
      </c>
      <c r="L28" s="893">
        <f t="shared" si="5"/>
        <v>0</v>
      </c>
      <c r="O28" s="225"/>
    </row>
    <row r="29" spans="1:15" s="224" customFormat="1" ht="41.25" customHeight="1" x14ac:dyDescent="0.25">
      <c r="A29" s="1281" t="s">
        <v>204</v>
      </c>
      <c r="B29" s="1282"/>
      <c r="C29" s="339"/>
      <c r="D29" s="339"/>
      <c r="E29" s="339"/>
      <c r="F29" s="339"/>
      <c r="G29" s="339"/>
      <c r="H29" s="339"/>
      <c r="I29" s="339"/>
      <c r="J29" s="339"/>
      <c r="K29" s="339"/>
      <c r="L29" s="893"/>
      <c r="O29" s="225"/>
    </row>
    <row r="30" spans="1:15" s="224" customFormat="1" ht="37.5" customHeight="1" x14ac:dyDescent="0.25">
      <c r="A30" s="1281" t="s">
        <v>109</v>
      </c>
      <c r="B30" s="1282"/>
      <c r="C30" s="177">
        <f t="shared" ref="C30:H33" si="6">+C12-C21</f>
        <v>0</v>
      </c>
      <c r="D30" s="177">
        <f t="shared" si="6"/>
        <v>0</v>
      </c>
      <c r="E30" s="177">
        <f t="shared" si="6"/>
        <v>0</v>
      </c>
      <c r="F30" s="177">
        <f t="shared" si="6"/>
        <v>0</v>
      </c>
      <c r="G30" s="177">
        <f t="shared" si="6"/>
        <v>0</v>
      </c>
      <c r="H30" s="177">
        <f t="shared" si="6"/>
        <v>0</v>
      </c>
      <c r="I30" s="177">
        <f t="shared" si="5"/>
        <v>0</v>
      </c>
      <c r="J30" s="339">
        <f t="shared" si="5"/>
        <v>0</v>
      </c>
      <c r="K30" s="339">
        <f t="shared" si="5"/>
        <v>0</v>
      </c>
      <c r="L30" s="893">
        <f t="shared" si="5"/>
        <v>0</v>
      </c>
      <c r="O30" s="225"/>
    </row>
    <row r="31" spans="1:15" s="224" customFormat="1" ht="48" customHeight="1" x14ac:dyDescent="0.25">
      <c r="A31" s="1281" t="s">
        <v>110</v>
      </c>
      <c r="B31" s="1282"/>
      <c r="C31" s="177">
        <f t="shared" si="6"/>
        <v>0</v>
      </c>
      <c r="D31" s="177">
        <f t="shared" si="6"/>
        <v>0</v>
      </c>
      <c r="E31" s="177">
        <f t="shared" si="6"/>
        <v>0</v>
      </c>
      <c r="F31" s="177">
        <f t="shared" si="6"/>
        <v>0</v>
      </c>
      <c r="G31" s="177">
        <f t="shared" si="6"/>
        <v>0</v>
      </c>
      <c r="H31" s="177">
        <f t="shared" si="6"/>
        <v>0</v>
      </c>
      <c r="I31" s="339"/>
      <c r="J31" s="339"/>
      <c r="K31" s="339"/>
      <c r="L31" s="893"/>
      <c r="O31" s="225"/>
    </row>
    <row r="32" spans="1:15" s="224" customFormat="1" ht="34.5" customHeight="1" x14ac:dyDescent="0.25">
      <c r="A32" s="1281" t="s">
        <v>111</v>
      </c>
      <c r="B32" s="1282"/>
      <c r="C32" s="177">
        <f t="shared" si="6"/>
        <v>0</v>
      </c>
      <c r="D32" s="177">
        <f t="shared" si="6"/>
        <v>0</v>
      </c>
      <c r="E32" s="177">
        <f t="shared" si="6"/>
        <v>0</v>
      </c>
      <c r="F32" s="177">
        <f t="shared" si="6"/>
        <v>0</v>
      </c>
      <c r="G32" s="177">
        <f t="shared" si="6"/>
        <v>0</v>
      </c>
      <c r="H32" s="177">
        <f t="shared" si="6"/>
        <v>0</v>
      </c>
      <c r="I32" s="177">
        <f t="shared" ref="I32:L33" si="7">+I14-I23</f>
        <v>0</v>
      </c>
      <c r="J32" s="339">
        <f t="shared" si="7"/>
        <v>0</v>
      </c>
      <c r="K32" s="339">
        <f t="shared" si="7"/>
        <v>0</v>
      </c>
      <c r="L32" s="893">
        <f t="shared" si="7"/>
        <v>0</v>
      </c>
      <c r="O32" s="225"/>
    </row>
    <row r="33" spans="1:33" s="224" customFormat="1" ht="46.5" customHeight="1" thickBot="1" x14ac:dyDescent="0.3">
      <c r="A33" s="1277" t="s">
        <v>112</v>
      </c>
      <c r="B33" s="1278"/>
      <c r="C33" s="894">
        <f t="shared" si="6"/>
        <v>0</v>
      </c>
      <c r="D33" s="894">
        <f t="shared" si="6"/>
        <v>0</v>
      </c>
      <c r="E33" s="894">
        <f t="shared" si="6"/>
        <v>0</v>
      </c>
      <c r="F33" s="894">
        <f t="shared" si="6"/>
        <v>0</v>
      </c>
      <c r="G33" s="894">
        <f t="shared" si="6"/>
        <v>0</v>
      </c>
      <c r="H33" s="894">
        <f t="shared" si="6"/>
        <v>0</v>
      </c>
      <c r="I33" s="894">
        <f t="shared" si="7"/>
        <v>0</v>
      </c>
      <c r="J33" s="895">
        <f t="shared" si="7"/>
        <v>0</v>
      </c>
      <c r="K33" s="895">
        <f t="shared" si="7"/>
        <v>0</v>
      </c>
      <c r="L33" s="896">
        <f t="shared" si="7"/>
        <v>0</v>
      </c>
      <c r="O33" s="225"/>
    </row>
    <row r="34" spans="1:33" s="167" customFormat="1" ht="13" x14ac:dyDescent="0.25">
      <c r="A34" s="224"/>
      <c r="C34" s="241" t="s">
        <v>165</v>
      </c>
      <c r="O34" s="220"/>
    </row>
    <row r="35" spans="1:33" s="167" customFormat="1" ht="13" x14ac:dyDescent="0.25">
      <c r="A35" s="224"/>
      <c r="C35" s="243" t="s">
        <v>126</v>
      </c>
      <c r="O35" s="220"/>
    </row>
    <row r="36" spans="1:33" s="167" customFormat="1" ht="13" x14ac:dyDescent="0.25">
      <c r="A36" s="224"/>
      <c r="C36" s="220"/>
      <c r="O36" s="220"/>
    </row>
    <row r="37" spans="1:33" ht="14.25" customHeight="1" thickBot="1" x14ac:dyDescent="0.3">
      <c r="A37" s="232"/>
      <c r="B37" s="333"/>
      <c r="C37" s="333"/>
      <c r="D37" s="333"/>
      <c r="E37" s="333"/>
      <c r="F37" s="333"/>
      <c r="G37" s="333"/>
      <c r="H37" s="333"/>
      <c r="I37" s="333"/>
      <c r="J37" s="333"/>
      <c r="K37" s="333"/>
      <c r="L37" s="333"/>
      <c r="M37" s="333"/>
      <c r="N37" s="333"/>
      <c r="O37" s="235"/>
      <c r="P37" s="235"/>
    </row>
    <row r="38" spans="1:33" s="179" customFormat="1" ht="20.149999999999999" customHeight="1" thickBot="1" x14ac:dyDescent="0.3">
      <c r="A38" s="1217" t="s">
        <v>40</v>
      </c>
      <c r="B38" s="1218"/>
      <c r="C38" s="1218"/>
      <c r="D38" s="1218"/>
      <c r="E38" s="1218"/>
      <c r="F38" s="1218"/>
      <c r="G38" s="1218"/>
      <c r="H38" s="1218"/>
      <c r="I38" s="1218"/>
      <c r="J38" s="1218"/>
      <c r="K38" s="1218"/>
      <c r="L38" s="1218"/>
      <c r="M38" s="1218"/>
      <c r="N38" s="1219"/>
      <c r="O38" s="235"/>
      <c r="P38" s="235"/>
      <c r="Q38" s="178"/>
      <c r="R38" s="178"/>
      <c r="S38" s="178"/>
      <c r="T38" s="178"/>
      <c r="U38" s="178"/>
      <c r="V38" s="178"/>
      <c r="W38" s="178"/>
      <c r="X38" s="178"/>
      <c r="Y38" s="178"/>
      <c r="Z38" s="178"/>
      <c r="AA38" s="178"/>
      <c r="AB38" s="178"/>
      <c r="AC38" s="178"/>
      <c r="AD38" s="178"/>
      <c r="AE38" s="178"/>
      <c r="AF38" s="178"/>
      <c r="AG38" s="178"/>
    </row>
    <row r="39" spans="1:33" ht="13" thickBot="1" x14ac:dyDescent="0.3"/>
    <row r="40" spans="1:33" s="179" customFormat="1" ht="17" thickBot="1" x14ac:dyDescent="0.3">
      <c r="A40" s="178"/>
      <c r="B40" s="178"/>
      <c r="C40" s="1220" t="s">
        <v>30</v>
      </c>
      <c r="D40" s="1221"/>
      <c r="E40" s="1221"/>
      <c r="F40" s="1221"/>
      <c r="G40" s="1221"/>
      <c r="H40" s="1221"/>
      <c r="I40" s="1221"/>
      <c r="J40" s="1221"/>
      <c r="K40" s="1221"/>
      <c r="L40" s="1221"/>
      <c r="M40" s="178"/>
      <c r="N40" s="178"/>
      <c r="O40" s="178"/>
      <c r="P40" s="178"/>
      <c r="Q40" s="178"/>
      <c r="R40" s="178"/>
      <c r="S40" s="178"/>
      <c r="T40" s="178"/>
      <c r="U40" s="178"/>
      <c r="V40" s="178"/>
      <c r="W40" s="178"/>
      <c r="X40" s="178"/>
      <c r="Y40" s="178"/>
      <c r="Z40" s="178"/>
      <c r="AA40" s="178"/>
      <c r="AB40" s="178"/>
      <c r="AC40" s="178"/>
      <c r="AD40" s="178"/>
      <c r="AE40" s="178"/>
      <c r="AF40" s="178"/>
      <c r="AG40" s="178"/>
    </row>
    <row r="41" spans="1:33" s="179" customFormat="1" ht="13.5" thickBot="1" x14ac:dyDescent="0.3">
      <c r="A41" s="178"/>
      <c r="B41" s="178"/>
      <c r="C41" s="334">
        <f t="shared" ref="C41:L41" si="8">+C7</f>
        <v>2015</v>
      </c>
      <c r="D41" s="335">
        <f t="shared" si="8"/>
        <v>2016</v>
      </c>
      <c r="E41" s="335">
        <f t="shared" si="8"/>
        <v>2017</v>
      </c>
      <c r="F41" s="335">
        <f t="shared" si="8"/>
        <v>2018</v>
      </c>
      <c r="G41" s="335">
        <f t="shared" si="8"/>
        <v>2019</v>
      </c>
      <c r="H41" s="335">
        <f t="shared" si="8"/>
        <v>2020</v>
      </c>
      <c r="I41" s="335">
        <f t="shared" si="8"/>
        <v>2021</v>
      </c>
      <c r="J41" s="850">
        <f t="shared" si="8"/>
        <v>2022</v>
      </c>
      <c r="K41" s="850">
        <f t="shared" si="8"/>
        <v>2023</v>
      </c>
      <c r="L41" s="850">
        <f t="shared" si="8"/>
        <v>2024</v>
      </c>
      <c r="M41" s="178"/>
      <c r="N41" s="178"/>
      <c r="O41" s="178"/>
      <c r="P41" s="178"/>
      <c r="Q41" s="178"/>
      <c r="R41" s="178"/>
      <c r="S41" s="178"/>
      <c r="T41" s="178"/>
      <c r="U41" s="178"/>
      <c r="V41" s="178"/>
      <c r="W41" s="178"/>
      <c r="X41" s="178"/>
      <c r="Y41" s="178"/>
      <c r="Z41" s="178"/>
      <c r="AA41" s="178"/>
      <c r="AB41" s="178"/>
      <c r="AC41" s="178"/>
      <c r="AD41" s="178"/>
      <c r="AE41" s="178"/>
      <c r="AF41" s="178"/>
      <c r="AG41" s="178"/>
    </row>
    <row r="42" spans="1:33" s="179" customFormat="1" x14ac:dyDescent="0.25">
      <c r="A42" s="178"/>
      <c r="B42" s="178"/>
      <c r="C42" s="986">
        <f>+C26</f>
        <v>0</v>
      </c>
      <c r="D42" s="986">
        <f t="shared" ref="D42:L42" si="9">+D26</f>
        <v>0</v>
      </c>
      <c r="E42" s="986">
        <f t="shared" si="9"/>
        <v>0</v>
      </c>
      <c r="F42" s="986">
        <f t="shared" si="9"/>
        <v>0</v>
      </c>
      <c r="G42" s="986">
        <f t="shared" si="9"/>
        <v>0</v>
      </c>
      <c r="H42" s="986">
        <f t="shared" si="9"/>
        <v>0</v>
      </c>
      <c r="I42" s="986">
        <f t="shared" si="9"/>
        <v>0</v>
      </c>
      <c r="J42" s="851">
        <f t="shared" si="9"/>
        <v>0</v>
      </c>
      <c r="K42" s="851">
        <f t="shared" si="9"/>
        <v>0</v>
      </c>
      <c r="L42" s="851">
        <f t="shared" si="9"/>
        <v>0</v>
      </c>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3" x14ac:dyDescent="0.25">
      <c r="C43" s="241" t="s">
        <v>165</v>
      </c>
      <c r="F43" s="242"/>
      <c r="G43" s="242"/>
      <c r="H43" s="242"/>
      <c r="I43" s="242"/>
      <c r="J43" s="242"/>
      <c r="K43" s="242"/>
      <c r="L43" s="242"/>
    </row>
    <row r="44" spans="1:33" ht="13" x14ac:dyDescent="0.25">
      <c r="C44" s="243" t="s">
        <v>126</v>
      </c>
    </row>
    <row r="45" spans="1:33" x14ac:dyDescent="0.25">
      <c r="C45" s="244"/>
    </row>
    <row r="46" spans="1:33" ht="13" thickBot="1" x14ac:dyDescent="0.3">
      <c r="C46" s="244"/>
    </row>
    <row r="47" spans="1:33" ht="19" customHeight="1" thickBot="1" x14ac:dyDescent="0.3">
      <c r="A47" s="1217" t="s">
        <v>18</v>
      </c>
      <c r="B47" s="1218"/>
      <c r="C47" s="1218"/>
      <c r="D47" s="1218"/>
      <c r="E47" s="1218"/>
      <c r="F47" s="1218"/>
      <c r="G47" s="1218"/>
      <c r="H47" s="1218"/>
      <c r="I47" s="1218"/>
      <c r="J47" s="1218"/>
      <c r="K47" s="1218"/>
      <c r="L47" s="1218"/>
      <c r="M47" s="1218"/>
      <c r="N47" s="1219"/>
      <c r="O47" s="1272"/>
      <c r="P47" s="1272"/>
    </row>
    <row r="49" spans="1:33" ht="13" x14ac:dyDescent="0.25">
      <c r="C49" s="241" t="s">
        <v>165</v>
      </c>
    </row>
    <row r="50" spans="1:33" ht="13" x14ac:dyDescent="0.25">
      <c r="C50" s="243" t="s">
        <v>126</v>
      </c>
    </row>
    <row r="51" spans="1:33" ht="16.5" x14ac:dyDescent="0.25">
      <c r="C51" s="1210" t="s">
        <v>19</v>
      </c>
      <c r="D51" s="1211"/>
      <c r="E51" s="1211"/>
      <c r="F51" s="1211"/>
      <c r="G51" s="1211"/>
      <c r="H51" s="1211"/>
      <c r="I51" s="1211"/>
      <c r="J51" s="1211"/>
      <c r="K51" s="1211"/>
      <c r="L51" s="1212"/>
      <c r="N51" s="245" t="s">
        <v>20</v>
      </c>
    </row>
    <row r="52" spans="1:33" ht="13.5" thickBot="1" x14ac:dyDescent="0.3">
      <c r="A52" s="1213"/>
      <c r="B52" s="1213"/>
      <c r="C52" s="246">
        <f t="shared" ref="C52:L52" si="10">C41</f>
        <v>2015</v>
      </c>
      <c r="D52" s="247">
        <f t="shared" si="10"/>
        <v>2016</v>
      </c>
      <c r="E52" s="247">
        <f t="shared" si="10"/>
        <v>2017</v>
      </c>
      <c r="F52" s="247">
        <f t="shared" si="10"/>
        <v>2018</v>
      </c>
      <c r="G52" s="247">
        <f t="shared" si="10"/>
        <v>2019</v>
      </c>
      <c r="H52" s="247">
        <f t="shared" si="10"/>
        <v>2020</v>
      </c>
      <c r="I52" s="247">
        <f t="shared" si="10"/>
        <v>2021</v>
      </c>
      <c r="J52" s="809">
        <f t="shared" si="10"/>
        <v>2022</v>
      </c>
      <c r="K52" s="809">
        <f t="shared" si="10"/>
        <v>2023</v>
      </c>
      <c r="L52" s="809">
        <f t="shared" si="10"/>
        <v>2024</v>
      </c>
      <c r="N52" s="248"/>
    </row>
    <row r="53" spans="1:33" s="179" customFormat="1" ht="13" thickBot="1" x14ac:dyDescent="0.3">
      <c r="A53" s="1204" t="s">
        <v>21</v>
      </c>
      <c r="B53" s="249">
        <f>C41</f>
        <v>2015</v>
      </c>
      <c r="C53" s="989">
        <v>0</v>
      </c>
      <c r="D53" s="250"/>
      <c r="E53" s="250"/>
      <c r="F53" s="250"/>
      <c r="G53" s="250"/>
      <c r="H53" s="250"/>
      <c r="I53" s="250"/>
      <c r="J53" s="810"/>
      <c r="K53" s="810"/>
      <c r="L53" s="811"/>
      <c r="M53" s="252"/>
      <c r="N53" s="253">
        <f t="shared" ref="N53:N62" si="11">SUM(C53:L53)</f>
        <v>0</v>
      </c>
      <c r="O53" s="178"/>
      <c r="P53" s="178"/>
      <c r="Q53" s="178"/>
      <c r="R53" s="178"/>
      <c r="S53" s="178"/>
      <c r="T53" s="178"/>
      <c r="U53" s="178"/>
      <c r="V53" s="178"/>
      <c r="W53" s="178"/>
      <c r="X53" s="178"/>
      <c r="Y53" s="178"/>
      <c r="Z53" s="178"/>
      <c r="AA53" s="178"/>
      <c r="AB53" s="178"/>
      <c r="AC53" s="178"/>
      <c r="AD53" s="178"/>
      <c r="AE53" s="178"/>
      <c r="AF53" s="178"/>
      <c r="AG53" s="178"/>
    </row>
    <row r="54" spans="1:33" s="179" customFormat="1" ht="13" thickBot="1" x14ac:dyDescent="0.3">
      <c r="A54" s="1289"/>
      <c r="B54" s="290">
        <f>D41</f>
        <v>2016</v>
      </c>
      <c r="C54" s="336">
        <f>+C$42-C53</f>
        <v>0</v>
      </c>
      <c r="D54" s="989">
        <v>0</v>
      </c>
      <c r="E54" s="256"/>
      <c r="F54" s="256"/>
      <c r="G54" s="256"/>
      <c r="H54" s="256"/>
      <c r="I54" s="256"/>
      <c r="J54" s="812"/>
      <c r="K54" s="812"/>
      <c r="L54" s="813"/>
      <c r="M54" s="252"/>
      <c r="N54" s="253">
        <f t="shared" si="11"/>
        <v>0</v>
      </c>
      <c r="O54" s="178"/>
      <c r="P54" s="178"/>
      <c r="Q54" s="178"/>
      <c r="R54" s="178"/>
      <c r="S54" s="178"/>
      <c r="T54" s="178"/>
      <c r="U54" s="178"/>
      <c r="V54" s="178"/>
      <c r="W54" s="178"/>
      <c r="X54" s="178"/>
      <c r="Y54" s="178"/>
      <c r="Z54" s="178"/>
      <c r="AA54" s="178"/>
      <c r="AB54" s="178"/>
      <c r="AC54" s="178"/>
      <c r="AD54" s="178"/>
      <c r="AE54" s="178"/>
      <c r="AF54" s="178"/>
      <c r="AG54" s="178"/>
    </row>
    <row r="55" spans="1:33" s="179" customFormat="1" ht="13" thickBot="1" x14ac:dyDescent="0.3">
      <c r="A55" s="1289"/>
      <c r="B55" s="290">
        <f>E41</f>
        <v>2017</v>
      </c>
      <c r="C55" s="256"/>
      <c r="D55" s="336">
        <f>+D$42-D54</f>
        <v>0</v>
      </c>
      <c r="E55" s="989">
        <v>0</v>
      </c>
      <c r="F55" s="256"/>
      <c r="G55" s="256"/>
      <c r="H55" s="256"/>
      <c r="I55" s="256"/>
      <c r="J55" s="812"/>
      <c r="K55" s="812"/>
      <c r="L55" s="813"/>
      <c r="M55" s="252"/>
      <c r="N55" s="253">
        <f t="shared" si="11"/>
        <v>0</v>
      </c>
      <c r="O55" s="178"/>
      <c r="P55" s="178"/>
      <c r="Q55" s="178"/>
      <c r="R55" s="178"/>
      <c r="S55" s="178"/>
      <c r="T55" s="178"/>
      <c r="U55" s="178"/>
      <c r="V55" s="178"/>
      <c r="W55" s="178"/>
      <c r="X55" s="178"/>
      <c r="Y55" s="178"/>
      <c r="Z55" s="178"/>
      <c r="AA55" s="178"/>
      <c r="AB55" s="178"/>
      <c r="AC55" s="178"/>
      <c r="AD55" s="178"/>
      <c r="AE55" s="178"/>
      <c r="AF55" s="178"/>
      <c r="AG55" s="178"/>
    </row>
    <row r="56" spans="1:33" s="179" customFormat="1" ht="13" thickBot="1" x14ac:dyDescent="0.3">
      <c r="A56" s="1289"/>
      <c r="B56" s="290">
        <f>F41</f>
        <v>2018</v>
      </c>
      <c r="C56" s="256"/>
      <c r="D56" s="256"/>
      <c r="E56" s="336">
        <f>+E$42-E55</f>
        <v>0</v>
      </c>
      <c r="F56" s="989">
        <v>0</v>
      </c>
      <c r="G56" s="256"/>
      <c r="H56" s="256"/>
      <c r="I56" s="256"/>
      <c r="J56" s="812"/>
      <c r="K56" s="812"/>
      <c r="L56" s="813"/>
      <c r="M56" s="252"/>
      <c r="N56" s="253">
        <f t="shared" si="11"/>
        <v>0</v>
      </c>
      <c r="O56" s="178"/>
      <c r="P56" s="178"/>
      <c r="Q56" s="178"/>
      <c r="R56" s="178"/>
      <c r="S56" s="178"/>
      <c r="T56" s="178"/>
      <c r="U56" s="178"/>
      <c r="V56" s="178"/>
      <c r="W56" s="178"/>
      <c r="X56" s="178"/>
      <c r="Y56" s="178"/>
      <c r="Z56" s="178"/>
      <c r="AA56" s="178"/>
      <c r="AB56" s="178"/>
      <c r="AC56" s="178"/>
      <c r="AD56" s="178"/>
      <c r="AE56" s="178"/>
      <c r="AF56" s="178"/>
      <c r="AG56" s="178"/>
    </row>
    <row r="57" spans="1:33" s="179" customFormat="1" ht="13" thickBot="1" x14ac:dyDescent="0.3">
      <c r="A57" s="1289"/>
      <c r="B57" s="290">
        <f>G41</f>
        <v>2019</v>
      </c>
      <c r="C57" s="256"/>
      <c r="D57" s="256"/>
      <c r="E57" s="256"/>
      <c r="F57" s="336">
        <f>+F$42-F56</f>
        <v>0</v>
      </c>
      <c r="G57" s="989">
        <v>0</v>
      </c>
      <c r="H57" s="256"/>
      <c r="I57" s="256"/>
      <c r="J57" s="812"/>
      <c r="K57" s="812"/>
      <c r="L57" s="813"/>
      <c r="M57" s="252"/>
      <c r="N57" s="253">
        <f t="shared" si="11"/>
        <v>0</v>
      </c>
      <c r="O57" s="178"/>
      <c r="P57" s="178"/>
      <c r="Q57" s="178"/>
      <c r="R57" s="178"/>
      <c r="S57" s="178"/>
      <c r="T57" s="178"/>
      <c r="U57" s="178"/>
      <c r="V57" s="178"/>
      <c r="W57" s="178"/>
      <c r="X57" s="178"/>
      <c r="Y57" s="178"/>
      <c r="Z57" s="178"/>
      <c r="AA57" s="178"/>
      <c r="AB57" s="178"/>
      <c r="AC57" s="178"/>
      <c r="AD57" s="178"/>
      <c r="AE57" s="178"/>
      <c r="AF57" s="178"/>
      <c r="AG57" s="178"/>
    </row>
    <row r="58" spans="1:33" s="179" customFormat="1" ht="13" thickBot="1" x14ac:dyDescent="0.3">
      <c r="A58" s="1289"/>
      <c r="B58" s="290">
        <f>H41</f>
        <v>2020</v>
      </c>
      <c r="C58" s="256"/>
      <c r="D58" s="256"/>
      <c r="E58" s="256"/>
      <c r="F58" s="259"/>
      <c r="G58" s="336">
        <f>+G$42-G57</f>
        <v>0</v>
      </c>
      <c r="H58" s="989">
        <v>0</v>
      </c>
      <c r="I58" s="256"/>
      <c r="J58" s="812"/>
      <c r="K58" s="812"/>
      <c r="L58" s="813"/>
      <c r="M58" s="252"/>
      <c r="N58" s="253">
        <f t="shared" si="11"/>
        <v>0</v>
      </c>
      <c r="O58" s="178"/>
      <c r="P58" s="178"/>
      <c r="Q58" s="178"/>
      <c r="R58" s="178"/>
      <c r="S58" s="178"/>
      <c r="T58" s="178"/>
      <c r="U58" s="178"/>
      <c r="V58" s="178"/>
      <c r="W58" s="178"/>
      <c r="X58" s="178"/>
      <c r="Y58" s="178"/>
      <c r="Z58" s="178"/>
      <c r="AA58" s="178"/>
      <c r="AB58" s="178"/>
      <c r="AC58" s="178"/>
      <c r="AD58" s="178"/>
      <c r="AE58" s="178"/>
      <c r="AF58" s="178"/>
      <c r="AG58" s="178"/>
    </row>
    <row r="59" spans="1:33" s="179" customFormat="1" ht="13" thickBot="1" x14ac:dyDescent="0.3">
      <c r="A59" s="1289"/>
      <c r="B59" s="290">
        <f>I41</f>
        <v>2021</v>
      </c>
      <c r="C59" s="256"/>
      <c r="D59" s="256"/>
      <c r="E59" s="256"/>
      <c r="F59" s="259"/>
      <c r="G59" s="256"/>
      <c r="H59" s="336">
        <f>+H$42-H58</f>
        <v>0</v>
      </c>
      <c r="I59" s="989">
        <v>0</v>
      </c>
      <c r="J59" s="812"/>
      <c r="K59" s="812"/>
      <c r="L59" s="813"/>
      <c r="M59" s="252"/>
      <c r="N59" s="253">
        <f t="shared" si="11"/>
        <v>0</v>
      </c>
      <c r="O59" s="178"/>
      <c r="P59" s="178"/>
      <c r="Q59" s="178"/>
      <c r="R59" s="178"/>
      <c r="S59" s="178"/>
      <c r="T59" s="178"/>
      <c r="U59" s="178"/>
      <c r="V59" s="178"/>
      <c r="W59" s="178"/>
      <c r="X59" s="178"/>
      <c r="Y59" s="178"/>
      <c r="Z59" s="178"/>
      <c r="AA59" s="178"/>
      <c r="AB59" s="178"/>
      <c r="AC59" s="178"/>
      <c r="AD59" s="178"/>
      <c r="AE59" s="178"/>
      <c r="AF59" s="178"/>
      <c r="AG59" s="178"/>
    </row>
    <row r="60" spans="1:33" s="179" customFormat="1" ht="13" thickBot="1" x14ac:dyDescent="0.3">
      <c r="A60" s="1289"/>
      <c r="B60" s="825">
        <f>J41</f>
        <v>2022</v>
      </c>
      <c r="C60" s="812"/>
      <c r="D60" s="812"/>
      <c r="E60" s="812"/>
      <c r="F60" s="815"/>
      <c r="G60" s="812"/>
      <c r="H60" s="812"/>
      <c r="I60" s="852">
        <f>+I$42-I59</f>
        <v>0</v>
      </c>
      <c r="J60" s="814">
        <v>0</v>
      </c>
      <c r="K60" s="812"/>
      <c r="L60" s="813"/>
      <c r="M60" s="826"/>
      <c r="N60" s="827">
        <f t="shared" si="11"/>
        <v>0</v>
      </c>
      <c r="O60" s="178"/>
      <c r="P60" s="178"/>
      <c r="Q60" s="178"/>
      <c r="R60" s="178"/>
      <c r="S60" s="178"/>
      <c r="T60" s="178"/>
      <c r="U60" s="178"/>
      <c r="V60" s="178"/>
      <c r="W60" s="178"/>
      <c r="X60" s="178"/>
      <c r="Y60" s="178"/>
      <c r="Z60" s="178"/>
      <c r="AA60" s="178"/>
      <c r="AB60" s="178"/>
      <c r="AC60" s="178"/>
      <c r="AD60" s="178"/>
      <c r="AE60" s="178"/>
      <c r="AF60" s="178"/>
      <c r="AG60" s="178"/>
    </row>
    <row r="61" spans="1:33" s="179" customFormat="1" ht="13" thickBot="1" x14ac:dyDescent="0.3">
      <c r="A61" s="1289"/>
      <c r="B61" s="825">
        <f>K41</f>
        <v>2023</v>
      </c>
      <c r="C61" s="812"/>
      <c r="D61" s="812"/>
      <c r="E61" s="812"/>
      <c r="F61" s="815"/>
      <c r="G61" s="812"/>
      <c r="H61" s="812"/>
      <c r="I61" s="812"/>
      <c r="J61" s="852">
        <f>+J$42-J60</f>
        <v>0</v>
      </c>
      <c r="K61" s="814">
        <v>0</v>
      </c>
      <c r="L61" s="813"/>
      <c r="M61" s="826"/>
      <c r="N61" s="827">
        <f t="shared" si="11"/>
        <v>0</v>
      </c>
      <c r="O61" s="178"/>
      <c r="P61" s="178"/>
      <c r="Q61" s="178"/>
      <c r="R61" s="178"/>
      <c r="S61" s="178"/>
      <c r="T61" s="178"/>
      <c r="U61" s="178"/>
      <c r="V61" s="178"/>
      <c r="W61" s="178"/>
      <c r="X61" s="178"/>
      <c r="Y61" s="178"/>
      <c r="Z61" s="178"/>
      <c r="AA61" s="178"/>
      <c r="AB61" s="178"/>
      <c r="AC61" s="178"/>
      <c r="AD61" s="178"/>
      <c r="AE61" s="178"/>
      <c r="AF61" s="178"/>
      <c r="AG61" s="178"/>
    </row>
    <row r="62" spans="1:33" s="179" customFormat="1" ht="13" thickBot="1" x14ac:dyDescent="0.3">
      <c r="A62" s="1289"/>
      <c r="B62" s="825">
        <f>L41</f>
        <v>2024</v>
      </c>
      <c r="C62" s="812"/>
      <c r="D62" s="812"/>
      <c r="E62" s="812"/>
      <c r="F62" s="812"/>
      <c r="G62" s="812"/>
      <c r="H62" s="812"/>
      <c r="I62" s="815"/>
      <c r="J62" s="815"/>
      <c r="K62" s="852">
        <f>+K$42-K61</f>
        <v>0</v>
      </c>
      <c r="L62" s="814">
        <v>0</v>
      </c>
      <c r="M62" s="826"/>
      <c r="N62" s="827">
        <f t="shared" si="11"/>
        <v>0</v>
      </c>
      <c r="O62" s="178"/>
      <c r="P62" s="178"/>
      <c r="Q62" s="178"/>
      <c r="R62" s="178"/>
      <c r="S62" s="178"/>
      <c r="T62" s="178"/>
      <c r="U62" s="178"/>
      <c r="V62" s="178"/>
      <c r="W62" s="178"/>
      <c r="X62" s="178"/>
      <c r="Y62" s="178"/>
      <c r="Z62" s="178"/>
      <c r="AA62" s="178"/>
      <c r="AB62" s="178"/>
      <c r="AC62" s="178"/>
      <c r="AD62" s="178"/>
      <c r="AE62" s="178"/>
      <c r="AF62" s="178"/>
      <c r="AG62" s="178"/>
    </row>
    <row r="63" spans="1:33" s="265" customFormat="1" ht="15.5" x14ac:dyDescent="0.25">
      <c r="A63" s="1290"/>
      <c r="B63" s="331" t="s">
        <v>22</v>
      </c>
      <c r="C63" s="261">
        <f t="shared" ref="C63" si="12">SUM(C53:C62)</f>
        <v>0</v>
      </c>
      <c r="D63" s="261">
        <f t="shared" ref="D63:L63" si="13">SUM(D53:D62)</f>
        <v>0</v>
      </c>
      <c r="E63" s="261">
        <f t="shared" si="13"/>
        <v>0</v>
      </c>
      <c r="F63" s="261">
        <f t="shared" si="13"/>
        <v>0</v>
      </c>
      <c r="G63" s="261">
        <f t="shared" si="13"/>
        <v>0</v>
      </c>
      <c r="H63" s="261">
        <f t="shared" si="13"/>
        <v>0</v>
      </c>
      <c r="I63" s="261">
        <f t="shared" si="13"/>
        <v>0</v>
      </c>
      <c r="J63" s="816">
        <f t="shared" si="13"/>
        <v>0</v>
      </c>
      <c r="K63" s="816">
        <f t="shared" si="13"/>
        <v>0</v>
      </c>
      <c r="L63" s="817">
        <f t="shared" si="13"/>
        <v>0</v>
      </c>
      <c r="M63" s="262"/>
      <c r="N63" s="263">
        <f>SUM(N53:N62)</f>
        <v>0</v>
      </c>
      <c r="O63" s="264"/>
      <c r="P63" s="264"/>
      <c r="Q63" s="264"/>
      <c r="R63" s="264"/>
      <c r="S63" s="264"/>
      <c r="T63" s="264"/>
      <c r="U63" s="264"/>
      <c r="V63" s="264"/>
      <c r="W63" s="264"/>
      <c r="X63" s="264"/>
      <c r="Y63" s="264"/>
      <c r="Z63" s="264"/>
      <c r="AA63" s="264"/>
      <c r="AB63" s="264"/>
      <c r="AC63" s="264"/>
      <c r="AD63" s="264"/>
      <c r="AE63" s="264"/>
      <c r="AF63" s="264"/>
      <c r="AG63" s="264"/>
    </row>
    <row r="64" spans="1:33" s="243" customFormat="1" ht="13" x14ac:dyDescent="0.25">
      <c r="A64" s="266" t="s">
        <v>34</v>
      </c>
      <c r="C64" s="267">
        <f>+C63+C80</f>
        <v>0</v>
      </c>
      <c r="D64" s="267">
        <f t="shared" ref="D64:L64" si="14">+D63+D80</f>
        <v>0</v>
      </c>
      <c r="E64" s="267">
        <f t="shared" si="14"/>
        <v>0</v>
      </c>
      <c r="F64" s="267">
        <f t="shared" si="14"/>
        <v>0</v>
      </c>
      <c r="G64" s="267">
        <f t="shared" si="14"/>
        <v>0</v>
      </c>
      <c r="H64" s="267">
        <f t="shared" si="14"/>
        <v>0</v>
      </c>
      <c r="I64" s="267">
        <f t="shared" si="14"/>
        <v>0</v>
      </c>
      <c r="J64" s="818">
        <f t="shared" si="14"/>
        <v>0</v>
      </c>
      <c r="K64" s="818">
        <f t="shared" si="14"/>
        <v>0</v>
      </c>
      <c r="L64" s="818">
        <f t="shared" si="14"/>
        <v>0</v>
      </c>
      <c r="M64" s="267"/>
      <c r="N64" s="267">
        <f>+N63+N80</f>
        <v>0</v>
      </c>
      <c r="O64" s="267"/>
    </row>
    <row r="65" spans="1:33" s="268" customFormat="1" ht="13" x14ac:dyDescent="0.25">
      <c r="A65" s="243"/>
      <c r="B65" s="243"/>
      <c r="C65" s="267"/>
      <c r="D65" s="267"/>
      <c r="E65" s="267"/>
      <c r="F65" s="267"/>
      <c r="G65" s="267"/>
      <c r="H65" s="267"/>
      <c r="I65" s="267"/>
      <c r="J65" s="267"/>
      <c r="K65" s="267"/>
      <c r="L65" s="267"/>
      <c r="M65" s="243"/>
      <c r="N65" s="243"/>
      <c r="O65" s="243"/>
      <c r="P65" s="243"/>
      <c r="Q65" s="243"/>
      <c r="R65" s="243"/>
      <c r="S65" s="243"/>
      <c r="T65" s="243"/>
      <c r="U65" s="243"/>
      <c r="V65" s="243"/>
      <c r="W65" s="243"/>
      <c r="X65" s="243"/>
      <c r="Y65" s="243"/>
      <c r="Z65" s="243"/>
      <c r="AA65" s="243"/>
      <c r="AB65" s="243"/>
      <c r="AC65" s="243"/>
      <c r="AD65" s="243"/>
      <c r="AE65" s="243"/>
      <c r="AF65" s="243"/>
      <c r="AG65" s="243"/>
    </row>
    <row r="66" spans="1:33" s="243" customFormat="1" ht="13" x14ac:dyDescent="0.25">
      <c r="C66" s="241" t="s">
        <v>162</v>
      </c>
      <c r="D66" s="267"/>
      <c r="E66" s="267"/>
      <c r="F66" s="267"/>
      <c r="G66" s="267"/>
      <c r="H66" s="267"/>
      <c r="I66" s="267"/>
      <c r="J66" s="267"/>
      <c r="K66" s="267"/>
      <c r="L66" s="267"/>
      <c r="M66" s="267"/>
      <c r="N66" s="267"/>
    </row>
    <row r="67" spans="1:33" ht="13" x14ac:dyDescent="0.25">
      <c r="C67" s="241" t="s">
        <v>163</v>
      </c>
    </row>
    <row r="68" spans="1:33" s="179" customFormat="1" ht="16.5" x14ac:dyDescent="0.25">
      <c r="A68" s="178"/>
      <c r="B68" s="178"/>
      <c r="C68" s="1201" t="s">
        <v>19</v>
      </c>
      <c r="D68" s="1202"/>
      <c r="E68" s="1202"/>
      <c r="F68" s="1202"/>
      <c r="G68" s="1202"/>
      <c r="H68" s="1202"/>
      <c r="I68" s="1202"/>
      <c r="J68" s="1202"/>
      <c r="K68" s="1202"/>
      <c r="L68" s="1203"/>
      <c r="M68" s="178"/>
      <c r="N68" s="245" t="s">
        <v>20</v>
      </c>
      <c r="O68" s="178"/>
      <c r="P68" s="245" t="s">
        <v>20</v>
      </c>
      <c r="Q68" s="178"/>
      <c r="R68" s="178"/>
      <c r="S68" s="178"/>
      <c r="T68" s="178"/>
      <c r="U68" s="178"/>
      <c r="V68" s="178"/>
      <c r="W68" s="178"/>
      <c r="X68" s="178"/>
      <c r="Y68" s="178"/>
      <c r="Z68" s="178"/>
      <c r="AA68" s="178"/>
      <c r="AB68" s="178"/>
      <c r="AC68" s="178"/>
      <c r="AD68" s="178"/>
      <c r="AE68" s="178"/>
      <c r="AF68" s="178"/>
      <c r="AG68" s="178"/>
    </row>
    <row r="69" spans="1:33" s="179" customFormat="1" x14ac:dyDescent="0.25">
      <c r="A69" s="178"/>
      <c r="B69" s="178"/>
      <c r="C69" s="247">
        <f>+C52</f>
        <v>2015</v>
      </c>
      <c r="D69" s="247">
        <f t="shared" ref="D69:L69" si="15">+D52</f>
        <v>2016</v>
      </c>
      <c r="E69" s="247">
        <f t="shared" si="15"/>
        <v>2017</v>
      </c>
      <c r="F69" s="247">
        <f t="shared" si="15"/>
        <v>2018</v>
      </c>
      <c r="G69" s="247">
        <f t="shared" si="15"/>
        <v>2019</v>
      </c>
      <c r="H69" s="247">
        <f t="shared" si="15"/>
        <v>2020</v>
      </c>
      <c r="I69" s="247">
        <f t="shared" si="15"/>
        <v>2021</v>
      </c>
      <c r="J69" s="809">
        <f t="shared" si="15"/>
        <v>2022</v>
      </c>
      <c r="K69" s="809">
        <f t="shared" si="15"/>
        <v>2023</v>
      </c>
      <c r="L69" s="809">
        <f t="shared" si="15"/>
        <v>2024</v>
      </c>
      <c r="M69" s="178"/>
      <c r="N69" s="248" t="s">
        <v>23</v>
      </c>
      <c r="O69" s="178"/>
      <c r="P69" s="248" t="s">
        <v>24</v>
      </c>
      <c r="Q69" s="178"/>
      <c r="R69" s="178"/>
      <c r="S69" s="178"/>
      <c r="T69" s="178"/>
      <c r="U69" s="178"/>
      <c r="V69" s="178"/>
      <c r="W69" s="178"/>
      <c r="X69" s="178"/>
      <c r="Y69" s="178"/>
      <c r="Z69" s="178"/>
      <c r="AA69" s="178"/>
      <c r="AB69" s="178"/>
      <c r="AC69" s="178"/>
      <c r="AD69" s="178"/>
      <c r="AE69" s="178"/>
      <c r="AF69" s="178"/>
      <c r="AG69" s="178"/>
    </row>
    <row r="70" spans="1:33" s="179" customFormat="1" ht="12.75" customHeight="1" x14ac:dyDescent="0.25">
      <c r="A70" s="1214" t="s">
        <v>113</v>
      </c>
      <c r="B70" s="269">
        <f>+B53</f>
        <v>2015</v>
      </c>
      <c r="C70" s="270"/>
      <c r="D70" s="270"/>
      <c r="E70" s="270"/>
      <c r="F70" s="270"/>
      <c r="G70" s="270"/>
      <c r="H70" s="270"/>
      <c r="I70" s="270"/>
      <c r="J70" s="819"/>
      <c r="K70" s="819"/>
      <c r="L70" s="820"/>
      <c r="M70" s="252"/>
      <c r="N70" s="253">
        <f t="shared" ref="N70:N79" si="16">SUM(C70:L70)</f>
        <v>0</v>
      </c>
      <c r="O70" s="252"/>
      <c r="P70" s="272">
        <f>SUM(N53,N70)</f>
        <v>0</v>
      </c>
      <c r="Q70" s="178"/>
      <c r="R70" s="178"/>
      <c r="S70" s="178"/>
      <c r="T70" s="178"/>
      <c r="U70" s="178"/>
      <c r="V70" s="178"/>
      <c r="W70" s="178"/>
      <c r="X70" s="178"/>
      <c r="Y70" s="178"/>
      <c r="Z70" s="178"/>
      <c r="AA70" s="178"/>
      <c r="AB70" s="178"/>
      <c r="AC70" s="178"/>
      <c r="AD70" s="178"/>
      <c r="AE70" s="178"/>
      <c r="AF70" s="178"/>
      <c r="AG70" s="178"/>
    </row>
    <row r="71" spans="1:33" s="179" customFormat="1" ht="12.75" customHeight="1" x14ac:dyDescent="0.25">
      <c r="A71" s="1215"/>
      <c r="B71" s="269">
        <f t="shared" ref="B71:B79" si="17">+B54</f>
        <v>2016</v>
      </c>
      <c r="C71" s="270"/>
      <c r="D71" s="270"/>
      <c r="E71" s="270"/>
      <c r="F71" s="270"/>
      <c r="G71" s="270"/>
      <c r="H71" s="270"/>
      <c r="I71" s="270"/>
      <c r="J71" s="819"/>
      <c r="K71" s="819"/>
      <c r="L71" s="821"/>
      <c r="M71" s="252"/>
      <c r="N71" s="253">
        <f t="shared" si="16"/>
        <v>0</v>
      </c>
      <c r="O71" s="252"/>
      <c r="P71" s="272">
        <f t="shared" ref="P71:P79" si="18">SUM(N54,N71)</f>
        <v>0</v>
      </c>
      <c r="Q71" s="178"/>
      <c r="R71" s="178"/>
      <c r="S71" s="178"/>
      <c r="T71" s="178"/>
      <c r="U71" s="178"/>
      <c r="V71" s="178"/>
      <c r="W71" s="178"/>
      <c r="X71" s="178"/>
      <c r="Y71" s="178"/>
      <c r="Z71" s="178"/>
      <c r="AA71" s="178"/>
      <c r="AB71" s="178"/>
      <c r="AC71" s="178"/>
      <c r="AD71" s="178"/>
      <c r="AE71" s="178"/>
      <c r="AF71" s="178"/>
      <c r="AG71" s="178"/>
    </row>
    <row r="72" spans="1:33" s="179" customFormat="1" ht="12.75" customHeight="1" x14ac:dyDescent="0.25">
      <c r="A72" s="1215" t="s">
        <v>25</v>
      </c>
      <c r="B72" s="269">
        <f t="shared" si="17"/>
        <v>2017</v>
      </c>
      <c r="C72" s="255">
        <f>+IF($S$4="ex-ante",IF(C$69&lt;=($R$4-2),IF($B72&lt;=($R$4),T5B!G113,0),0),IF($S$4="ex-post",IF(C$69&lt;=($R$4-1),IF($B72&lt;=($R$4+1),T5B!G113,0),0),0))</f>
        <v>0</v>
      </c>
      <c r="D72" s="270"/>
      <c r="E72" s="270"/>
      <c r="F72" s="270"/>
      <c r="G72" s="270"/>
      <c r="H72" s="270"/>
      <c r="I72" s="270"/>
      <c r="J72" s="819"/>
      <c r="K72" s="819"/>
      <c r="L72" s="821"/>
      <c r="M72" s="252"/>
      <c r="N72" s="253">
        <f t="shared" si="16"/>
        <v>0</v>
      </c>
      <c r="O72" s="252"/>
      <c r="P72" s="272">
        <f t="shared" si="18"/>
        <v>0</v>
      </c>
      <c r="Q72" s="178"/>
      <c r="R72" s="178"/>
      <c r="S72" s="178"/>
      <c r="T72" s="178"/>
      <c r="U72" s="178"/>
      <c r="V72" s="178"/>
      <c r="W72" s="178"/>
      <c r="X72" s="178"/>
      <c r="Y72" s="178"/>
      <c r="Z72" s="178"/>
      <c r="AA72" s="178"/>
      <c r="AB72" s="178"/>
      <c r="AC72" s="178"/>
      <c r="AD72" s="178"/>
      <c r="AE72" s="178"/>
      <c r="AF72" s="178"/>
      <c r="AG72" s="178"/>
    </row>
    <row r="73" spans="1:33" s="179" customFormat="1" ht="12.75" customHeight="1" x14ac:dyDescent="0.25">
      <c r="A73" s="1215"/>
      <c r="B73" s="269">
        <f t="shared" si="17"/>
        <v>2018</v>
      </c>
      <c r="C73" s="255">
        <f>+IF($S$4="ex-ante",IF(C$69&lt;=($R$4-2),IF($B73&lt;=($R$4),T5B!G114,0),0),IF($S$4="ex-post",IF(C$69&lt;=($R$4-1),IF($B73&lt;=($R$4+1),T5B!G114,0),0),0))</f>
        <v>0</v>
      </c>
      <c r="D73" s="255">
        <f>+IF($S$4="ex-ante",IF(D$69&lt;=($R$4-2),IF($B73&lt;=($R$4),T5B!H114,0),0),IF($S$4="ex-post",IF(D$69&lt;=($R$4-1),IF($B73&lt;=($R$4+1),T5B!H114,0),0),0))</f>
        <v>0</v>
      </c>
      <c r="E73" s="270"/>
      <c r="F73" s="270"/>
      <c r="G73" s="270"/>
      <c r="H73" s="270"/>
      <c r="I73" s="270"/>
      <c r="J73" s="819"/>
      <c r="K73" s="819"/>
      <c r="L73" s="821"/>
      <c r="M73" s="252"/>
      <c r="N73" s="253">
        <f t="shared" si="16"/>
        <v>0</v>
      </c>
      <c r="O73" s="252"/>
      <c r="P73" s="272">
        <f t="shared" si="18"/>
        <v>0</v>
      </c>
      <c r="Q73" s="244" t="s">
        <v>27</v>
      </c>
      <c r="R73" s="178"/>
      <c r="S73" s="178"/>
      <c r="T73" s="178"/>
      <c r="U73" s="178"/>
      <c r="V73" s="178"/>
      <c r="W73" s="178"/>
      <c r="X73" s="178"/>
      <c r="Y73" s="178"/>
      <c r="Z73" s="178"/>
      <c r="AA73" s="178"/>
      <c r="AB73" s="178"/>
      <c r="AC73" s="178"/>
      <c r="AD73" s="178"/>
      <c r="AE73" s="178"/>
      <c r="AF73" s="178"/>
      <c r="AG73" s="178"/>
    </row>
    <row r="74" spans="1:33" s="179" customFormat="1" ht="12.75" customHeight="1" x14ac:dyDescent="0.25">
      <c r="A74" s="1215" t="s">
        <v>26</v>
      </c>
      <c r="B74" s="269">
        <f t="shared" si="17"/>
        <v>2019</v>
      </c>
      <c r="C74" s="255">
        <f>+IF($S$4="ex-ante",IF(C$69&lt;=($R$4-2),IF($B74&lt;=($R$4),T5B!G115,0),0),IF($S$4="ex-post",IF(C$69&lt;=($R$4-1),IF($B74&lt;=($R$4+1),T5B!G115,0),0),0))</f>
        <v>0</v>
      </c>
      <c r="D74" s="255">
        <f>+IF($S$4="ex-ante",IF(D$69&lt;=($R$4-2),IF($B74&lt;=($R$4),T5B!H115,0),0),IF($S$4="ex-post",IF(D$69&lt;=($R$4-1),IF($B74&lt;=($R$4+1),T5B!H115,0),0),0))</f>
        <v>0</v>
      </c>
      <c r="E74" s="255">
        <f>+IF($S$4="ex-ante",IF(E$69&lt;=($R$4-2),IF($B74&lt;=($R$4),T5B!I115,0),0),IF($S$4="ex-post",IF(E$69&lt;=($R$4-1),IF($B74&lt;=($R$4+1),T5B!I115,0),0),0))</f>
        <v>0</v>
      </c>
      <c r="F74" s="270"/>
      <c r="G74" s="270"/>
      <c r="H74" s="270"/>
      <c r="I74" s="270"/>
      <c r="J74" s="819"/>
      <c r="K74" s="819"/>
      <c r="L74" s="821"/>
      <c r="M74" s="252"/>
      <c r="N74" s="253">
        <f t="shared" si="16"/>
        <v>0</v>
      </c>
      <c r="O74" s="252"/>
      <c r="P74" s="272">
        <f t="shared" si="18"/>
        <v>0</v>
      </c>
      <c r="Q74" s="244" t="s">
        <v>28</v>
      </c>
      <c r="R74" s="178"/>
      <c r="S74" s="178"/>
      <c r="T74" s="178"/>
      <c r="U74" s="178"/>
      <c r="V74" s="178"/>
      <c r="W74" s="178"/>
      <c r="X74" s="178"/>
      <c r="Y74" s="178"/>
      <c r="Z74" s="178"/>
      <c r="AA74" s="178"/>
      <c r="AB74" s="178"/>
      <c r="AC74" s="178"/>
      <c r="AD74" s="178"/>
      <c r="AE74" s="178"/>
      <c r="AF74" s="178"/>
      <c r="AG74" s="178"/>
    </row>
    <row r="75" spans="1:33" s="179" customFormat="1" ht="12.75" customHeight="1" x14ac:dyDescent="0.25">
      <c r="A75" s="1215"/>
      <c r="B75" s="269">
        <f t="shared" si="17"/>
        <v>2020</v>
      </c>
      <c r="C75" s="255">
        <f>+IF($S$4="ex-ante",IF(C$69&lt;=($R$4-2),IF($B75&lt;=($R$4),T5B!G116,0),0),IF($S$4="ex-post",IF(C$69&lt;=($R$4-1),IF($B75&lt;=($R$4+1),T5B!G116,0),0),0))</f>
        <v>0</v>
      </c>
      <c r="D75" s="255">
        <f>+IF($S$4="ex-ante",IF(D$69&lt;=($R$4-2),IF($B75&lt;=($R$4),T5B!H116,0),0),IF($S$4="ex-post",IF(D$69&lt;=($R$4-1),IF($B75&lt;=($R$4+1),T5B!H116,0),0),0))</f>
        <v>0</v>
      </c>
      <c r="E75" s="255">
        <f>+IF($S$4="ex-ante",IF(E$69&lt;=($R$4-2),IF($B75&lt;=($R$4),T5B!I116,0),0),IF($S$4="ex-post",IF(E$69&lt;=($R$4-1),IF($B75&lt;=($R$4+1),T5B!I116,0),0),0))</f>
        <v>0</v>
      </c>
      <c r="F75" s="255">
        <f>+IF($S$4="ex-ante",IF(F$69&lt;=($R$4-2),IF($B75&lt;=($R$4),T5B!J116,0),0),IF($S$4="ex-post",IF(F$69&lt;=($R$4-1),IF($B75&lt;=($R$4+1),T5B!J116,0),0),0))</f>
        <v>0</v>
      </c>
      <c r="G75" s="270"/>
      <c r="H75" s="270"/>
      <c r="I75" s="270"/>
      <c r="J75" s="819"/>
      <c r="K75" s="819"/>
      <c r="L75" s="821"/>
      <c r="M75" s="252"/>
      <c r="N75" s="253">
        <f t="shared" si="16"/>
        <v>0</v>
      </c>
      <c r="O75" s="252"/>
      <c r="P75" s="272">
        <f t="shared" si="18"/>
        <v>0</v>
      </c>
      <c r="Q75" s="244"/>
      <c r="R75" s="178"/>
      <c r="S75" s="178"/>
      <c r="T75" s="178"/>
      <c r="U75" s="178"/>
      <c r="V75" s="178"/>
      <c r="W75" s="178"/>
      <c r="X75" s="178"/>
      <c r="Y75" s="178"/>
      <c r="Z75" s="178"/>
      <c r="AA75" s="178"/>
      <c r="AB75" s="178"/>
      <c r="AC75" s="178"/>
      <c r="AD75" s="178"/>
      <c r="AE75" s="178"/>
      <c r="AF75" s="178"/>
      <c r="AG75" s="178"/>
    </row>
    <row r="76" spans="1:33" s="179" customFormat="1" ht="12.75" customHeight="1" x14ac:dyDescent="0.25">
      <c r="A76" s="1215"/>
      <c r="B76" s="269">
        <f t="shared" si="17"/>
        <v>2021</v>
      </c>
      <c r="C76" s="255">
        <f>+IF($S$4="ex-ante",IF(C$69&lt;=($R$4-2),IF($B76&lt;=($R$4),T5B!G117,0),0),IF($S$4="ex-post",IF(C$69&lt;=($R$4-1),IF($B76&lt;=($R$4+1),T5B!G117,0),0),0))</f>
        <v>0</v>
      </c>
      <c r="D76" s="255">
        <f>+IF($S$4="ex-ante",IF(D$69&lt;=($R$4-2),IF($B76&lt;=($R$4),T5B!H117,0),0),IF($S$4="ex-post",IF(D$69&lt;=($R$4-1),IF($B76&lt;=($R$4+1),T5B!H117,0),0),0))</f>
        <v>0</v>
      </c>
      <c r="E76" s="255">
        <f>+IF($S$4="ex-ante",IF(E$69&lt;=($R$4-2),IF($B76&lt;=($R$4),T5B!I117,0),0),IF($S$4="ex-post",IF(E$69&lt;=($R$4-1),IF($B76&lt;=($R$4+1),T5B!I117,0),0),0))</f>
        <v>0</v>
      </c>
      <c r="F76" s="255">
        <f>+IF($S$4="ex-ante",IF(F$69&lt;=($R$4-2),IF($B76&lt;=($R$4),T5B!J117,0),0),IF($S$4="ex-post",IF(F$69&lt;=($R$4-1),IF($B76&lt;=($R$4+1),T5B!J117,0),0),0))</f>
        <v>0</v>
      </c>
      <c r="G76" s="255">
        <f>+IF($S$4="ex-ante",IF(G$69&lt;=($R$4-2),IF($B76&lt;=($R$4),T5B!K117,0),0),IF($S$4="ex-post",IF(G$69&lt;=($R$4-1),IF($B76&lt;=($R$4+1),T5B!K117,0),0),0))</f>
        <v>0</v>
      </c>
      <c r="H76" s="270"/>
      <c r="I76" s="270"/>
      <c r="J76" s="819"/>
      <c r="K76" s="819"/>
      <c r="L76" s="821"/>
      <c r="M76" s="252"/>
      <c r="N76" s="253">
        <f t="shared" si="16"/>
        <v>0</v>
      </c>
      <c r="O76" s="252"/>
      <c r="P76" s="272">
        <f t="shared" si="18"/>
        <v>0</v>
      </c>
      <c r="Q76" s="244"/>
      <c r="R76" s="178"/>
      <c r="S76" s="178"/>
      <c r="T76" s="178"/>
      <c r="U76" s="178"/>
      <c r="V76" s="178"/>
      <c r="W76" s="178"/>
      <c r="X76" s="178"/>
      <c r="Y76" s="178"/>
      <c r="Z76" s="178"/>
      <c r="AA76" s="178"/>
      <c r="AB76" s="178"/>
      <c r="AC76" s="178"/>
      <c r="AD76" s="178"/>
      <c r="AE76" s="178"/>
      <c r="AF76" s="178"/>
      <c r="AG76" s="178"/>
    </row>
    <row r="77" spans="1:33" s="179" customFormat="1" ht="12.75" customHeight="1" x14ac:dyDescent="0.25">
      <c r="A77" s="1215"/>
      <c r="B77" s="853">
        <f t="shared" si="17"/>
        <v>2022</v>
      </c>
      <c r="C77" s="565">
        <f>+IF($S$4="ex-ante",IF(C$69&lt;=($R$4-2),IF($B77&lt;=($R$4),T5B!G118,0),0),IF($S$4="ex-post",IF(C$69&lt;=($R$4-1),IF($B77&lt;=($R$4+1),T5B!G118,0),0),0))</f>
        <v>0</v>
      </c>
      <c r="D77" s="565">
        <f>+IF($S$4="ex-ante",IF(D$69&lt;=($R$4-2),IF($B77&lt;=($R$4),T5B!H118,0),0),IF($S$4="ex-post",IF(D$69&lt;=($R$4-1),IF($B77&lt;=($R$4+1),T5B!H118,0),0),0))</f>
        <v>0</v>
      </c>
      <c r="E77" s="565">
        <f>+IF($S$4="ex-ante",IF(E$69&lt;=($R$4-2),IF($B77&lt;=($R$4),T5B!I118,0),0),IF($S$4="ex-post",IF(E$69&lt;=($R$4-1),IF($B77&lt;=($R$4+1),T5B!I118,0),0),0))</f>
        <v>0</v>
      </c>
      <c r="F77" s="565">
        <f>+IF($S$4="ex-ante",IF(F$69&lt;=($R$4-2),IF($B77&lt;=($R$4),T5B!J118,0),0),IF($S$4="ex-post",IF(F$69&lt;=($R$4-1),IF($B77&lt;=($R$4+1),T5B!J118,0),0),0))</f>
        <v>0</v>
      </c>
      <c r="G77" s="565">
        <f>+IF($S$4="ex-ante",IF(G$69&lt;=($R$4-2),IF($B77&lt;=($R$4),T5B!K118,0),0),IF($S$4="ex-post",IF(G$69&lt;=($R$4-1),IF($B77&lt;=($R$4+1),T5B!K118,0),0),0))</f>
        <v>0</v>
      </c>
      <c r="H77" s="565">
        <f>+IF($S$4="ex-ante",IF(H$69&lt;=($R$4-2),IF($B77&lt;=($R$4),T5B!L118,0),0),IF($S$4="ex-post",IF(H$69&lt;=($R$4-1),IF($B77&lt;=($R$4+1),T5B!L118,0),0),0))</f>
        <v>0</v>
      </c>
      <c r="I77" s="819"/>
      <c r="J77" s="819"/>
      <c r="K77" s="819"/>
      <c r="L77" s="821"/>
      <c r="M77" s="826"/>
      <c r="N77" s="827">
        <f t="shared" si="16"/>
        <v>0</v>
      </c>
      <c r="O77" s="826"/>
      <c r="P77" s="854">
        <f t="shared" si="18"/>
        <v>0</v>
      </c>
      <c r="Q77" s="244"/>
      <c r="R77" s="178"/>
      <c r="S77" s="178"/>
      <c r="T77" s="178"/>
      <c r="U77" s="178"/>
      <c r="V77" s="178"/>
      <c r="W77" s="178"/>
      <c r="X77" s="178"/>
      <c r="Y77" s="178"/>
      <c r="Z77" s="178"/>
      <c r="AA77" s="178"/>
      <c r="AB77" s="178"/>
      <c r="AC77" s="178"/>
      <c r="AD77" s="178"/>
      <c r="AE77" s="178"/>
      <c r="AF77" s="178"/>
      <c r="AG77" s="178"/>
    </row>
    <row r="78" spans="1:33" s="179" customFormat="1" ht="12.75" customHeight="1" x14ac:dyDescent="0.25">
      <c r="A78" s="1215"/>
      <c r="B78" s="853">
        <f t="shared" si="17"/>
        <v>2023</v>
      </c>
      <c r="C78" s="819"/>
      <c r="D78" s="819"/>
      <c r="E78" s="819"/>
      <c r="F78" s="819"/>
      <c r="G78" s="819"/>
      <c r="H78" s="565">
        <f>+IF($S$4="ex-ante",IF(H$69&lt;=($R$4-2),IF($B78&lt;=($R$4),T5B!L119,0),0),IF($S$4="ex-post",IF(H$69&lt;=($R$4-1),IF($B78&lt;=($R$4+1),T5B!L119,0),0),0))</f>
        <v>0</v>
      </c>
      <c r="I78" s="565">
        <f>+IF($S$4="ex-ante",IF(I$69&lt;=($R$4-2),IF($B78&lt;=($R$4),T5B!M119,0),0),IF($S$4="ex-post",IF(I$69&lt;=($R$4-1),IF($B78&lt;=($R$4+1),T5B!M119,0),0),0))</f>
        <v>0</v>
      </c>
      <c r="J78" s="819"/>
      <c r="K78" s="819"/>
      <c r="L78" s="821"/>
      <c r="M78" s="826"/>
      <c r="N78" s="827">
        <f t="shared" si="16"/>
        <v>0</v>
      </c>
      <c r="O78" s="826"/>
      <c r="P78" s="854">
        <f t="shared" si="18"/>
        <v>0</v>
      </c>
      <c r="Q78" s="244"/>
      <c r="R78" s="178"/>
      <c r="S78" s="178"/>
      <c r="T78" s="178"/>
      <c r="U78" s="178"/>
      <c r="V78" s="178"/>
      <c r="W78" s="178"/>
      <c r="X78" s="178"/>
      <c r="Y78" s="178"/>
      <c r="Z78" s="178"/>
      <c r="AA78" s="178"/>
      <c r="AB78" s="178"/>
      <c r="AC78" s="178"/>
      <c r="AD78" s="178"/>
      <c r="AE78" s="178"/>
      <c r="AF78" s="178"/>
      <c r="AG78" s="178"/>
    </row>
    <row r="79" spans="1:33" s="179" customFormat="1" ht="12.75" customHeight="1" x14ac:dyDescent="0.25">
      <c r="A79" s="1215"/>
      <c r="B79" s="853">
        <f t="shared" si="17"/>
        <v>2024</v>
      </c>
      <c r="C79" s="819"/>
      <c r="D79" s="819"/>
      <c r="E79" s="819"/>
      <c r="F79" s="819"/>
      <c r="G79" s="819"/>
      <c r="H79" s="819"/>
      <c r="I79" s="565">
        <f>+IF($S$4="ex-ante",IF(I$69&lt;=($R$4-2),IF($B79&lt;=($R$4),T5B!M120,0),0),IF($S$4="ex-post",IF(I$69&lt;=($R$4-1),IF($B79&lt;=($R$4+1),T5B!M120,0),0),0))</f>
        <v>0</v>
      </c>
      <c r="J79" s="565">
        <f>+IF($S$4="ex-ante",IF(J$69&lt;=($R$4-2),IF($B79&lt;=($R$4),T5B!N120,0),0),IF($S$4="ex-post",IF(J$69&lt;=($R$4-1),IF($B79&lt;=($R$4+1),T5B!N120,0),0),0))</f>
        <v>0</v>
      </c>
      <c r="K79" s="819"/>
      <c r="L79" s="821"/>
      <c r="M79" s="826"/>
      <c r="N79" s="827">
        <f t="shared" si="16"/>
        <v>0</v>
      </c>
      <c r="O79" s="826"/>
      <c r="P79" s="854">
        <f t="shared" si="18"/>
        <v>0</v>
      </c>
      <c r="Q79" s="244"/>
      <c r="R79" s="178"/>
      <c r="S79" s="178"/>
      <c r="T79" s="178"/>
      <c r="U79" s="178"/>
      <c r="V79" s="178"/>
      <c r="W79" s="178"/>
      <c r="X79" s="178"/>
      <c r="Y79" s="178"/>
      <c r="Z79" s="178"/>
      <c r="AA79" s="178"/>
      <c r="AB79" s="178"/>
      <c r="AC79" s="178"/>
      <c r="AD79" s="178"/>
      <c r="AE79" s="178"/>
      <c r="AF79" s="178"/>
      <c r="AG79" s="178"/>
    </row>
    <row r="80" spans="1:33" s="265" customFormat="1" ht="15.5" x14ac:dyDescent="0.25">
      <c r="A80" s="1273"/>
      <c r="B80" s="331" t="s">
        <v>22</v>
      </c>
      <c r="C80" s="332">
        <f t="shared" ref="C80:L80" si="19">SUM(C70:C79)</f>
        <v>0</v>
      </c>
      <c r="D80" s="332">
        <f t="shared" si="19"/>
        <v>0</v>
      </c>
      <c r="E80" s="332">
        <f t="shared" si="19"/>
        <v>0</v>
      </c>
      <c r="F80" s="332">
        <f t="shared" si="19"/>
        <v>0</v>
      </c>
      <c r="G80" s="332">
        <f t="shared" si="19"/>
        <v>0</v>
      </c>
      <c r="H80" s="332">
        <f>SUM(H70:H79)</f>
        <v>0</v>
      </c>
      <c r="I80" s="332">
        <f t="shared" si="19"/>
        <v>0</v>
      </c>
      <c r="J80" s="822">
        <f t="shared" si="19"/>
        <v>0</v>
      </c>
      <c r="K80" s="822">
        <f t="shared" si="19"/>
        <v>0</v>
      </c>
      <c r="L80" s="822">
        <f t="shared" si="19"/>
        <v>0</v>
      </c>
      <c r="M80" s="338"/>
      <c r="N80" s="263">
        <f>SUM(N70:N79)</f>
        <v>0</v>
      </c>
      <c r="O80" s="262"/>
      <c r="P80" s="263">
        <f>SUM(P70:P79)</f>
        <v>0</v>
      </c>
      <c r="Q80" s="264"/>
      <c r="R80" s="264"/>
      <c r="S80" s="264"/>
      <c r="T80" s="264"/>
      <c r="U80" s="264"/>
      <c r="V80" s="264"/>
      <c r="W80" s="264"/>
      <c r="X80" s="264"/>
      <c r="Y80" s="264"/>
      <c r="Z80" s="264"/>
      <c r="AA80" s="264"/>
      <c r="AB80" s="264"/>
      <c r="AC80" s="264"/>
      <c r="AD80" s="264"/>
      <c r="AE80" s="264"/>
      <c r="AF80" s="264"/>
      <c r="AG80" s="264"/>
    </row>
    <row r="81" spans="1:33" x14ac:dyDescent="0.25">
      <c r="M81" s="252"/>
    </row>
    <row r="83" spans="1:33" ht="13" thickBot="1" x14ac:dyDescent="0.3"/>
    <row r="84" spans="1:33" s="179" customFormat="1" ht="21" customHeight="1" thickBot="1" x14ac:dyDescent="0.3">
      <c r="A84" s="1217" t="s">
        <v>175</v>
      </c>
      <c r="B84" s="1218"/>
      <c r="C84" s="1218"/>
      <c r="D84" s="1218"/>
      <c r="E84" s="1218"/>
      <c r="F84" s="1218"/>
      <c r="G84" s="1218"/>
      <c r="H84" s="1218"/>
      <c r="I84" s="1218"/>
      <c r="J84" s="1218"/>
      <c r="K84" s="1218"/>
      <c r="L84" s="1218"/>
      <c r="M84" s="1218"/>
      <c r="N84" s="1219"/>
      <c r="P84" s="178"/>
      <c r="Q84" s="178"/>
      <c r="R84" s="178"/>
      <c r="S84" s="178"/>
      <c r="T84" s="178"/>
      <c r="U84" s="178"/>
      <c r="V84" s="178"/>
      <c r="W84" s="178"/>
      <c r="X84" s="178"/>
      <c r="Y84" s="178"/>
      <c r="Z84" s="178"/>
      <c r="AA84" s="178"/>
      <c r="AB84" s="178"/>
      <c r="AC84" s="178"/>
      <c r="AD84" s="178"/>
      <c r="AE84" s="178"/>
      <c r="AF84" s="178"/>
      <c r="AG84" s="178"/>
    </row>
    <row r="86" spans="1:33" ht="13" x14ac:dyDescent="0.25">
      <c r="C86" s="241" t="s">
        <v>164</v>
      </c>
    </row>
    <row r="87" spans="1:33" ht="13" x14ac:dyDescent="0.25">
      <c r="C87" s="241" t="s">
        <v>29</v>
      </c>
    </row>
    <row r="88" spans="1:33" ht="16.5" x14ac:dyDescent="0.25">
      <c r="C88" s="1210" t="s">
        <v>19</v>
      </c>
      <c r="D88" s="1211"/>
      <c r="E88" s="1211"/>
      <c r="F88" s="1211"/>
      <c r="G88" s="1211"/>
      <c r="H88" s="1211"/>
      <c r="I88" s="1211"/>
      <c r="J88" s="1211"/>
      <c r="K88" s="1211"/>
      <c r="L88" s="1212"/>
    </row>
    <row r="89" spans="1:33" x14ac:dyDescent="0.25">
      <c r="C89" s="247">
        <f>+C69</f>
        <v>2015</v>
      </c>
      <c r="D89" s="247">
        <f t="shared" ref="D89:L89" si="20">+D69</f>
        <v>2016</v>
      </c>
      <c r="E89" s="247">
        <f t="shared" si="20"/>
        <v>2017</v>
      </c>
      <c r="F89" s="247">
        <f t="shared" si="20"/>
        <v>2018</v>
      </c>
      <c r="G89" s="247">
        <f t="shared" si="20"/>
        <v>2019</v>
      </c>
      <c r="H89" s="247">
        <f t="shared" si="20"/>
        <v>2020</v>
      </c>
      <c r="I89" s="247">
        <f t="shared" si="20"/>
        <v>2021</v>
      </c>
      <c r="J89" s="809">
        <f t="shared" si="20"/>
        <v>2022</v>
      </c>
      <c r="K89" s="809">
        <f t="shared" si="20"/>
        <v>2023</v>
      </c>
      <c r="L89" s="809">
        <f t="shared" si="20"/>
        <v>2024</v>
      </c>
      <c r="N89" s="93" t="s">
        <v>20</v>
      </c>
    </row>
    <row r="90" spans="1:33" x14ac:dyDescent="0.25">
      <c r="A90" s="1204" t="s">
        <v>375</v>
      </c>
      <c r="B90" s="269">
        <f>+B70</f>
        <v>2015</v>
      </c>
      <c r="C90" s="255">
        <f>+C53</f>
        <v>0</v>
      </c>
      <c r="D90" s="277"/>
      <c r="E90" s="270"/>
      <c r="F90" s="270"/>
      <c r="G90" s="270"/>
      <c r="H90" s="270"/>
      <c r="I90" s="270"/>
      <c r="J90" s="819"/>
      <c r="K90" s="819"/>
      <c r="L90" s="820"/>
      <c r="N90" s="278">
        <f t="shared" ref="N90:N99" si="21">SUM(C90:L90)</f>
        <v>0</v>
      </c>
    </row>
    <row r="91" spans="1:33" x14ac:dyDescent="0.25">
      <c r="A91" s="1205"/>
      <c r="B91" s="269">
        <f t="shared" ref="B91:B99" si="22">+B71</f>
        <v>2016</v>
      </c>
      <c r="C91" s="255">
        <f>+C90+C71+C54</f>
        <v>0</v>
      </c>
      <c r="D91" s="255">
        <f>+D54</f>
        <v>0</v>
      </c>
      <c r="E91" s="279"/>
      <c r="F91" s="279"/>
      <c r="G91" s="279"/>
      <c r="H91" s="279"/>
      <c r="I91" s="279"/>
      <c r="J91" s="823"/>
      <c r="K91" s="823"/>
      <c r="L91" s="824"/>
      <c r="N91" s="278">
        <f t="shared" si="21"/>
        <v>0</v>
      </c>
    </row>
    <row r="92" spans="1:33" x14ac:dyDescent="0.25">
      <c r="A92" s="1205"/>
      <c r="B92" s="269">
        <f t="shared" si="22"/>
        <v>2017</v>
      </c>
      <c r="C92" s="255">
        <f t="shared" ref="C92:C97" si="23">+C91+C72+C55</f>
        <v>0</v>
      </c>
      <c r="D92" s="255">
        <f t="shared" ref="D92:D97" si="24">+D91+D72+D55</f>
        <v>0</v>
      </c>
      <c r="E92" s="255">
        <f>+E55</f>
        <v>0</v>
      </c>
      <c r="F92" s="279"/>
      <c r="G92" s="279"/>
      <c r="H92" s="279"/>
      <c r="I92" s="279"/>
      <c r="J92" s="823"/>
      <c r="K92" s="823"/>
      <c r="L92" s="824"/>
      <c r="N92" s="278">
        <f t="shared" si="21"/>
        <v>0</v>
      </c>
    </row>
    <row r="93" spans="1:33" x14ac:dyDescent="0.25">
      <c r="A93" s="1205"/>
      <c r="B93" s="269">
        <f t="shared" si="22"/>
        <v>2018</v>
      </c>
      <c r="C93" s="255">
        <f t="shared" si="23"/>
        <v>0</v>
      </c>
      <c r="D93" s="255">
        <f t="shared" si="24"/>
        <v>0</v>
      </c>
      <c r="E93" s="255">
        <f t="shared" ref="E93:E97" si="25">+E92+E73+E56</f>
        <v>0</v>
      </c>
      <c r="F93" s="255">
        <f>+F56</f>
        <v>0</v>
      </c>
      <c r="G93" s="279"/>
      <c r="H93" s="279"/>
      <c r="I93" s="279"/>
      <c r="J93" s="823"/>
      <c r="K93" s="823"/>
      <c r="L93" s="824"/>
      <c r="N93" s="278">
        <f t="shared" si="21"/>
        <v>0</v>
      </c>
    </row>
    <row r="94" spans="1:33" x14ac:dyDescent="0.25">
      <c r="A94" s="1205"/>
      <c r="B94" s="269">
        <f t="shared" si="22"/>
        <v>2019</v>
      </c>
      <c r="C94" s="255">
        <f t="shared" si="23"/>
        <v>0</v>
      </c>
      <c r="D94" s="255">
        <f t="shared" si="24"/>
        <v>0</v>
      </c>
      <c r="E94" s="255">
        <f t="shared" si="25"/>
        <v>0</v>
      </c>
      <c r="F94" s="255">
        <f t="shared" ref="F94:F97" si="26">+F93+F74+F57</f>
        <v>0</v>
      </c>
      <c r="G94" s="255">
        <f>+G57</f>
        <v>0</v>
      </c>
      <c r="H94" s="279"/>
      <c r="I94" s="279"/>
      <c r="J94" s="823"/>
      <c r="K94" s="823"/>
      <c r="L94" s="824"/>
      <c r="N94" s="278">
        <f t="shared" si="21"/>
        <v>0</v>
      </c>
    </row>
    <row r="95" spans="1:33" x14ac:dyDescent="0.25">
      <c r="A95" s="1205"/>
      <c r="B95" s="269">
        <f t="shared" si="22"/>
        <v>2020</v>
      </c>
      <c r="C95" s="255">
        <f t="shared" si="23"/>
        <v>0</v>
      </c>
      <c r="D95" s="255">
        <f t="shared" si="24"/>
        <v>0</v>
      </c>
      <c r="E95" s="255">
        <f t="shared" si="25"/>
        <v>0</v>
      </c>
      <c r="F95" s="255">
        <f t="shared" si="26"/>
        <v>0</v>
      </c>
      <c r="G95" s="255">
        <f t="shared" ref="G95:G97" si="27">+G94+G75+G58</f>
        <v>0</v>
      </c>
      <c r="H95" s="255">
        <f t="shared" ref="H95:J97" si="28">+H58</f>
        <v>0</v>
      </c>
      <c r="I95" s="279"/>
      <c r="J95" s="823"/>
      <c r="K95" s="823"/>
      <c r="L95" s="824"/>
      <c r="N95" s="278">
        <f t="shared" si="21"/>
        <v>0</v>
      </c>
    </row>
    <row r="96" spans="1:33" x14ac:dyDescent="0.25">
      <c r="A96" s="1205"/>
      <c r="B96" s="269">
        <f t="shared" si="22"/>
        <v>2021</v>
      </c>
      <c r="C96" s="255">
        <f t="shared" si="23"/>
        <v>0</v>
      </c>
      <c r="D96" s="255">
        <f t="shared" si="24"/>
        <v>0</v>
      </c>
      <c r="E96" s="255">
        <f t="shared" si="25"/>
        <v>0</v>
      </c>
      <c r="F96" s="255">
        <f t="shared" si="26"/>
        <v>0</v>
      </c>
      <c r="G96" s="255">
        <f t="shared" si="27"/>
        <v>0</v>
      </c>
      <c r="H96" s="255">
        <f t="shared" ref="H96:H98" si="29">+H95+H76+H59</f>
        <v>0</v>
      </c>
      <c r="I96" s="255">
        <f t="shared" si="28"/>
        <v>0</v>
      </c>
      <c r="J96" s="823"/>
      <c r="K96" s="823"/>
      <c r="L96" s="824"/>
      <c r="N96" s="278">
        <f t="shared" si="21"/>
        <v>0</v>
      </c>
    </row>
    <row r="97" spans="1:14" x14ac:dyDescent="0.25">
      <c r="A97" s="1205"/>
      <c r="B97" s="853">
        <f t="shared" si="22"/>
        <v>2022</v>
      </c>
      <c r="C97" s="565">
        <f t="shared" si="23"/>
        <v>0</v>
      </c>
      <c r="D97" s="565">
        <f t="shared" si="24"/>
        <v>0</v>
      </c>
      <c r="E97" s="565">
        <f t="shared" si="25"/>
        <v>0</v>
      </c>
      <c r="F97" s="565">
        <f t="shared" si="26"/>
        <v>0</v>
      </c>
      <c r="G97" s="565">
        <f t="shared" si="27"/>
        <v>0</v>
      </c>
      <c r="H97" s="565">
        <f t="shared" si="29"/>
        <v>0</v>
      </c>
      <c r="I97" s="565">
        <f t="shared" ref="I97:I99" si="30">+I96+I77+I60</f>
        <v>0</v>
      </c>
      <c r="J97" s="565">
        <f t="shared" si="28"/>
        <v>0</v>
      </c>
      <c r="K97" s="823"/>
      <c r="L97" s="824"/>
      <c r="M97" s="830"/>
      <c r="N97" s="831">
        <f t="shared" si="21"/>
        <v>0</v>
      </c>
    </row>
    <row r="98" spans="1:14" x14ac:dyDescent="0.25">
      <c r="A98" s="1205"/>
      <c r="B98" s="853">
        <f t="shared" si="22"/>
        <v>2023</v>
      </c>
      <c r="C98" s="832"/>
      <c r="D98" s="823"/>
      <c r="E98" s="823"/>
      <c r="F98" s="823"/>
      <c r="G98" s="823"/>
      <c r="H98" s="565">
        <f t="shared" si="29"/>
        <v>0</v>
      </c>
      <c r="I98" s="565">
        <f t="shared" si="30"/>
        <v>0</v>
      </c>
      <c r="J98" s="565">
        <f t="shared" ref="J98:J99" si="31">+J97+J78+J61</f>
        <v>0</v>
      </c>
      <c r="K98" s="565">
        <f>+K61</f>
        <v>0</v>
      </c>
      <c r="L98" s="824"/>
      <c r="M98" s="830"/>
      <c r="N98" s="831">
        <f t="shared" si="21"/>
        <v>0</v>
      </c>
    </row>
    <row r="99" spans="1:14" x14ac:dyDescent="0.25">
      <c r="A99" s="1206"/>
      <c r="B99" s="853">
        <f t="shared" si="22"/>
        <v>2024</v>
      </c>
      <c r="C99" s="833"/>
      <c r="D99" s="834"/>
      <c r="E99" s="834"/>
      <c r="F99" s="834"/>
      <c r="G99" s="834"/>
      <c r="H99" s="834"/>
      <c r="I99" s="565">
        <f t="shared" si="30"/>
        <v>0</v>
      </c>
      <c r="J99" s="565">
        <f t="shared" si="31"/>
        <v>0</v>
      </c>
      <c r="K99" s="565">
        <f>+K98+K79+K62</f>
        <v>0</v>
      </c>
      <c r="L99" s="565">
        <f>+L62</f>
        <v>0</v>
      </c>
      <c r="M99" s="830"/>
      <c r="N99" s="831">
        <f t="shared" si="21"/>
        <v>0</v>
      </c>
    </row>
    <row r="100" spans="1:14" ht="14.5" x14ac:dyDescent="0.25">
      <c r="A100" s="337"/>
      <c r="C100" s="241"/>
    </row>
    <row r="101" spans="1:14" ht="13" x14ac:dyDescent="0.25">
      <c r="C101" s="241"/>
    </row>
    <row r="102" spans="1:14" ht="13" x14ac:dyDescent="0.25">
      <c r="C102" s="241"/>
    </row>
  </sheetData>
  <sheetProtection algorithmName="SHA-512" hashValue="LDGEgggurLleCw1f0+En8AWQ8JSHGufSso1iB013i1uI8wyannwKZMvUtADGhjRffXpQvQKzwShMWqBm47vahQ==" saltValue="mPuJKd3Sf7r5ofoK+ic9mg==" spinCount="100000" sheet="1" objects="1" scenarios="1"/>
  <customSheetViews>
    <customSheetView guid="{C8C7977F-B6BF-432B-A1A7-559450D521AF}" scale="80">
      <selection sqref="A1:J1"/>
      <pageMargins left="0.78740157480314965" right="0.78740157480314965" top="0.98425196850393704" bottom="0.98425196850393704" header="0.51181102362204722" footer="0.51181102362204722"/>
      <pageSetup paperSize="8" scale="70" orientation="landscape" r:id="rId1"/>
      <headerFooter alignWithMargins="0">
        <oddFooter>&amp;CPage &amp;P</oddFooter>
      </headerFooter>
    </customSheetView>
  </customSheetViews>
  <mergeCells count="41">
    <mergeCell ref="A90:A99"/>
    <mergeCell ref="A52:B52"/>
    <mergeCell ref="A53:A63"/>
    <mergeCell ref="C68:L68"/>
    <mergeCell ref="A70:A80"/>
    <mergeCell ref="C88:L88"/>
    <mergeCell ref="A84:N84"/>
    <mergeCell ref="O47:P47"/>
    <mergeCell ref="A47:N47"/>
    <mergeCell ref="A9:B9"/>
    <mergeCell ref="A10:B10"/>
    <mergeCell ref="A14:B14"/>
    <mergeCell ref="A11:B11"/>
    <mergeCell ref="A20:B20"/>
    <mergeCell ref="A29:B29"/>
    <mergeCell ref="C51:L51"/>
    <mergeCell ref="A7:B7"/>
    <mergeCell ref="A8:B8"/>
    <mergeCell ref="A17:B17"/>
    <mergeCell ref="A26:B26"/>
    <mergeCell ref="C40:L40"/>
    <mergeCell ref="A27:B27"/>
    <mergeCell ref="A12:B12"/>
    <mergeCell ref="A13:B13"/>
    <mergeCell ref="A24:B24"/>
    <mergeCell ref="A28:B28"/>
    <mergeCell ref="A31:B31"/>
    <mergeCell ref="A1:N1"/>
    <mergeCell ref="C5:L5"/>
    <mergeCell ref="C6:L6"/>
    <mergeCell ref="C4:L4"/>
    <mergeCell ref="A38:N38"/>
    <mergeCell ref="A15:B15"/>
    <mergeCell ref="A18:B18"/>
    <mergeCell ref="A19:B19"/>
    <mergeCell ref="A30:B30"/>
    <mergeCell ref="A32:B32"/>
    <mergeCell ref="A33:B33"/>
    <mergeCell ref="A21:B21"/>
    <mergeCell ref="A22:B22"/>
    <mergeCell ref="A23:B23"/>
  </mergeCells>
  <conditionalFormatting sqref="A13:L14 A22:L23 A31:L32">
    <cfRule type="expression" dxfId="48" priority="1">
      <formula>$C$5="gas"</formula>
    </cfRule>
  </conditionalFormatting>
  <pageMargins left="0.78740157480314965" right="0.78740157480314965" top="0.98425196850393704" bottom="0.98425196850393704" header="0.51181102362204722" footer="0.51181102362204722"/>
  <pageSetup paperSize="8" scale="56" orientation="portrait" r:id="rId2"/>
  <headerFooter alignWithMargins="0">
    <oddFooter>&amp;CPage &amp;P</oddFooter>
  </headerFooter>
  <ignoredErrors>
    <ignoredError sqref="N69 P69" numberStoredAsText="1"/>
    <ignoredError sqref="N70" numberStoredAsText="1" formulaRange="1"/>
    <ignoredError sqref="C80"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28</vt:i4>
      </vt:variant>
      <vt:variant>
        <vt:lpstr>Benoemde bereiken</vt:lpstr>
      </vt:variant>
      <vt:variant>
        <vt:i4>30</vt:i4>
      </vt:variant>
    </vt:vector>
  </HeadingPairs>
  <TitlesOfParts>
    <vt:vector size="58" baseType="lpstr">
      <vt:lpstr>TITELBLAD</vt:lpstr>
      <vt:lpstr>--&gt; EXO</vt:lpstr>
      <vt:lpstr>T1</vt:lpstr>
      <vt:lpstr>T2 - Overzicht</vt:lpstr>
      <vt:lpstr>T3</vt:lpstr>
      <vt:lpstr>T4A</vt:lpstr>
      <vt:lpstr>T4B</vt:lpstr>
      <vt:lpstr>T4C</vt:lpstr>
      <vt:lpstr>T5A</vt:lpstr>
      <vt:lpstr>T5B</vt:lpstr>
      <vt:lpstr>T5C</vt:lpstr>
      <vt:lpstr>T5D</vt:lpstr>
      <vt:lpstr>T5E</vt:lpstr>
      <vt:lpstr>T5F</vt:lpstr>
      <vt:lpstr>T6A</vt:lpstr>
      <vt:lpstr>T6B</vt:lpstr>
      <vt:lpstr>T7</vt:lpstr>
      <vt:lpstr>T8</vt:lpstr>
      <vt:lpstr>--&gt; ENDO</vt:lpstr>
      <vt:lpstr>T9 - Overzicht</vt:lpstr>
      <vt:lpstr>T10</vt:lpstr>
      <vt:lpstr>T11</vt:lpstr>
      <vt:lpstr>T12</vt:lpstr>
      <vt:lpstr>T13A</vt:lpstr>
      <vt:lpstr>T13B</vt:lpstr>
      <vt:lpstr>T13C</vt:lpstr>
      <vt:lpstr>T13D</vt:lpstr>
      <vt:lpstr>T14</vt:lpstr>
      <vt:lpstr>'T1'!Afdrukbereik</vt:lpstr>
      <vt:lpstr>'T10'!Afdrukbereik</vt:lpstr>
      <vt:lpstr>'T11'!Afdrukbereik</vt:lpstr>
      <vt:lpstr>'T12'!Afdrukbereik</vt:lpstr>
      <vt:lpstr>T13A!Afdrukbereik</vt:lpstr>
      <vt:lpstr>T13B!Afdrukbereik</vt:lpstr>
      <vt:lpstr>T13C!Afdrukbereik</vt:lpstr>
      <vt:lpstr>T13D!Afdrukbereik</vt:lpstr>
      <vt:lpstr>'T2 - Overzicht'!Afdrukbereik</vt:lpstr>
      <vt:lpstr>'T3'!Afdrukbereik</vt:lpstr>
      <vt:lpstr>T4A!Afdrukbereik</vt:lpstr>
      <vt:lpstr>T4B!Afdrukbereik</vt:lpstr>
      <vt:lpstr>T4C!Afdrukbereik</vt:lpstr>
      <vt:lpstr>T5A!Afdrukbereik</vt:lpstr>
      <vt:lpstr>T5B!Afdrukbereik</vt:lpstr>
      <vt:lpstr>T5C!Afdrukbereik</vt:lpstr>
      <vt:lpstr>T5D!Afdrukbereik</vt:lpstr>
      <vt:lpstr>T5E!Afdrukbereik</vt:lpstr>
      <vt:lpstr>T5F!Afdrukbereik</vt:lpstr>
      <vt:lpstr>T6A!Afdrukbereik</vt:lpstr>
      <vt:lpstr>T6B!Afdrukbereik</vt:lpstr>
      <vt:lpstr>'T7'!Afdrukbereik</vt:lpstr>
      <vt:lpstr>'T8'!Afdrukbereik</vt:lpstr>
      <vt:lpstr>TITELBLAD!Afdrukbereik</vt:lpstr>
      <vt:lpstr>T4A!Afdruktitels</vt:lpstr>
      <vt:lpstr>T4C!Afdruktitels</vt:lpstr>
      <vt:lpstr>T5A!Afdruktitels</vt:lpstr>
      <vt:lpstr>T6A!Afdruktitels</vt:lpstr>
      <vt:lpstr>'T7'!Afdruktitels</vt:lpstr>
      <vt:lpstr>'T8'!Afdruktitels</vt:lpstr>
    </vt:vector>
  </TitlesOfParts>
  <Company>VREG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Bert Stockman</cp:lastModifiedBy>
  <cp:lastPrinted>2016-03-03T07:50:12Z</cp:lastPrinted>
  <dcterms:created xsi:type="dcterms:W3CDTF">2014-05-06T11:13:59Z</dcterms:created>
  <dcterms:modified xsi:type="dcterms:W3CDTF">2020-08-26T11:21:49Z</dcterms:modified>
</cp:coreProperties>
</file>