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468" yWindow="564" windowWidth="20664" windowHeight="6360" tabRatio="766"/>
  </bookViews>
  <sheets>
    <sheet name="TITELBLAD" sheetId="4" r:id="rId1"/>
    <sheet name="T1" sheetId="1" r:id="rId2"/>
    <sheet name="T2" sheetId="6" r:id="rId3"/>
    <sheet name="T3" sheetId="2" r:id="rId4"/>
    <sheet name="T4" sheetId="7" r:id="rId5"/>
    <sheet name="T5" sheetId="3" r:id="rId6"/>
    <sheet name="T7" sheetId="9" r:id="rId7"/>
    <sheet name="T8" sheetId="8" r:id="rId8"/>
    <sheet name="T9" sheetId="10" r:id="rId9"/>
    <sheet name="T10" sheetId="11" r:id="rId10"/>
    <sheet name="T11" sheetId="12" r:id="rId11"/>
    <sheet name="T12" sheetId="1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___________DAT1">#REF!</definedName>
    <definedName name="________________DAT2">#REF!</definedName>
    <definedName name="________________DAT3">#REF!</definedName>
    <definedName name="________________DAT4">#REF!</definedName>
    <definedName name="_______________art2">[2]Artikels!$C$1:$K$65536</definedName>
    <definedName name="_______________art99">[3]Artikellijst!$B$1:$AF$65536</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'[4]Berekening nettarief'!#REF!</definedName>
    <definedName name="_______________ne3">'[4]Berekening nettarief'!#REF!</definedName>
    <definedName name="_______________oms2">[2]Artikels!$D$2</definedName>
    <definedName name="______________art2">[2]Artikels!$C$1:$K$65536</definedName>
    <definedName name="______________art99">[3]Artikellijst!$B$1:$AF$65536</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'[4]Berekening nettarief'!#REF!</definedName>
    <definedName name="______________ne3">'[4]Berekening nettarief'!#REF!</definedName>
    <definedName name="______________oms2">[2]Artikels!$D$2</definedName>
    <definedName name="_____________art2">[2]Artikels!$C$1:$K$65536</definedName>
    <definedName name="_____________art99">[3]Artikellijst!$B$1:$AF$65536</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'[4]Berekening nettarief'!#REF!</definedName>
    <definedName name="_____________ne3">'[4]Berekening nettarief'!#REF!</definedName>
    <definedName name="_____________oms2">[2]Artikels!$D$2</definedName>
    <definedName name="____________art2">[2]Artikels!$C$1:$K$65536</definedName>
    <definedName name="____________art99">[3]Artikellijst!$B$1:$AF$65536</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'[4]Berekening nettarief'!#REF!</definedName>
    <definedName name="____________ne3">'[4]Berekening nettarief'!#REF!</definedName>
    <definedName name="____________oms2">[2]Artikels!$D$2</definedName>
    <definedName name="___________art2">[2]Artikels!$C$1:$K$65536</definedName>
    <definedName name="___________art99">[3]Artikellijst!$B$1:$AF$65536</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'[4]Berekening nettarief'!#REF!</definedName>
    <definedName name="___________ne3">'[4]Berekening nettarief'!#REF!</definedName>
    <definedName name="___________oms2">[2]Artikels!$D$2</definedName>
    <definedName name="__________art2">[2]Artikels!$C$1:$K$65536</definedName>
    <definedName name="__________art99">[3]Artikellijst!$B$1:$AF$65536</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'[4]Berekening nettarief'!#REF!</definedName>
    <definedName name="__________ne3">'[4]Berekening nettarief'!#REF!</definedName>
    <definedName name="__________oms2">[2]Artikels!$D$2</definedName>
    <definedName name="_________art2">[2]Artikels!$C$1:$K$65536</definedName>
    <definedName name="_________art99">[3]Artikellijst!$B$1:$AF$65536</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'[4]Berekening nettarief'!#REF!</definedName>
    <definedName name="_________ne3">'[4]Berekening nettarief'!#REF!</definedName>
    <definedName name="_________oms2">[2]Artikels!$D$2</definedName>
    <definedName name="________art2">[2]Artikels!$C$1:$K$65536</definedName>
    <definedName name="________art99">[3]Artikellijst!$B$1:$AF$65536</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'[4]Berekening nettarief'!#REF!</definedName>
    <definedName name="________ne3">'[4]Berekening nettarief'!#REF!</definedName>
    <definedName name="________oms2">[2]Artikels!$D$2</definedName>
    <definedName name="_______art2">[2]Artikels!$C$1:$K$65536</definedName>
    <definedName name="_______art99">[3]Artikellijst!$B$1:$AF$65536</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'[4]Berekening nettarief'!#REF!</definedName>
    <definedName name="_______ne3">'[4]Berekening nettarief'!#REF!</definedName>
    <definedName name="_______oms2">[2]Artikels!$D$2</definedName>
    <definedName name="______art2">[2]Artikels!$C$1:$K$65536</definedName>
    <definedName name="______art99">[3]Artikellijst!$B$1:$AF$65536</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'[4]Berekening nettarief'!#REF!</definedName>
    <definedName name="______ne3">'[4]Berekening nettarief'!#REF!</definedName>
    <definedName name="______oms2">[2]Artikels!$D$2</definedName>
    <definedName name="_____art2">[2]Artikels!$C$1:$K$65536</definedName>
    <definedName name="_____art99">[3]Artikellijst!$B$1:$AF$65536</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'[4]Berekening nettarief'!#REF!</definedName>
    <definedName name="_____ne3">'[4]Berekening nettarief'!#REF!</definedName>
    <definedName name="_____oms2">[2]Artikels!$D$2</definedName>
    <definedName name="____art2">[2]Artikels!$C$1:$K$65536</definedName>
    <definedName name="____art99">[3]Artikellijst!$B$1:$AF$65536</definedName>
    <definedName name="____NE2">'[4]Berekening nettarief'!#REF!</definedName>
    <definedName name="____ne3">'[4]Berekening nettarief'!#REF!</definedName>
    <definedName name="____oms2">[2]Artikels!$D$2</definedName>
    <definedName name="___art2">[2]Artikels!$C$1:$K$65536</definedName>
    <definedName name="___art99">[3]Artikellijst!$B$1:$AF$65536</definedName>
    <definedName name="___NE2">'[4]Berekening nettarief'!#REF!</definedName>
    <definedName name="___ne3">'[4]Berekening nettarief'!#REF!</definedName>
    <definedName name="___oms2">[2]Artikels!$D$2</definedName>
    <definedName name="__art2">[2]Artikels!$C$1:$K$65536</definedName>
    <definedName name="__art99">[3]Artikellijst!$B$1:$AF$65536</definedName>
    <definedName name="__NE2">'[4]Berekening nettarief'!#REF!</definedName>
    <definedName name="__ne3">'[4]Berekening nettarief'!#REF!</definedName>
    <definedName name="__oms2">[2]Artikels!$D$2</definedName>
    <definedName name="_art2">[2]Artikels!$C$1:$K$65536</definedName>
    <definedName name="_art99">[3]Artikellijst!$B$1:$AF$65536</definedName>
    <definedName name="_ne3">'[4]Berekening nettarief'!#REF!</definedName>
    <definedName name="_oms2">[2]Artikels!$D$2</definedName>
    <definedName name="a">#REF!</definedName>
    <definedName name="act.">#REF!</definedName>
    <definedName name="_xlnm.Print_Area" localSheetId="9">'T10'!$A$1:$V$49</definedName>
    <definedName name="_xlnm.Print_Area" localSheetId="10">'T11'!$A$1:$K$56</definedName>
    <definedName name="_xlnm.Print_Area" localSheetId="11">'T12'!$A$1:$AK$43</definedName>
    <definedName name="_xlnm.Print_Area" localSheetId="2">'T2'!$A$1:$J$85</definedName>
    <definedName name="_xlnm.Print_Area" localSheetId="3">'T3'!$A$1:$BF$83</definedName>
    <definedName name="_xlnm.Print_Area" localSheetId="4">'T4'!$A$1:$AU$115</definedName>
    <definedName name="_xlnm.Print_Area" localSheetId="6">'T7'!$A$1:$S$52</definedName>
    <definedName name="_xlnm.Print_Area" localSheetId="7">'T8'!$A$1:$T$37</definedName>
    <definedName name="_xlnm.Print_Area" localSheetId="8">'T9'!$A$1:$I$40</definedName>
    <definedName name="_xlnm.Print_Area" localSheetId="0">TITELBLAD!$A$1:$Q$118</definedName>
    <definedName name="_xlnm.Print_Area">#REF!</definedName>
    <definedName name="Afschrijvingscodes">'[6]afsch %'!$G$1:$I$20</definedName>
    <definedName name="Aftakklem_LS">'[7]BASISPRIJZEN MATERIAAL'!$I$188</definedName>
    <definedName name="annuité">#REF!</definedName>
    <definedName name="ART">[8]Artikellijst!$B$1:$AF$65536</definedName>
    <definedName name="ARTIK">[9]Artikellijst!$B$1:$AF$65536</definedName>
    <definedName name="capital">#REF!</definedName>
    <definedName name="champdat">#REF!</definedName>
    <definedName name="chpens">#REF!</definedName>
    <definedName name="Codes">'[10]Codes des IM'!$B$2:$D$23</definedName>
    <definedName name="cot_ind">#REF!</definedName>
    <definedName name="cot_ind2">#REF!</definedName>
    <definedName name="cotind3">#REF!</definedName>
    <definedName name="CREG_AFSCHRIJVINGSCODES">'[6]afsch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'[6]afsch %'!$A$1:$C$47</definedName>
    <definedName name="dur_cot1">#REF!</definedName>
    <definedName name="dur_cotind">#REF!</definedName>
    <definedName name="duree">#REF!</definedName>
    <definedName name="eh">[8]Artikellijst!$D$5</definedName>
    <definedName name="excl_infrax">[11]Artikellijst!$E$5</definedName>
    <definedName name="Forfaitair_feeder">75000</definedName>
    <definedName name="frais">#REF!</definedName>
    <definedName name="Hangslot">'[7]BASISPRIJZEN MATERIAAL'!$I$138</definedName>
    <definedName name="index2004">'[12]Bijlage tarieven aansluiting'!$T$9</definedName>
    <definedName name="index3">'[12]Bijlage tarieven aansluiting'!$T$9</definedName>
    <definedName name="jaar">[8]Artikellijst!$B$4</definedName>
    <definedName name="jr">[8]Artikellijst!#REF!</definedName>
    <definedName name="Kabelschoen_HS">'[7]BASISPRIJZEN MATERIAAL'!$I$201</definedName>
    <definedName name="Kabelschoen_LS">'[7]BASISPRIJZEN MATERIAAL'!$I$198</definedName>
    <definedName name="Kit_kunststof_AL">'[7]BASISPRIJZEN MATERIAAL'!$I$190</definedName>
    <definedName name="Kit_kunststof_papierlood">'[7]BASISPRIJZEN MATERIAAL'!$I$191</definedName>
    <definedName name="Kit_papierlood">'[7]BASISPRIJZEN MATERIAAL'!$I$189</definedName>
    <definedName name="Klein_materiaal_10">10</definedName>
    <definedName name="Klein_materiaal_100">100</definedName>
    <definedName name="Klein_materiaal_25">25</definedName>
    <definedName name="Legende">#REF!</definedName>
    <definedName name="Ne">'[4]Berekening nettarief'!#REF!</definedName>
    <definedName name="nom">#REF!,#REF!,#REF!</definedName>
    <definedName name="oms">[8]Artikellijst!$C$5</definedName>
    <definedName name="oud">[8]Artikellijst!$B$1:$AF$65536</definedName>
    <definedName name="pens.">#REF!</definedName>
    <definedName name="Plaat_postnummer_telefoon">'[7]BASISPRIJZEN MATERIAAL'!$I$160</definedName>
    <definedName name="rend">#REF!</definedName>
    <definedName name="SAPBEXrevision" localSheetId="9" hidden="1">23</definedName>
    <definedName name="SAPBEXrevision" localSheetId="10" hidden="1">23</definedName>
    <definedName name="SAPBEXrevision" localSheetId="8" hidden="1">23</definedName>
    <definedName name="SAPBEXrevision" hidden="1">10</definedName>
    <definedName name="SAPBEXsysID" hidden="1">"BP1"</definedName>
    <definedName name="SAPBEXwbID" localSheetId="9" hidden="1">"3OXN00JDSWKKLN5ZRDB3JJU3L"</definedName>
    <definedName name="SAPBEXwbID" localSheetId="10" hidden="1">"3OXN00JDSWKKLN5ZRDB3JJU3L"</definedName>
    <definedName name="SAPBEXwbID" localSheetId="8" hidden="1">"3OXN00JDSWKKLN5ZRDB3JJU3L"</definedName>
    <definedName name="SAPBEXwbID" hidden="1">"4751QXOCD67AJ09JC6QHJDZY6"</definedName>
    <definedName name="saut">#REF!</definedName>
    <definedName name="Sleutelkastje">'[7]BASISPRIJZEN MATERIAAL'!$I$159</definedName>
    <definedName name="Slot_voor_sleutelkastje">'[7]BASISPRIJZEN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'[7]BASISPRIJZEN MATERIAAL'!$I$195</definedName>
    <definedName name="Terminal_LS">'[7]BASISPRIJZEN MATERIAAL'!$I$200</definedName>
    <definedName name="TEST0">#REF!</definedName>
    <definedName name="titreprincipal">#REF!</definedName>
    <definedName name="Traduction1">'[10]Codes des IM'!$A$28:$D$1853</definedName>
    <definedName name="UTILDEF">[13]UTILDEF!#REF!</definedName>
    <definedName name="valini">#REF!</definedName>
    <definedName name="Verbinder_kunststof_M4">'[7]BASISPRIJZEN MATERIAAL'!$I$192</definedName>
    <definedName name="Verbinder_kunststof_papierlood_M3">'[7]BASISPRIJZEN MATERIAAL'!$I$192</definedName>
    <definedName name="Verbinder_papierlood_M3">'[7]BASISPRIJZEN MATERIAAL'!$I$192</definedName>
    <definedName name="verdeelsl_elek">'[14]detail per act'!$B$3</definedName>
    <definedName name="verdeelsl_gas">'[14]detail per act'!$B$4</definedName>
    <definedName name="VertaaltabelCREG">'[6]vertaaltabel CREG'!$B$1:$F$65536</definedName>
    <definedName name="Wikkeldoos_LS">'[7]BASISPRIJZEN MATERIAAL'!$I$199</definedName>
  </definedNames>
  <calcPr calcId="145621"/>
</workbook>
</file>

<file path=xl/calcChain.xml><?xml version="1.0" encoding="utf-8"?>
<calcChain xmlns="http://schemas.openxmlformats.org/spreadsheetml/2006/main">
  <c r="S27" i="3" l="1"/>
  <c r="AH47" i="2" l="1"/>
  <c r="BC63" i="3" l="1"/>
  <c r="P54" i="7"/>
  <c r="O54" i="7"/>
  <c r="N54" i="7"/>
  <c r="M54" i="7"/>
  <c r="F36" i="13" l="1"/>
  <c r="G27" i="13"/>
  <c r="G20" i="13"/>
  <c r="H20" i="13" s="1"/>
  <c r="AB27" i="13"/>
  <c r="AB28" i="13" s="1"/>
  <c r="P21" i="13"/>
  <c r="V19" i="13"/>
  <c r="V12" i="13"/>
  <c r="V11" i="13"/>
  <c r="L10" i="13"/>
  <c r="L36" i="13"/>
  <c r="N35" i="13"/>
  <c r="H35" i="13"/>
  <c r="N34" i="13"/>
  <c r="N36" i="13" s="1"/>
  <c r="AE28" i="13"/>
  <c r="V28" i="13"/>
  <c r="F28" i="13"/>
  <c r="AG27" i="13"/>
  <c r="AG28" i="13" s="1"/>
  <c r="X27" i="13"/>
  <c r="X28" i="13" s="1"/>
  <c r="I28" i="13"/>
  <c r="AE21" i="13"/>
  <c r="AG20" i="13"/>
  <c r="AG21" i="13" s="1"/>
  <c r="X20" i="13"/>
  <c r="AG19" i="13"/>
  <c r="C21" i="13"/>
  <c r="AE13" i="13"/>
  <c r="AG12" i="13"/>
  <c r="AG11" i="13"/>
  <c r="AG10" i="13"/>
  <c r="AG13" i="13" s="1"/>
  <c r="W19" i="13"/>
  <c r="L38" i="11"/>
  <c r="I38" i="11"/>
  <c r="F38" i="11"/>
  <c r="L36" i="11"/>
  <c r="I36" i="11"/>
  <c r="F36" i="11"/>
  <c r="L35" i="11"/>
  <c r="I35" i="11"/>
  <c r="F35" i="11"/>
  <c r="L34" i="11"/>
  <c r="I34" i="11"/>
  <c r="F34" i="11"/>
  <c r="N33" i="11"/>
  <c r="M33" i="11"/>
  <c r="U19" i="13" l="1"/>
  <c r="U11" i="13"/>
  <c r="U27" i="13"/>
  <c r="U28" i="13" s="1"/>
  <c r="Y12" i="13"/>
  <c r="Y20" i="13"/>
  <c r="P13" i="13"/>
  <c r="U12" i="13"/>
  <c r="Y11" i="13"/>
  <c r="L11" i="13"/>
  <c r="N11" i="13" s="1"/>
  <c r="L27" i="13"/>
  <c r="L28" i="13" s="1"/>
  <c r="AB11" i="13"/>
  <c r="U20" i="13"/>
  <c r="X19" i="13"/>
  <c r="X21" i="13" s="1"/>
  <c r="O13" i="13"/>
  <c r="L20" i="13"/>
  <c r="N20" i="13" s="1"/>
  <c r="U10" i="13"/>
  <c r="F21" i="13"/>
  <c r="Q21" i="13"/>
  <c r="N10" i="13"/>
  <c r="Y10" i="13"/>
  <c r="L12" i="13"/>
  <c r="N12" i="13" s="1"/>
  <c r="L19" i="13"/>
  <c r="AB20" i="13"/>
  <c r="I21" i="13"/>
  <c r="O21" i="13"/>
  <c r="V21" i="13"/>
  <c r="Y27" i="13"/>
  <c r="V10" i="13"/>
  <c r="AB12" i="13"/>
  <c r="C13" i="13"/>
  <c r="AB19" i="13"/>
  <c r="Q28" i="13"/>
  <c r="AB10" i="13"/>
  <c r="F13" i="13"/>
  <c r="Y19" i="13"/>
  <c r="H27" i="13"/>
  <c r="H28" i="13" s="1"/>
  <c r="U21" i="13" l="1"/>
  <c r="N27" i="13"/>
  <c r="N28" i="13" s="1"/>
  <c r="U13" i="13"/>
  <c r="N13" i="13"/>
  <c r="L13" i="13"/>
  <c r="Y21" i="13"/>
  <c r="L21" i="13"/>
  <c r="N19" i="13"/>
  <c r="N21" i="13" s="1"/>
  <c r="Y28" i="13"/>
  <c r="V13" i="13"/>
  <c r="AB13" i="13"/>
  <c r="AB21" i="13"/>
  <c r="Y13" i="13"/>
  <c r="D13" i="3" l="1"/>
  <c r="P59" i="2" l="1"/>
  <c r="P57" i="2"/>
  <c r="P47" i="2"/>
  <c r="P45" i="2"/>
  <c r="P19" i="2" l="1"/>
  <c r="H53" i="6" l="1"/>
  <c r="BE32" i="2" s="1"/>
  <c r="J60" i="6"/>
  <c r="G60" i="6" s="1"/>
  <c r="J59" i="6"/>
  <c r="G59" i="6" s="1"/>
  <c r="J54" i="6"/>
  <c r="G54" i="6" s="1"/>
  <c r="AM32" i="2"/>
  <c r="AA32" i="2"/>
  <c r="V32" i="2"/>
  <c r="Q32" i="2"/>
  <c r="N32" i="2"/>
  <c r="L32" i="2"/>
  <c r="G32" i="2"/>
  <c r="AQ40" i="2"/>
  <c r="AO40" i="2"/>
  <c r="P40" i="2"/>
  <c r="AU39" i="2"/>
  <c r="AV39" i="2" s="1"/>
  <c r="AQ39" i="2"/>
  <c r="AO39" i="2"/>
  <c r="AJ39" i="2"/>
  <c r="AE39" i="2"/>
  <c r="Z39" i="2"/>
  <c r="U39" i="2"/>
  <c r="P39" i="2"/>
  <c r="K39" i="2"/>
  <c r="AU38" i="2"/>
  <c r="AV38" i="2" s="1"/>
  <c r="AQ38" i="2"/>
  <c r="AR38" i="2" s="1"/>
  <c r="AO38" i="2"/>
  <c r="AJ38" i="2"/>
  <c r="AE38" i="2"/>
  <c r="Z38" i="2"/>
  <c r="U38" i="2"/>
  <c r="P38" i="2"/>
  <c r="K38" i="2"/>
  <c r="AQ37" i="2"/>
  <c r="AO37" i="2"/>
  <c r="P37" i="2"/>
  <c r="AR36" i="2"/>
  <c r="AQ36" i="2"/>
  <c r="AO36" i="2"/>
  <c r="P36" i="2"/>
  <c r="AQ35" i="2"/>
  <c r="AO35" i="2"/>
  <c r="P35" i="2"/>
  <c r="AQ34" i="2"/>
  <c r="AO34" i="2"/>
  <c r="P34" i="2"/>
  <c r="AU33" i="2"/>
  <c r="AV33" i="2" s="1"/>
  <c r="AQ33" i="2"/>
  <c r="AO33" i="2"/>
  <c r="AJ33" i="2"/>
  <c r="AE33" i="2"/>
  <c r="Z33" i="2"/>
  <c r="U33" i="2"/>
  <c r="P33" i="2"/>
  <c r="K33" i="2"/>
  <c r="A1" i="13"/>
  <c r="A1" i="11"/>
  <c r="A1" i="10"/>
  <c r="A1" i="8"/>
  <c r="A1" i="3"/>
  <c r="A1" i="2"/>
  <c r="A1" i="6"/>
  <c r="A48" i="4"/>
  <c r="AP79" i="3"/>
  <c r="AJ79" i="3"/>
  <c r="AB79" i="3"/>
  <c r="AA79" i="3"/>
  <c r="S79" i="3"/>
  <c r="P79" i="3"/>
  <c r="I79" i="3"/>
  <c r="G79" i="3"/>
  <c r="F79" i="3"/>
  <c r="AX75" i="3"/>
  <c r="AU75" i="3"/>
  <c r="AR75" i="3"/>
  <c r="AO75" i="3"/>
  <c r="AL75" i="3"/>
  <c r="AI75" i="3"/>
  <c r="AF75" i="3"/>
  <c r="Y75" i="3"/>
  <c r="U75" i="3"/>
  <c r="V75" i="3" s="1"/>
  <c r="BC75" i="3" s="1"/>
  <c r="R75" i="3"/>
  <c r="O75" i="3"/>
  <c r="L75" i="3"/>
  <c r="H75" i="3"/>
  <c r="AR74" i="3"/>
  <c r="AL74" i="3"/>
  <c r="AF74" i="3"/>
  <c r="U74" i="3"/>
  <c r="R74" i="3"/>
  <c r="L74" i="3"/>
  <c r="AX73" i="3"/>
  <c r="AU73" i="3"/>
  <c r="AR73" i="3"/>
  <c r="AO73" i="3"/>
  <c r="AL73" i="3"/>
  <c r="AI73" i="3"/>
  <c r="AF73" i="3"/>
  <c r="Y73" i="3"/>
  <c r="U73" i="3"/>
  <c r="V73" i="3" s="1"/>
  <c r="R73" i="3"/>
  <c r="O73" i="3"/>
  <c r="L73" i="3"/>
  <c r="H73" i="3"/>
  <c r="BC73" i="3"/>
  <c r="AQ1" i="2"/>
  <c r="V1" i="2"/>
  <c r="A1" i="1"/>
  <c r="A47" i="4" s="1"/>
  <c r="AO32" i="2"/>
  <c r="AB22" i="2"/>
  <c r="AA22" i="2"/>
  <c r="W22" i="2"/>
  <c r="R22" i="2"/>
  <c r="Q22" i="2"/>
  <c r="O22" i="2"/>
  <c r="N22" i="2"/>
  <c r="M22" i="2"/>
  <c r="H22" i="2"/>
  <c r="A1" i="12"/>
  <c r="A1" i="9"/>
  <c r="A82" i="4" s="1"/>
  <c r="BC23" i="3"/>
  <c r="BA63" i="3"/>
  <c r="A1" i="7"/>
  <c r="A70" i="4" s="1"/>
  <c r="K54" i="2"/>
  <c r="P54" i="2"/>
  <c r="AS6" i="2"/>
  <c r="X6" i="2"/>
  <c r="A100" i="4"/>
  <c r="A87" i="4"/>
  <c r="AW65" i="2"/>
  <c r="BA65" i="2" s="1"/>
  <c r="BE65" i="2" s="1"/>
  <c r="AW58" i="2"/>
  <c r="AW56" i="2"/>
  <c r="AW55" i="2"/>
  <c r="AW54" i="2"/>
  <c r="AW49" i="2"/>
  <c r="AX49" i="2" s="1"/>
  <c r="AW30" i="2"/>
  <c r="AW29" i="2"/>
  <c r="AW24" i="2"/>
  <c r="AU58" i="2"/>
  <c r="AV58" i="2" s="1"/>
  <c r="AU56" i="2"/>
  <c r="AU55" i="2"/>
  <c r="AX55" i="2" s="1"/>
  <c r="AU54" i="2"/>
  <c r="AV54" i="2" s="1"/>
  <c r="AU49" i="2"/>
  <c r="AY49" i="2" s="1"/>
  <c r="BD49" i="2" s="1"/>
  <c r="AU30" i="2"/>
  <c r="AU29" i="2"/>
  <c r="AU24" i="2"/>
  <c r="AV24" i="2" s="1"/>
  <c r="AS65" i="2"/>
  <c r="AS58" i="2"/>
  <c r="AS56" i="2"/>
  <c r="AS55" i="2"/>
  <c r="AS54" i="2"/>
  <c r="AS49" i="2"/>
  <c r="AS31" i="2"/>
  <c r="AS30" i="2"/>
  <c r="AT30" i="2" s="1"/>
  <c r="AS29" i="2"/>
  <c r="AT29" i="2" s="1"/>
  <c r="AS28" i="2"/>
  <c r="AS27" i="2"/>
  <c r="AS26" i="2"/>
  <c r="AT26" i="2" s="1"/>
  <c r="AS25" i="2"/>
  <c r="AS22" i="2" s="1"/>
  <c r="AS24" i="2"/>
  <c r="AQ65" i="2"/>
  <c r="AQ58" i="2"/>
  <c r="AQ56" i="2"/>
  <c r="AQ55" i="2"/>
  <c r="AQ54" i="2"/>
  <c r="AQ49" i="2"/>
  <c r="AQ31" i="2"/>
  <c r="AQ30" i="2"/>
  <c r="AQ29" i="2"/>
  <c r="AQ28" i="2"/>
  <c r="AR28" i="2" s="1"/>
  <c r="AQ27" i="2"/>
  <c r="AQ26" i="2"/>
  <c r="AQ24" i="2"/>
  <c r="AR24" i="2" s="1"/>
  <c r="AJ58" i="2"/>
  <c r="AJ56" i="2"/>
  <c r="AJ55" i="2"/>
  <c r="AJ54" i="2"/>
  <c r="AJ49" i="2"/>
  <c r="AJ30" i="2"/>
  <c r="AJ29" i="2"/>
  <c r="AJ24" i="2"/>
  <c r="AO24" i="2"/>
  <c r="U55" i="2"/>
  <c r="M43" i="2"/>
  <c r="L43" i="2"/>
  <c r="L52" i="2"/>
  <c r="AX69" i="3"/>
  <c r="AU69" i="3"/>
  <c r="AR69" i="3"/>
  <c r="AO69" i="3"/>
  <c r="AL69" i="3"/>
  <c r="AI69" i="3"/>
  <c r="AF69" i="3"/>
  <c r="Y69" i="3"/>
  <c r="U69" i="3"/>
  <c r="R69" i="3"/>
  <c r="O69" i="3"/>
  <c r="V69" i="3" s="1"/>
  <c r="BC69" i="3" s="1"/>
  <c r="L69" i="3"/>
  <c r="H69" i="3"/>
  <c r="AR71" i="3"/>
  <c r="AR70" i="3"/>
  <c r="AR68" i="3"/>
  <c r="AP59" i="3"/>
  <c r="AR55" i="3"/>
  <c r="AR59" i="3"/>
  <c r="AR51" i="3"/>
  <c r="AP45" i="3"/>
  <c r="AR41" i="3"/>
  <c r="AR37" i="3"/>
  <c r="AR45" i="3"/>
  <c r="AP35" i="3"/>
  <c r="AR31" i="3"/>
  <c r="AR27" i="3"/>
  <c r="AP25" i="3"/>
  <c r="AR21" i="3"/>
  <c r="AR25" i="3" s="1"/>
  <c r="AR19" i="3"/>
  <c r="AP17" i="3"/>
  <c r="AR13" i="3"/>
  <c r="AR17" i="3" s="1"/>
  <c r="AR11" i="3"/>
  <c r="O43" i="2"/>
  <c r="N43" i="2"/>
  <c r="AO49" i="2"/>
  <c r="AE49" i="2"/>
  <c r="Z49" i="2"/>
  <c r="U49" i="2"/>
  <c r="P49" i="2"/>
  <c r="K49" i="2"/>
  <c r="J69" i="6"/>
  <c r="G69" i="6" s="1"/>
  <c r="AL70" i="3"/>
  <c r="U70" i="3"/>
  <c r="R70" i="3"/>
  <c r="A76" i="4"/>
  <c r="A60" i="4"/>
  <c r="I36" i="10"/>
  <c r="F36" i="10" s="1"/>
  <c r="I34" i="10"/>
  <c r="F34" i="10" s="1"/>
  <c r="I33" i="10"/>
  <c r="I32" i="10"/>
  <c r="F32" i="10" s="1"/>
  <c r="J76" i="6"/>
  <c r="G76" i="6" s="1"/>
  <c r="J74" i="6"/>
  <c r="G74" i="6" s="1"/>
  <c r="J73" i="6"/>
  <c r="I73" i="6" s="1"/>
  <c r="J72" i="6"/>
  <c r="I72" i="6" s="1"/>
  <c r="J51" i="6"/>
  <c r="I51" i="6" s="1"/>
  <c r="J50" i="6"/>
  <c r="G50" i="6" s="1"/>
  <c r="J45" i="6"/>
  <c r="G45" i="6" s="1"/>
  <c r="AV56" i="2"/>
  <c r="AR65" i="2"/>
  <c r="AR55" i="2"/>
  <c r="AX71" i="3"/>
  <c r="AU71" i="3"/>
  <c r="AO71" i="3"/>
  <c r="AL71" i="3"/>
  <c r="AI71" i="3"/>
  <c r="Y71" i="3"/>
  <c r="U71" i="3"/>
  <c r="R71" i="3"/>
  <c r="O71" i="3"/>
  <c r="L71" i="3"/>
  <c r="H71" i="3"/>
  <c r="AX68" i="3"/>
  <c r="AU68" i="3"/>
  <c r="AO68" i="3"/>
  <c r="AL68" i="3"/>
  <c r="AI68" i="3"/>
  <c r="AF68" i="3"/>
  <c r="Y68" i="3"/>
  <c r="U68" i="3"/>
  <c r="R68" i="3"/>
  <c r="O68" i="3"/>
  <c r="L68" i="3"/>
  <c r="H68" i="3"/>
  <c r="S17" i="3"/>
  <c r="P17" i="3"/>
  <c r="I17" i="3"/>
  <c r="G17" i="3"/>
  <c r="F17" i="3"/>
  <c r="C17" i="3"/>
  <c r="AX13" i="3"/>
  <c r="AU13" i="3"/>
  <c r="AO13" i="3"/>
  <c r="AL13" i="3"/>
  <c r="AI13" i="3"/>
  <c r="AF13" i="3"/>
  <c r="Y13" i="3"/>
  <c r="U13" i="3"/>
  <c r="R13" i="3"/>
  <c r="O13" i="3"/>
  <c r="L13" i="3"/>
  <c r="V13" i="3" s="1"/>
  <c r="H13" i="3"/>
  <c r="U11" i="3"/>
  <c r="R11" i="3"/>
  <c r="AT31" i="2"/>
  <c r="AT27" i="2"/>
  <c r="AO58" i="2"/>
  <c r="AO56" i="2"/>
  <c r="AO55" i="2"/>
  <c r="AO54" i="2"/>
  <c r="AO30" i="2"/>
  <c r="AO29" i="2"/>
  <c r="C6" i="11"/>
  <c r="C3" i="10"/>
  <c r="A114" i="4"/>
  <c r="A94" i="4"/>
  <c r="B3" i="13"/>
  <c r="R38" i="11"/>
  <c r="V38" i="11" s="1"/>
  <c r="R36" i="11"/>
  <c r="V36" i="11" s="1"/>
  <c r="R35" i="11"/>
  <c r="V35" i="11" s="1"/>
  <c r="R34" i="11"/>
  <c r="V34" i="11" s="1"/>
  <c r="P38" i="11"/>
  <c r="U38" i="11" s="1"/>
  <c r="P36" i="11"/>
  <c r="U36" i="11" s="1"/>
  <c r="P35" i="11"/>
  <c r="P34" i="11"/>
  <c r="P31" i="11"/>
  <c r="U31" i="11" s="1"/>
  <c r="P29" i="11"/>
  <c r="U29" i="11" s="1"/>
  <c r="T11" i="8"/>
  <c r="Q11" i="8"/>
  <c r="N11" i="8"/>
  <c r="K11" i="8"/>
  <c r="D11" i="8"/>
  <c r="AV25" i="3"/>
  <c r="AS25" i="3"/>
  <c r="AM25" i="3"/>
  <c r="AJ25" i="3"/>
  <c r="AG25" i="3"/>
  <c r="AB25" i="3"/>
  <c r="AA25" i="3"/>
  <c r="Z25" i="3"/>
  <c r="W25" i="3"/>
  <c r="S25" i="3"/>
  <c r="P25" i="3"/>
  <c r="M25" i="3"/>
  <c r="J25" i="3"/>
  <c r="I25" i="3"/>
  <c r="G25" i="3"/>
  <c r="F25" i="3"/>
  <c r="E25" i="3"/>
  <c r="D25" i="3"/>
  <c r="H25" i="3" s="1"/>
  <c r="C25" i="3"/>
  <c r="B25" i="3"/>
  <c r="AX21" i="3"/>
  <c r="AU21" i="3"/>
  <c r="AO21" i="3"/>
  <c r="AL21" i="3"/>
  <c r="AI21" i="3"/>
  <c r="AF21" i="3"/>
  <c r="Y21" i="3"/>
  <c r="U21" i="3"/>
  <c r="R21" i="3"/>
  <c r="O21" i="3"/>
  <c r="L21" i="3"/>
  <c r="H21" i="3"/>
  <c r="AX19" i="3"/>
  <c r="AX25" i="3" s="1"/>
  <c r="AU19" i="3"/>
  <c r="AU25" i="3" s="1"/>
  <c r="AO19" i="3"/>
  <c r="AO25" i="3"/>
  <c r="AL19" i="3"/>
  <c r="AL25" i="3" s="1"/>
  <c r="AI19" i="3"/>
  <c r="AI25" i="3" s="1"/>
  <c r="AF19" i="3"/>
  <c r="AF25" i="3" s="1"/>
  <c r="Y19" i="3"/>
  <c r="Y25" i="3"/>
  <c r="U19" i="3"/>
  <c r="U25" i="3" s="1"/>
  <c r="R19" i="3"/>
  <c r="V19" i="3" s="1"/>
  <c r="BC19" i="3" s="1"/>
  <c r="O19" i="3"/>
  <c r="L19" i="3"/>
  <c r="H19" i="3"/>
  <c r="P65" i="2"/>
  <c r="P58" i="2"/>
  <c r="P56" i="2"/>
  <c r="P55" i="2"/>
  <c r="O52" i="2"/>
  <c r="P52" i="2" s="1"/>
  <c r="N52" i="2"/>
  <c r="M52" i="2"/>
  <c r="P31" i="2"/>
  <c r="P30" i="2"/>
  <c r="P29" i="2"/>
  <c r="P28" i="2"/>
  <c r="P27" i="2"/>
  <c r="P26" i="2"/>
  <c r="P25" i="2"/>
  <c r="P24" i="2"/>
  <c r="P17" i="2"/>
  <c r="P15" i="2"/>
  <c r="O13" i="2"/>
  <c r="N13" i="2"/>
  <c r="M13" i="2"/>
  <c r="M70" i="2" s="1"/>
  <c r="M81" i="2" s="1"/>
  <c r="L13" i="2"/>
  <c r="O39" i="11"/>
  <c r="O38" i="11"/>
  <c r="O37" i="11"/>
  <c r="O36" i="11"/>
  <c r="O35" i="11"/>
  <c r="O34" i="11"/>
  <c r="O31" i="11"/>
  <c r="O29" i="11"/>
  <c r="O27" i="11"/>
  <c r="O22" i="11"/>
  <c r="O20" i="11"/>
  <c r="M13" i="11"/>
  <c r="M41" i="11" s="1"/>
  <c r="O33" i="11"/>
  <c r="B3" i="3"/>
  <c r="C3" i="8"/>
  <c r="D3" i="6"/>
  <c r="C6" i="2"/>
  <c r="I59" i="3"/>
  <c r="C59" i="3"/>
  <c r="I45" i="3"/>
  <c r="C45" i="3"/>
  <c r="AL41" i="3"/>
  <c r="L41" i="3"/>
  <c r="I35" i="3"/>
  <c r="C35" i="3"/>
  <c r="AL31" i="3"/>
  <c r="L31" i="3"/>
  <c r="AL55" i="3"/>
  <c r="L55" i="3"/>
  <c r="AE58" i="2"/>
  <c r="Z58" i="2"/>
  <c r="U58" i="2"/>
  <c r="K58" i="2"/>
  <c r="AE56" i="2"/>
  <c r="Z56" i="2"/>
  <c r="U56" i="2"/>
  <c r="K56" i="2"/>
  <c r="AE55" i="2"/>
  <c r="Z55" i="2"/>
  <c r="K55" i="2"/>
  <c r="AE54" i="2"/>
  <c r="Z54" i="2"/>
  <c r="U54" i="2"/>
  <c r="AE30" i="2"/>
  <c r="Z30" i="2"/>
  <c r="U30" i="2"/>
  <c r="K30" i="2"/>
  <c r="AE29" i="2"/>
  <c r="Z29" i="2"/>
  <c r="U29" i="2"/>
  <c r="K29" i="2"/>
  <c r="AE24" i="2"/>
  <c r="Z24" i="2"/>
  <c r="U24" i="2"/>
  <c r="K24" i="2"/>
  <c r="E21" i="1"/>
  <c r="A5" i="1"/>
  <c r="AR27" i="2"/>
  <c r="AR31" i="2"/>
  <c r="AX56" i="2"/>
  <c r="AR30" i="2"/>
  <c r="AR49" i="2"/>
  <c r="AR35" i="3"/>
  <c r="BC13" i="3"/>
  <c r="U17" i="3"/>
  <c r="L25" i="3"/>
  <c r="N42" i="13"/>
  <c r="V68" i="3"/>
  <c r="BC68" i="3"/>
  <c r="AT65" i="2"/>
  <c r="AR33" i="2"/>
  <c r="AR37" i="2"/>
  <c r="AR40" i="2"/>
  <c r="AR35" i="2"/>
  <c r="AR39" i="2"/>
  <c r="AR26" i="2"/>
  <c r="G73" i="6" l="1"/>
  <c r="AY58" i="2"/>
  <c r="T35" i="11"/>
  <c r="S35" i="11" s="1"/>
  <c r="AY54" i="2"/>
  <c r="AX58" i="2"/>
  <c r="AX24" i="2"/>
  <c r="BA24" i="2"/>
  <c r="BE24" i="2" s="1"/>
  <c r="AV49" i="2"/>
  <c r="BA49" i="2"/>
  <c r="BA58" i="2"/>
  <c r="BE58" i="2" s="1"/>
  <c r="AT58" i="2"/>
  <c r="AX54" i="2"/>
  <c r="BA54" i="2"/>
  <c r="BE54" i="2" s="1"/>
  <c r="I50" i="6"/>
  <c r="AT49" i="2"/>
  <c r="AT28" i="2"/>
  <c r="AR58" i="2"/>
  <c r="AT24" i="2"/>
  <c r="BA55" i="2"/>
  <c r="BE55" i="2" s="1"/>
  <c r="AY24" i="2"/>
  <c r="BD24" i="2" s="1"/>
  <c r="BA30" i="2"/>
  <c r="BE30" i="2" s="1"/>
  <c r="AR54" i="2"/>
  <c r="AT54" i="2"/>
  <c r="BA56" i="2"/>
  <c r="BE56" i="2" s="1"/>
  <c r="A54" i="4"/>
  <c r="I69" i="6"/>
  <c r="T34" i="11"/>
  <c r="Q34" i="11" s="1"/>
  <c r="H33" i="10"/>
  <c r="F33" i="10"/>
  <c r="H34" i="10"/>
  <c r="A108" i="4"/>
  <c r="BD58" i="2"/>
  <c r="AT55" i="2"/>
  <c r="AV55" i="2"/>
  <c r="AY55" i="2"/>
  <c r="B23" i="8"/>
  <c r="I84" i="3"/>
  <c r="R25" i="3"/>
  <c r="O70" i="2"/>
  <c r="O81" i="2" s="1"/>
  <c r="P43" i="2"/>
  <c r="AX30" i="2"/>
  <c r="I45" i="6"/>
  <c r="AY33" i="2"/>
  <c r="BC33" i="2" s="1"/>
  <c r="AZ33" i="2" s="1"/>
  <c r="AV30" i="2"/>
  <c r="AY30" i="2"/>
  <c r="AX29" i="2"/>
  <c r="AY39" i="2"/>
  <c r="BC39" i="2" s="1"/>
  <c r="AZ39" i="2" s="1"/>
  <c r="AY38" i="2"/>
  <c r="BC38" i="2" s="1"/>
  <c r="AZ38" i="2" s="1"/>
  <c r="G72" i="6"/>
  <c r="P13" i="2"/>
  <c r="N70" i="2"/>
  <c r="U42" i="13"/>
  <c r="R17" i="3"/>
  <c r="H32" i="10"/>
  <c r="H36" i="10"/>
  <c r="AR34" i="2"/>
  <c r="P32" i="2"/>
  <c r="L22" i="2"/>
  <c r="AQ32" i="2"/>
  <c r="V22" i="2"/>
  <c r="V21" i="3"/>
  <c r="O25" i="3"/>
  <c r="U35" i="11"/>
  <c r="AG42" i="13"/>
  <c r="AP84" i="3"/>
  <c r="BA29" i="2"/>
  <c r="V71" i="3"/>
  <c r="AY29" i="2"/>
  <c r="AR29" i="2"/>
  <c r="AY56" i="2"/>
  <c r="AR56" i="2"/>
  <c r="AT56" i="2"/>
  <c r="G51" i="6"/>
  <c r="I74" i="6"/>
  <c r="I76" i="6"/>
  <c r="T36" i="11"/>
  <c r="Q36" i="11" s="1"/>
  <c r="AV29" i="2"/>
  <c r="R79" i="3"/>
  <c r="U34" i="11"/>
  <c r="U79" i="3"/>
  <c r="AL79" i="3"/>
  <c r="T38" i="11"/>
  <c r="Q38" i="11" s="1"/>
  <c r="AR79" i="3"/>
  <c r="AR84" i="3" s="1"/>
  <c r="Q35" i="11" l="1"/>
  <c r="BC54" i="2"/>
  <c r="AZ54" i="2" s="1"/>
  <c r="BD54" i="2"/>
  <c r="BC49" i="2"/>
  <c r="AZ49" i="2" s="1"/>
  <c r="BE49" i="2"/>
  <c r="BC58" i="2"/>
  <c r="AZ58" i="2" s="1"/>
  <c r="BC24" i="2"/>
  <c r="BB24" i="2" s="1"/>
  <c r="S38" i="11"/>
  <c r="S34" i="11"/>
  <c r="BC55" i="2"/>
  <c r="BB55" i="2" s="1"/>
  <c r="BD55" i="2"/>
  <c r="BD30" i="2"/>
  <c r="BC30" i="2"/>
  <c r="BB30" i="2" s="1"/>
  <c r="BD29" i="2"/>
  <c r="BC29" i="2"/>
  <c r="AZ29" i="2" s="1"/>
  <c r="P22" i="2"/>
  <c r="P70" i="2" s="1"/>
  <c r="O76" i="2" s="1"/>
  <c r="L70" i="2"/>
  <c r="S36" i="11"/>
  <c r="BC56" i="2"/>
  <c r="BD56" i="2"/>
  <c r="V25" i="3"/>
  <c r="BC21" i="3"/>
  <c r="BC25" i="3" s="1"/>
  <c r="N81" i="2"/>
  <c r="BD25" i="3" s="1"/>
  <c r="BE29" i="2"/>
  <c r="AR32" i="2"/>
  <c r="BB54" i="2" l="1"/>
  <c r="BB58" i="2"/>
  <c r="BB49" i="2"/>
  <c r="AZ24" i="2"/>
  <c r="BB29" i="2"/>
  <c r="AZ55" i="2"/>
  <c r="AZ30" i="2"/>
  <c r="BE25" i="3"/>
  <c r="BB56" i="2"/>
  <c r="M76" i="2"/>
  <c r="L81" i="2"/>
  <c r="C23" i="8" s="1"/>
  <c r="D23" i="8" s="1"/>
  <c r="L74" i="2"/>
  <c r="P76" i="2"/>
  <c r="M74" i="2"/>
  <c r="P81" i="2"/>
  <c r="P74" i="2"/>
  <c r="AZ56" i="2"/>
  <c r="G22" i="2" l="1"/>
  <c r="AQ25" i="2"/>
  <c r="AR25" i="2" l="1"/>
  <c r="AT25" i="2"/>
  <c r="AQ22" i="2"/>
  <c r="AR22" i="2" l="1"/>
  <c r="AT22" i="2"/>
  <c r="E13" i="1" l="1"/>
  <c r="D10" i="13" l="1"/>
  <c r="E10" i="13" l="1"/>
  <c r="D11" i="13"/>
  <c r="E11" i="13" l="1"/>
  <c r="D19" i="13"/>
  <c r="D12" i="13" l="1"/>
  <c r="E19" i="13"/>
  <c r="E21" i="13" s="1"/>
  <c r="E12" i="13" l="1"/>
  <c r="E13" i="13" s="1"/>
  <c r="E42" i="13" s="1"/>
  <c r="AO66" i="3" l="1"/>
  <c r="Y66" i="3"/>
  <c r="AI66" i="3" l="1"/>
  <c r="AX66" i="3"/>
  <c r="AU66" i="3" l="1"/>
  <c r="V66" i="3" l="1"/>
  <c r="M74" i="3" l="1"/>
  <c r="H74" i="3" l="1"/>
  <c r="Y74" i="3" l="1"/>
  <c r="AO74" i="3" l="1"/>
  <c r="AU74" i="3" l="1"/>
  <c r="AX74" i="3"/>
  <c r="AI74" i="3"/>
  <c r="N74" i="3" l="1"/>
  <c r="O74" i="3" s="1"/>
  <c r="V74" i="3" l="1"/>
  <c r="BC74" i="3" l="1"/>
  <c r="AJ47" i="2" l="1"/>
  <c r="AI52" i="2" l="1"/>
  <c r="Z65" i="2" l="1"/>
  <c r="K65" i="2"/>
  <c r="BA61" i="3" l="1"/>
  <c r="BC61" i="3" l="1"/>
  <c r="G10" i="13" l="1"/>
  <c r="H10" i="13" l="1"/>
  <c r="G11" i="13" l="1"/>
  <c r="H11" i="13" l="1"/>
  <c r="G12" i="13"/>
  <c r="H12" i="13" l="1"/>
  <c r="H13" i="13" s="1"/>
  <c r="G19" i="13"/>
  <c r="H19" i="13" l="1"/>
  <c r="H21" i="13" s="1"/>
  <c r="BC57" i="3" l="1"/>
  <c r="BC43" i="3"/>
  <c r="BC15" i="3"/>
  <c r="D39" i="3" l="1"/>
  <c r="M39" i="3"/>
  <c r="D53" i="3"/>
  <c r="M53" i="3"/>
  <c r="W53" i="3" l="1"/>
  <c r="AG53" i="3"/>
  <c r="AM53" i="3"/>
  <c r="AV53" i="3"/>
  <c r="AS53" i="3"/>
  <c r="D29" i="3"/>
  <c r="M29" i="3"/>
  <c r="AG39" i="3"/>
  <c r="AV39" i="3"/>
  <c r="AM39" i="3"/>
  <c r="AS39" i="3"/>
  <c r="W39" i="3"/>
  <c r="W29" i="3" l="1"/>
  <c r="AS29" i="3"/>
  <c r="AM29" i="3"/>
  <c r="AV29" i="3"/>
  <c r="AG29" i="3"/>
  <c r="AU27" i="7" l="1"/>
  <c r="Z26" i="7"/>
  <c r="AN27" i="7"/>
  <c r="AM27" i="7"/>
  <c r="W26" i="7"/>
  <c r="O27" i="7"/>
  <c r="S27" i="7"/>
  <c r="P27" i="7" s="1"/>
  <c r="R26" i="7"/>
  <c r="K27" i="7"/>
  <c r="N27" i="7" s="1"/>
  <c r="M27" i="7"/>
  <c r="J26" i="7"/>
  <c r="K51" i="3" l="1"/>
  <c r="AU26" i="7"/>
  <c r="K53" i="3"/>
  <c r="AN26" i="7"/>
  <c r="K39" i="3"/>
  <c r="AM26" i="7"/>
  <c r="K37" i="3"/>
  <c r="K29" i="3"/>
  <c r="O26" i="7"/>
  <c r="K27" i="3"/>
  <c r="AT26" i="7"/>
  <c r="S26" i="7"/>
  <c r="P26" i="7" s="1"/>
  <c r="K11" i="3"/>
  <c r="M26" i="7"/>
  <c r="K26" i="7"/>
  <c r="N26" i="7" s="1"/>
  <c r="AR26" i="7"/>
  <c r="K70" i="3" l="1"/>
  <c r="AF71" i="3" l="1"/>
  <c r="Z79" i="3"/>
  <c r="BC71" i="3" l="1"/>
  <c r="C70" i="3" l="1"/>
  <c r="C79" i="3" s="1"/>
  <c r="C84" i="3" s="1"/>
  <c r="J70" i="3"/>
  <c r="B79" i="3"/>
  <c r="L70" i="3" l="1"/>
  <c r="J79" i="3"/>
  <c r="L79" i="3" l="1"/>
  <c r="AA59" i="3" l="1"/>
  <c r="AA45" i="3"/>
  <c r="AA35" i="3"/>
  <c r="AB17" i="3"/>
  <c r="AA17" i="3"/>
  <c r="J39" i="3"/>
  <c r="L39" i="3" s="1"/>
  <c r="G15" i="8" l="1"/>
  <c r="F15" i="8"/>
  <c r="AA84" i="3"/>
  <c r="J29" i="3"/>
  <c r="L29" i="3" s="1"/>
  <c r="H29" i="3"/>
  <c r="AB59" i="3"/>
  <c r="Z17" i="3"/>
  <c r="AB45" i="3"/>
  <c r="E15" i="8"/>
  <c r="B17" i="3"/>
  <c r="J11" i="3"/>
  <c r="J53" i="3"/>
  <c r="L53" i="3" s="1"/>
  <c r="AB35" i="3"/>
  <c r="Z45" i="3"/>
  <c r="J51" i="3"/>
  <c r="B59" i="3" l="1"/>
  <c r="AB84" i="3"/>
  <c r="L51" i="3"/>
  <c r="J59" i="3"/>
  <c r="M56" i="7"/>
  <c r="AK11" i="3"/>
  <c r="K56" i="7"/>
  <c r="N56" i="7" s="1"/>
  <c r="B45" i="3"/>
  <c r="J37" i="3"/>
  <c r="L11" i="3"/>
  <c r="J17" i="3"/>
  <c r="AK37" i="3" l="1"/>
  <c r="AM56" i="7"/>
  <c r="AR56" i="7" s="1"/>
  <c r="L17" i="3"/>
  <c r="J45" i="3"/>
  <c r="L37" i="3"/>
  <c r="L45" i="3" s="1"/>
  <c r="AK27" i="3"/>
  <c r="S56" i="7"/>
  <c r="P56" i="7" s="1"/>
  <c r="O56" i="7"/>
  <c r="AN56" i="7"/>
  <c r="AK51" i="3"/>
  <c r="L59" i="3"/>
  <c r="U56" i="7"/>
  <c r="AP56" i="7"/>
  <c r="AU56" i="7" s="1"/>
  <c r="AO56" i="7"/>
  <c r="AT56" i="7" s="1"/>
  <c r="P42" i="7" l="1"/>
  <c r="O42" i="7"/>
  <c r="N42" i="7"/>
  <c r="P41" i="7"/>
  <c r="N41" i="7"/>
  <c r="P43" i="7"/>
  <c r="N43" i="7"/>
  <c r="O43" i="7"/>
  <c r="J10" i="8" l="1"/>
  <c r="N21" i="9"/>
  <c r="P21" i="9"/>
  <c r="J13" i="8" s="1"/>
  <c r="R21" i="9"/>
  <c r="J14" i="8" s="1"/>
  <c r="AU41" i="7"/>
  <c r="AT41" i="7"/>
  <c r="AT43" i="7"/>
  <c r="AU43" i="7"/>
  <c r="AU42" i="7"/>
  <c r="AT42" i="7"/>
  <c r="AD27" i="3"/>
  <c r="AD51" i="3"/>
  <c r="AD37" i="3"/>
  <c r="M42" i="7"/>
  <c r="AD11" i="3"/>
  <c r="AE41" i="3"/>
  <c r="AF41" i="3" s="1"/>
  <c r="AE31" i="3"/>
  <c r="AF31" i="3" s="1"/>
  <c r="AE11" i="3"/>
  <c r="AE55" i="3"/>
  <c r="M43" i="7"/>
  <c r="N19" i="9"/>
  <c r="P19" i="9"/>
  <c r="H13" i="8" s="1"/>
  <c r="H10" i="8"/>
  <c r="R19" i="9"/>
  <c r="H14" i="8" s="1"/>
  <c r="AC27" i="3"/>
  <c r="AC51" i="3"/>
  <c r="AC37" i="3"/>
  <c r="M41" i="7"/>
  <c r="AC11" i="3"/>
  <c r="O41" i="7"/>
  <c r="N20" i="9"/>
  <c r="R20" i="9"/>
  <c r="I14" i="8" s="1"/>
  <c r="P20" i="9"/>
  <c r="I13" i="8" s="1"/>
  <c r="I10" i="8"/>
  <c r="AF37" i="3" l="1"/>
  <c r="AF45" i="3" s="1"/>
  <c r="K13" i="8"/>
  <c r="K20" i="9"/>
  <c r="I12" i="8"/>
  <c r="L20" i="9"/>
  <c r="AF11" i="3"/>
  <c r="AF17" i="3" s="1"/>
  <c r="K19" i="9"/>
  <c r="H12" i="8"/>
  <c r="L19" i="9"/>
  <c r="K14" i="8"/>
  <c r="AC70" i="3"/>
  <c r="AF70" i="3" s="1"/>
  <c r="AF79" i="3" s="1"/>
  <c r="K10" i="8"/>
  <c r="AF55" i="3"/>
  <c r="K21" i="9"/>
  <c r="L21" i="9"/>
  <c r="J12" i="8"/>
  <c r="K12" i="8" l="1"/>
  <c r="K15" i="8" s="1"/>
  <c r="AJ35" i="3" l="1"/>
  <c r="AL27" i="3"/>
  <c r="AL35" i="3" s="1"/>
  <c r="AL37" i="3"/>
  <c r="AL45" i="3" s="1"/>
  <c r="AJ45" i="3"/>
  <c r="J27" i="3"/>
  <c r="B35" i="3"/>
  <c r="B84" i="3" s="1"/>
  <c r="AJ59" i="3"/>
  <c r="AL51" i="3"/>
  <c r="AL59" i="3" s="1"/>
  <c r="AL11" i="3" l="1"/>
  <c r="AL17" i="3" s="1"/>
  <c r="AL84" i="3" s="1"/>
  <c r="AJ17" i="3"/>
  <c r="AJ84" i="3" s="1"/>
  <c r="J35" i="3"/>
  <c r="J84" i="3" s="1"/>
  <c r="L27" i="3"/>
  <c r="S41" i="3" l="1"/>
  <c r="S45" i="3" s="1"/>
  <c r="G45" i="3"/>
  <c r="P31" i="3"/>
  <c r="F35" i="3"/>
  <c r="M51" i="3"/>
  <c r="D51" i="3"/>
  <c r="L35" i="3"/>
  <c r="L84" i="3" s="1"/>
  <c r="F45" i="3"/>
  <c r="P41" i="3"/>
  <c r="G35" i="3"/>
  <c r="S31" i="3"/>
  <c r="S35" i="3" s="1"/>
  <c r="M41" i="3"/>
  <c r="AG41" i="3"/>
  <c r="D41" i="3"/>
  <c r="D27" i="3"/>
  <c r="AG27" i="3"/>
  <c r="M27" i="3"/>
  <c r="E35" i="3"/>
  <c r="AG31" i="3"/>
  <c r="D31" i="3"/>
  <c r="M31" i="3"/>
  <c r="AM27" i="3" l="1"/>
  <c r="AS27" i="3"/>
  <c r="AV27" i="3"/>
  <c r="H27" i="3"/>
  <c r="D35" i="3"/>
  <c r="H35" i="3" s="1"/>
  <c r="W27" i="3"/>
  <c r="AS41" i="3"/>
  <c r="H41" i="3"/>
  <c r="AM41" i="3"/>
  <c r="AV41" i="3"/>
  <c r="W41" i="3"/>
  <c r="P35" i="3"/>
  <c r="M37" i="3"/>
  <c r="E45" i="3"/>
  <c r="D37" i="3"/>
  <c r="M35" i="3"/>
  <c r="P45" i="3"/>
  <c r="AG51" i="3"/>
  <c r="AS51" i="3"/>
  <c r="H51" i="3"/>
  <c r="W51" i="3"/>
  <c r="AV51" i="3"/>
  <c r="AM51" i="3"/>
  <c r="M11" i="3"/>
  <c r="M17" i="3" s="1"/>
  <c r="E17" i="3"/>
  <c r="D11" i="3"/>
  <c r="AV31" i="3"/>
  <c r="AM31" i="3"/>
  <c r="AS31" i="3"/>
  <c r="W31" i="3"/>
  <c r="H31" i="3"/>
  <c r="AG35" i="3"/>
  <c r="AV35" i="3" l="1"/>
  <c r="D45" i="3"/>
  <c r="H45" i="3" s="1"/>
  <c r="AS37" i="3"/>
  <c r="AG37" i="3"/>
  <c r="W37" i="3"/>
  <c r="AV37" i="3"/>
  <c r="H37" i="3"/>
  <c r="AM37" i="3"/>
  <c r="AV11" i="3"/>
  <c r="AV17" i="3" s="1"/>
  <c r="H11" i="3"/>
  <c r="AM11" i="3"/>
  <c r="AS11" i="3"/>
  <c r="D17" i="3"/>
  <c r="H17" i="3" s="1"/>
  <c r="W11" i="3"/>
  <c r="AG11" i="3"/>
  <c r="M45" i="3"/>
  <c r="W35" i="3"/>
  <c r="AS35" i="3"/>
  <c r="AM35" i="3"/>
  <c r="AS45" i="3" l="1"/>
  <c r="AS17" i="3"/>
  <c r="AV45" i="3"/>
  <c r="AG17" i="3"/>
  <c r="AM17" i="3"/>
  <c r="W45" i="3"/>
  <c r="W17" i="3"/>
  <c r="AM45" i="3"/>
  <c r="AG45" i="3"/>
  <c r="O13" i="8" l="1"/>
  <c r="L13" i="8"/>
  <c r="R13" i="8"/>
  <c r="O14" i="8"/>
  <c r="L14" i="8"/>
  <c r="R14" i="8"/>
  <c r="O12" i="8"/>
  <c r="L12" i="8"/>
  <c r="R12" i="8"/>
  <c r="O10" i="8"/>
  <c r="R10" i="8"/>
  <c r="L10" i="8"/>
  <c r="L15" i="8" s="1"/>
  <c r="B15" i="8"/>
  <c r="M55" i="3"/>
  <c r="M59" i="3" s="1"/>
  <c r="E59" i="3"/>
  <c r="O15" i="8" l="1"/>
  <c r="D55" i="3"/>
  <c r="D59" i="3" s="1"/>
  <c r="H59" i="3" s="1"/>
  <c r="H84" i="3" s="1"/>
  <c r="R15" i="8"/>
  <c r="F59" i="3"/>
  <c r="F84" i="3" s="1"/>
  <c r="P55" i="3"/>
  <c r="AM55" i="3"/>
  <c r="AV55" i="3"/>
  <c r="AV59" i="3" s="1"/>
  <c r="H55" i="3"/>
  <c r="G59" i="3"/>
  <c r="G84" i="3" s="1"/>
  <c r="S55" i="3"/>
  <c r="AG55" i="3"/>
  <c r="AG59" i="3" s="1"/>
  <c r="E79" i="3"/>
  <c r="E84" i="3" s="1"/>
  <c r="M70" i="3"/>
  <c r="M79" i="3" s="1"/>
  <c r="M84" i="3" s="1"/>
  <c r="D70" i="3"/>
  <c r="AS55" i="3" l="1"/>
  <c r="AS59" i="3" s="1"/>
  <c r="W55" i="3"/>
  <c r="W59" i="3" s="1"/>
  <c r="AV70" i="3"/>
  <c r="AV79" i="3" s="1"/>
  <c r="AV84" i="3" s="1"/>
  <c r="H70" i="3"/>
  <c r="AG70" i="3"/>
  <c r="AG79" i="3" s="1"/>
  <c r="AG84" i="3" s="1"/>
  <c r="D79" i="3"/>
  <c r="W70" i="3"/>
  <c r="W79" i="3" s="1"/>
  <c r="W84" i="3" s="1"/>
  <c r="AS70" i="3"/>
  <c r="AS79" i="3" s="1"/>
  <c r="AS84" i="3" s="1"/>
  <c r="AM70" i="3"/>
  <c r="AM79" i="3" s="1"/>
  <c r="AM59" i="3"/>
  <c r="S59" i="3"/>
  <c r="S84" i="3" s="1"/>
  <c r="P59" i="3"/>
  <c r="P84" i="3" s="1"/>
  <c r="AM84" i="3" l="1"/>
  <c r="H79" i="3"/>
  <c r="D84" i="3"/>
  <c r="AF51" i="3" l="1"/>
  <c r="AF59" i="3" s="1"/>
  <c r="Z59" i="3"/>
  <c r="AF27" i="3"/>
  <c r="AF35" i="3" s="1"/>
  <c r="Z35" i="3"/>
  <c r="Z84" i="3" l="1"/>
  <c r="AF84" i="3"/>
  <c r="AY66" i="3" l="1"/>
  <c r="AY84" i="3" s="1"/>
  <c r="AE65" i="2" l="1"/>
  <c r="AJ65" i="2"/>
  <c r="J81" i="6" l="1"/>
  <c r="I81" i="6" s="1"/>
  <c r="AO65" i="2"/>
  <c r="U65" i="2" l="1"/>
  <c r="AU65" i="2"/>
  <c r="G81" i="6"/>
  <c r="AY65" i="2" l="1"/>
  <c r="AX65" i="2"/>
  <c r="AV65" i="2"/>
  <c r="BC65" i="2" l="1"/>
  <c r="BB65" i="2" s="1"/>
  <c r="BD65" i="2"/>
  <c r="AZ65" i="2" l="1"/>
  <c r="K51" i="7" l="1"/>
  <c r="N51" i="7" s="1"/>
  <c r="M51" i="7"/>
  <c r="AN11" i="3"/>
  <c r="M10" i="8"/>
  <c r="N10" i="8" s="1"/>
  <c r="AO11" i="3" l="1"/>
  <c r="AO17" i="3" s="1"/>
  <c r="Z19" i="2" l="1"/>
  <c r="AU19" i="2"/>
  <c r="AE19" i="2"/>
  <c r="AQ19" i="2"/>
  <c r="AO19" i="2"/>
  <c r="U19" i="2" l="1"/>
  <c r="AW19" i="2"/>
  <c r="AX19" i="2" s="1"/>
  <c r="AS19" i="2"/>
  <c r="AR19" i="2" s="1"/>
  <c r="K19" i="2"/>
  <c r="AY19" i="2"/>
  <c r="BD19" i="2" s="1"/>
  <c r="K45" i="2"/>
  <c r="BA19" i="2" l="1"/>
  <c r="AV19" i="2"/>
  <c r="AT19" i="2"/>
  <c r="J39" i="6"/>
  <c r="G39" i="6" s="1"/>
  <c r="BC19" i="2"/>
  <c r="AZ19" i="2" s="1"/>
  <c r="BE19" i="2"/>
  <c r="I39" i="6" l="1"/>
  <c r="BB19" i="2"/>
  <c r="AS15" i="2" l="1"/>
  <c r="U47" i="2" l="1"/>
  <c r="AO47" i="2"/>
  <c r="AE47" i="2"/>
  <c r="Z47" i="2" l="1"/>
  <c r="J66" i="6"/>
  <c r="G66" i="6" s="1"/>
  <c r="G43" i="2"/>
  <c r="AW47" i="2" l="1"/>
  <c r="J43" i="2"/>
  <c r="AS47" i="2"/>
  <c r="BA47" i="2" s="1"/>
  <c r="BE47" i="2" s="1"/>
  <c r="H43" i="2"/>
  <c r="AU47" i="2"/>
  <c r="I43" i="2"/>
  <c r="K43" i="2" s="1"/>
  <c r="AV47" i="2"/>
  <c r="K47" i="2"/>
  <c r="AQ47" i="2"/>
  <c r="I66" i="6"/>
  <c r="AX47" i="2" l="1"/>
  <c r="AR47" i="2"/>
  <c r="AY47" i="2"/>
  <c r="AT47" i="2"/>
  <c r="BD47" i="2" l="1"/>
  <c r="BC47" i="2"/>
  <c r="BB47" i="2" s="1"/>
  <c r="AZ47" i="2" l="1"/>
  <c r="S51" i="7" l="1"/>
  <c r="O51" i="7"/>
  <c r="AN27" i="3"/>
  <c r="AO27" i="3" l="1"/>
  <c r="U51" i="7"/>
  <c r="AN31" i="3"/>
  <c r="AO31" i="3" s="1"/>
  <c r="P51" i="7"/>
  <c r="AN29" i="3"/>
  <c r="AO29" i="3" s="1"/>
  <c r="AO35" i="3" l="1"/>
  <c r="K24" i="9"/>
  <c r="L24" i="9"/>
  <c r="M12" i="8"/>
  <c r="AN70" i="3"/>
  <c r="AO70" i="3" s="1"/>
  <c r="AO79" i="3" s="1"/>
  <c r="N12" i="8" l="1"/>
  <c r="AN43" i="2" l="1"/>
  <c r="T43" i="2"/>
  <c r="R43" i="2"/>
  <c r="S43" i="2"/>
  <c r="AM43" i="2"/>
  <c r="U45" i="2"/>
  <c r="Q43" i="2"/>
  <c r="U43" i="2" l="1"/>
  <c r="AO45" i="2"/>
  <c r="AO43" i="2"/>
  <c r="AN31" i="7" l="1"/>
  <c r="AR31" i="7" s="1"/>
  <c r="M31" i="7"/>
  <c r="AM31" i="7"/>
  <c r="AT31" i="7" l="1"/>
  <c r="O31" i="7"/>
  <c r="AU31" i="7" l="1"/>
  <c r="AP51" i="7" l="1"/>
  <c r="AN55" i="3"/>
  <c r="AN51" i="7"/>
  <c r="AN51" i="3"/>
  <c r="M14" i="8"/>
  <c r="N14" i="8" s="1"/>
  <c r="AN53" i="3" l="1"/>
  <c r="AO53" i="3" s="1"/>
  <c r="AO51" i="3"/>
  <c r="AM51" i="7"/>
  <c r="AN37" i="3"/>
  <c r="AO55" i="3"/>
  <c r="AO59" i="3" s="1"/>
  <c r="AN39" i="3" l="1"/>
  <c r="AO39" i="3" s="1"/>
  <c r="AO37" i="3"/>
  <c r="AN41" i="3"/>
  <c r="AO41" i="3" s="1"/>
  <c r="AO51" i="7"/>
  <c r="M13" i="8"/>
  <c r="N13" i="8" s="1"/>
  <c r="N15" i="8" s="1"/>
  <c r="AO45" i="3" l="1"/>
  <c r="AO84" i="3" s="1"/>
  <c r="AM38" i="7"/>
  <c r="AO38" i="7" s="1"/>
  <c r="X37" i="3"/>
  <c r="X51" i="3"/>
  <c r="AU38" i="7"/>
  <c r="X41" i="3"/>
  <c r="Y41" i="3" s="1"/>
  <c r="AB43" i="2"/>
  <c r="AD43" i="2"/>
  <c r="AC43" i="2"/>
  <c r="X29" i="3" l="1"/>
  <c r="Y29" i="3" s="1"/>
  <c r="P38" i="7"/>
  <c r="X39" i="3"/>
  <c r="Y39" i="3" s="1"/>
  <c r="Y37" i="3"/>
  <c r="N38" i="7"/>
  <c r="X31" i="3"/>
  <c r="Y31" i="3" s="1"/>
  <c r="AE45" i="2"/>
  <c r="AA43" i="2"/>
  <c r="AE43" i="2" s="1"/>
  <c r="X55" i="3"/>
  <c r="X53" i="3"/>
  <c r="Y53" i="3" s="1"/>
  <c r="Y51" i="3"/>
  <c r="X27" i="3"/>
  <c r="O38" i="7"/>
  <c r="Y45" i="3" l="1"/>
  <c r="K16" i="9"/>
  <c r="L16" i="9"/>
  <c r="C12" i="8"/>
  <c r="AR38" i="7"/>
  <c r="Y55" i="3"/>
  <c r="Y59" i="3" s="1"/>
  <c r="C14" i="8"/>
  <c r="D14" i="8" s="1"/>
  <c r="M38" i="7"/>
  <c r="AT38" i="7" s="1"/>
  <c r="X11" i="3"/>
  <c r="C13" i="8"/>
  <c r="D13" i="8" s="1"/>
  <c r="C10" i="8"/>
  <c r="D10" i="8" s="1"/>
  <c r="Y27" i="3"/>
  <c r="Y35" i="3" s="1"/>
  <c r="AQ45" i="2"/>
  <c r="AI43" i="2"/>
  <c r="X43" i="2" l="1"/>
  <c r="AU45" i="2"/>
  <c r="AY45" i="2" s="1"/>
  <c r="Y43" i="2"/>
  <c r="AW45" i="2"/>
  <c r="AQ43" i="2"/>
  <c r="W43" i="2"/>
  <c r="AS45" i="2"/>
  <c r="Y11" i="3"/>
  <c r="Y17" i="3" s="1"/>
  <c r="D12" i="8"/>
  <c r="AJ45" i="2"/>
  <c r="AH43" i="2"/>
  <c r="AJ43" i="2" s="1"/>
  <c r="V43" i="2"/>
  <c r="Z43" i="2" s="1"/>
  <c r="Z45" i="2"/>
  <c r="X70" i="3"/>
  <c r="Y70" i="3" s="1"/>
  <c r="Y79" i="3" s="1"/>
  <c r="R13" i="2"/>
  <c r="Y84" i="3" l="1"/>
  <c r="H13" i="2"/>
  <c r="AO17" i="2"/>
  <c r="AT45" i="2"/>
  <c r="AS43" i="2"/>
  <c r="AT43" i="2" s="1"/>
  <c r="BA45" i="2"/>
  <c r="BC45" i="2" s="1"/>
  <c r="AY43" i="2"/>
  <c r="BD45" i="2"/>
  <c r="H63" i="6"/>
  <c r="AR45" i="2"/>
  <c r="J64" i="6"/>
  <c r="J63" i="6" s="1"/>
  <c r="F63" i="6"/>
  <c r="AV45" i="2"/>
  <c r="AU43" i="2"/>
  <c r="AX45" i="2"/>
  <c r="AW43" i="2"/>
  <c r="D15" i="8"/>
  <c r="AB13" i="2"/>
  <c r="W13" i="2"/>
  <c r="G64" i="6" l="1"/>
  <c r="K17" i="2"/>
  <c r="U17" i="2"/>
  <c r="AJ17" i="2"/>
  <c r="AV43" i="2"/>
  <c r="BC43" i="2"/>
  <c r="AZ45" i="2"/>
  <c r="Z17" i="2"/>
  <c r="AW17" i="2"/>
  <c r="AQ17" i="2"/>
  <c r="AX43" i="2"/>
  <c r="G63" i="6"/>
  <c r="I64" i="6"/>
  <c r="I63" i="6"/>
  <c r="BD43" i="2"/>
  <c r="AZ43" i="2"/>
  <c r="AU17" i="2"/>
  <c r="AE17" i="2"/>
  <c r="AR43" i="2"/>
  <c r="BA43" i="2"/>
  <c r="BE45" i="2"/>
  <c r="BB45" i="2"/>
  <c r="AS17" i="2"/>
  <c r="AS13" i="2" s="1"/>
  <c r="AY17" i="2" l="1"/>
  <c r="AT17" i="2"/>
  <c r="AR17" i="2"/>
  <c r="J36" i="6"/>
  <c r="G36" i="6" s="1"/>
  <c r="BA17" i="2"/>
  <c r="BE17" i="2" s="1"/>
  <c r="AV17" i="2"/>
  <c r="BB43" i="2"/>
  <c r="BE43" i="2"/>
  <c r="AX17" i="2"/>
  <c r="BD17" i="2"/>
  <c r="BC17" i="2"/>
  <c r="BB17" i="2" s="1"/>
  <c r="I36" i="6" l="1"/>
  <c r="AZ17" i="2"/>
  <c r="S13" i="8"/>
  <c r="T13" i="8" s="1"/>
  <c r="L32" i="9" l="1"/>
  <c r="K32" i="9"/>
  <c r="S12" i="8"/>
  <c r="T12" i="8" s="1"/>
  <c r="S10" i="8"/>
  <c r="T10" i="8" s="1"/>
  <c r="S14" i="8"/>
  <c r="T14" i="8" s="1"/>
  <c r="P13" i="8"/>
  <c r="Q13" i="8" s="1"/>
  <c r="B25" i="8" s="1"/>
  <c r="P10" i="8"/>
  <c r="Q10" i="8" s="1"/>
  <c r="T15" i="8" l="1"/>
  <c r="B22" i="8"/>
  <c r="K30" i="9" l="1"/>
  <c r="P12" i="8"/>
  <c r="L30" i="9"/>
  <c r="P14" i="8"/>
  <c r="Q14" i="8" s="1"/>
  <c r="B26" i="8" s="1"/>
  <c r="Q12" i="8" l="1"/>
  <c r="B24" i="8" l="1"/>
  <c r="Q15" i="8"/>
  <c r="B27" i="8" l="1"/>
  <c r="B35" i="8" s="1"/>
  <c r="B28" i="8" l="1"/>
  <c r="S66" i="7" l="1"/>
  <c r="AW27" i="3"/>
  <c r="AX27" i="3" s="1"/>
  <c r="O66" i="7"/>
  <c r="AN46" i="7"/>
  <c r="AH51" i="3"/>
  <c r="Z47" i="7"/>
  <c r="AN47" i="7" s="1"/>
  <c r="W47" i="7"/>
  <c r="AM47" i="7" s="1"/>
  <c r="AH37" i="3"/>
  <c r="W48" i="7"/>
  <c r="AM46" i="7"/>
  <c r="AW37" i="3"/>
  <c r="AM66" i="7"/>
  <c r="AU66" i="7"/>
  <c r="AW51" i="3"/>
  <c r="AN66" i="7"/>
  <c r="S46" i="7" l="1"/>
  <c r="O46" i="7"/>
  <c r="AT46" i="7"/>
  <c r="R48" i="7"/>
  <c r="AH27" i="3"/>
  <c r="R47" i="7"/>
  <c r="AR66" i="7"/>
  <c r="K66" i="7"/>
  <c r="N66" i="7" s="1"/>
  <c r="AW11" i="3"/>
  <c r="AX11" i="3" s="1"/>
  <c r="AX17" i="3" s="1"/>
  <c r="M66" i="7"/>
  <c r="AW53" i="3"/>
  <c r="AX53" i="3" s="1"/>
  <c r="AX51" i="3"/>
  <c r="U66" i="7"/>
  <c r="AW31" i="3"/>
  <c r="AX31" i="3" s="1"/>
  <c r="AW41" i="3"/>
  <c r="AX41" i="3" s="1"/>
  <c r="AO66" i="7"/>
  <c r="AW55" i="3"/>
  <c r="AX55" i="3" s="1"/>
  <c r="AP66" i="7"/>
  <c r="AM64" i="7"/>
  <c r="AT37" i="3"/>
  <c r="AP64" i="7"/>
  <c r="AT55" i="3"/>
  <c r="AM48" i="7"/>
  <c r="S64" i="7"/>
  <c r="AT27" i="3"/>
  <c r="O64" i="7"/>
  <c r="AT11" i="3"/>
  <c r="M64" i="7"/>
  <c r="K64" i="7"/>
  <c r="N64" i="7" s="1"/>
  <c r="AT51" i="3"/>
  <c r="AN64" i="7"/>
  <c r="AH39" i="3"/>
  <c r="AI39" i="3" s="1"/>
  <c r="AI37" i="3"/>
  <c r="AH55" i="3"/>
  <c r="AP46" i="7"/>
  <c r="AH41" i="3"/>
  <c r="AI41" i="3" s="1"/>
  <c r="AO46" i="7"/>
  <c r="AW39" i="3"/>
  <c r="AX39" i="3" s="1"/>
  <c r="AX37" i="3"/>
  <c r="AH53" i="3"/>
  <c r="AI53" i="3" s="1"/>
  <c r="AI51" i="3"/>
  <c r="AW29" i="3"/>
  <c r="AX29" i="3" s="1"/>
  <c r="P66" i="7"/>
  <c r="AO47" i="7"/>
  <c r="AP47" i="7"/>
  <c r="AX45" i="3" l="1"/>
  <c r="AX35" i="3"/>
  <c r="AX59" i="3"/>
  <c r="AI45" i="3"/>
  <c r="AO64" i="7"/>
  <c r="AT41" i="3"/>
  <c r="AU41" i="3" s="1"/>
  <c r="M46" i="7"/>
  <c r="K46" i="7"/>
  <c r="N46" i="7" s="1"/>
  <c r="AH11" i="3"/>
  <c r="J47" i="7"/>
  <c r="AI55" i="3"/>
  <c r="AI59" i="3" s="1"/>
  <c r="AT53" i="3"/>
  <c r="AU53" i="3" s="1"/>
  <c r="AU51" i="3"/>
  <c r="AH70" i="3"/>
  <c r="AI70" i="3" s="1"/>
  <c r="AI79" i="3" s="1"/>
  <c r="AH31" i="3"/>
  <c r="AI31" i="3" s="1"/>
  <c r="T48" i="7"/>
  <c r="U46" i="7"/>
  <c r="AU27" i="3"/>
  <c r="AU55" i="3"/>
  <c r="AU59" i="3" s="1"/>
  <c r="O47" i="7"/>
  <c r="S47" i="7"/>
  <c r="P47" i="7" s="1"/>
  <c r="AT47" i="7"/>
  <c r="AU47" i="7"/>
  <c r="U64" i="7"/>
  <c r="AT31" i="3"/>
  <c r="AU31" i="3" s="1"/>
  <c r="AW70" i="3"/>
  <c r="AX70" i="3" s="1"/>
  <c r="AX79" i="3" s="1"/>
  <c r="P64" i="7"/>
  <c r="AT29" i="3"/>
  <c r="AU29" i="3" s="1"/>
  <c r="AI27" i="3"/>
  <c r="AU11" i="3"/>
  <c r="AU17" i="3" s="1"/>
  <c r="AT39" i="3"/>
  <c r="AU39" i="3" s="1"/>
  <c r="AU37" i="3"/>
  <c r="S48" i="7"/>
  <c r="O48" i="7"/>
  <c r="P46" i="7"/>
  <c r="AH29" i="3"/>
  <c r="AI29" i="3" s="1"/>
  <c r="U47" i="7"/>
  <c r="AX84" i="3" l="1"/>
  <c r="Z59" i="2"/>
  <c r="AU35" i="3"/>
  <c r="AU45" i="3"/>
  <c r="AI35" i="3"/>
  <c r="Z48" i="7"/>
  <c r="AP48" i="7"/>
  <c r="AO48" i="7"/>
  <c r="P48" i="7"/>
  <c r="U48" i="7"/>
  <c r="K47" i="7"/>
  <c r="N47" i="7" s="1"/>
  <c r="M47" i="7"/>
  <c r="AR47" i="7"/>
  <c r="AT70" i="3"/>
  <c r="AU70" i="3" s="1"/>
  <c r="AU79" i="3" s="1"/>
  <c r="AI11" i="3"/>
  <c r="AI17" i="3" s="1"/>
  <c r="AU84" i="3" l="1"/>
  <c r="AI84" i="3"/>
  <c r="I52" i="2"/>
  <c r="H52" i="2"/>
  <c r="H70" i="2" s="1"/>
  <c r="J52" i="2"/>
  <c r="K59" i="2"/>
  <c r="G52" i="2"/>
  <c r="K57" i="2"/>
  <c r="AN48" i="7"/>
  <c r="AJ59" i="2"/>
  <c r="AS59" i="2"/>
  <c r="AB52" i="2"/>
  <c r="AB70" i="2" s="1"/>
  <c r="AO59" i="2" l="1"/>
  <c r="AU59" i="2"/>
  <c r="U59" i="2"/>
  <c r="AE59" i="2"/>
  <c r="AQ59" i="2"/>
  <c r="AT59" i="2" s="1"/>
  <c r="AC52" i="2"/>
  <c r="Y22" i="2"/>
  <c r="AW59" i="2"/>
  <c r="AX59" i="2" s="1"/>
  <c r="AE57" i="2"/>
  <c r="AA52" i="2"/>
  <c r="AB81" i="2"/>
  <c r="Z27" i="2"/>
  <c r="Z36" i="2"/>
  <c r="Z35" i="2"/>
  <c r="Z26" i="2"/>
  <c r="BA59" i="2"/>
  <c r="Z31" i="2"/>
  <c r="Z40" i="2"/>
  <c r="AD52" i="2"/>
  <c r="AR59" i="2"/>
  <c r="H81" i="2"/>
  <c r="X32" i="2"/>
  <c r="Z32" i="2" s="1"/>
  <c r="Z34" i="2"/>
  <c r="Z37" i="2"/>
  <c r="Z28" i="2"/>
  <c r="K52" i="2"/>
  <c r="J77" i="6"/>
  <c r="G77" i="6" s="1"/>
  <c r="S52" i="2"/>
  <c r="W52" i="2"/>
  <c r="W70" i="2" s="1"/>
  <c r="AN52" i="2"/>
  <c r="AO26" i="2"/>
  <c r="X52" i="2"/>
  <c r="Y52" i="2"/>
  <c r="AY59" i="2" l="1"/>
  <c r="AI22" i="2"/>
  <c r="AN22" i="2"/>
  <c r="T22" i="2"/>
  <c r="AQ57" i="2"/>
  <c r="AQ52" i="2" s="1"/>
  <c r="AO28" i="2"/>
  <c r="AO27" i="2"/>
  <c r="AO31" i="2"/>
  <c r="I77" i="6"/>
  <c r="AV59" i="2"/>
  <c r="K37" i="2"/>
  <c r="J22" i="2"/>
  <c r="K40" i="2"/>
  <c r="U27" i="2"/>
  <c r="U36" i="2"/>
  <c r="S32" i="2"/>
  <c r="U32" i="2" s="1"/>
  <c r="U34" i="2"/>
  <c r="U28" i="2"/>
  <c r="U37" i="2"/>
  <c r="Z57" i="2"/>
  <c r="V52" i="2"/>
  <c r="BE59" i="2"/>
  <c r="AE52" i="2"/>
  <c r="AU34" i="2"/>
  <c r="I32" i="2"/>
  <c r="K34" i="2"/>
  <c r="AM22" i="2"/>
  <c r="AO22" i="2" s="1"/>
  <c r="AO25" i="2"/>
  <c r="U35" i="2"/>
  <c r="U26" i="2"/>
  <c r="W81" i="2"/>
  <c r="T52" i="2"/>
  <c r="AW57" i="2"/>
  <c r="AU37" i="2"/>
  <c r="X22" i="2"/>
  <c r="Z22" i="2" s="1"/>
  <c r="Z25" i="2"/>
  <c r="AU57" i="2"/>
  <c r="AH52" i="2"/>
  <c r="AJ57" i="2"/>
  <c r="U40" i="2"/>
  <c r="U31" i="2"/>
  <c r="AO57" i="2"/>
  <c r="AM52" i="2"/>
  <c r="R52" i="2"/>
  <c r="R70" i="2" s="1"/>
  <c r="AS57" i="2"/>
  <c r="AU36" i="2"/>
  <c r="K35" i="2"/>
  <c r="K36" i="2"/>
  <c r="Q52" i="2"/>
  <c r="U57" i="2"/>
  <c r="BC59" i="2"/>
  <c r="BB59" i="2" s="1"/>
  <c r="BD59" i="2"/>
  <c r="AW31" i="2"/>
  <c r="AW26" i="2"/>
  <c r="AW28" i="2"/>
  <c r="BA28" i="2" s="1"/>
  <c r="AW27" i="2"/>
  <c r="AU35" i="2" l="1"/>
  <c r="AD22" i="2"/>
  <c r="AZ59" i="2"/>
  <c r="AU40" i="2"/>
  <c r="H44" i="6"/>
  <c r="F71" i="6"/>
  <c r="J75" i="6"/>
  <c r="G75" i="6" s="1"/>
  <c r="BE28" i="2"/>
  <c r="AW25" i="2"/>
  <c r="BA31" i="2"/>
  <c r="BE31" i="2" s="1"/>
  <c r="AE27" i="2"/>
  <c r="AE36" i="2"/>
  <c r="BA27" i="2"/>
  <c r="BE27" i="2" s="1"/>
  <c r="AJ37" i="2"/>
  <c r="AJ28" i="2"/>
  <c r="K25" i="2"/>
  <c r="I22" i="2"/>
  <c r="K27" i="2"/>
  <c r="AE26" i="2"/>
  <c r="AE35" i="2"/>
  <c r="R81" i="2"/>
  <c r="AU52" i="2"/>
  <c r="AV57" i="2"/>
  <c r="AY57" i="2"/>
  <c r="AE28" i="2"/>
  <c r="AE37" i="2"/>
  <c r="AJ31" i="2"/>
  <c r="AJ40" i="2"/>
  <c r="S22" i="2"/>
  <c r="U25" i="2"/>
  <c r="AV40" i="2"/>
  <c r="AY40" i="2"/>
  <c r="BC40" i="2" s="1"/>
  <c r="AZ40" i="2" s="1"/>
  <c r="K28" i="2"/>
  <c r="K26" i="2"/>
  <c r="J58" i="6"/>
  <c r="G58" i="6" s="1"/>
  <c r="K32" i="2"/>
  <c r="AE34" i="2"/>
  <c r="AC32" i="2"/>
  <c r="AE32" i="2" s="1"/>
  <c r="BA26" i="2"/>
  <c r="BE26" i="2" s="1"/>
  <c r="U52" i="2"/>
  <c r="AJ35" i="2"/>
  <c r="AJ26" i="2"/>
  <c r="H71" i="6"/>
  <c r="AY36" i="2"/>
  <c r="BC36" i="2" s="1"/>
  <c r="AZ36" i="2" s="1"/>
  <c r="AV36" i="2"/>
  <c r="AV35" i="2"/>
  <c r="AY35" i="2"/>
  <c r="BC35" i="2" s="1"/>
  <c r="AZ35" i="2" s="1"/>
  <c r="AJ27" i="2"/>
  <c r="AJ36" i="2"/>
  <c r="J56" i="6"/>
  <c r="G56" i="6" s="1"/>
  <c r="AO52" i="2"/>
  <c r="AX57" i="2"/>
  <c r="AW52" i="2"/>
  <c r="AV34" i="2"/>
  <c r="AY34" i="2"/>
  <c r="BC34" i="2" s="1"/>
  <c r="AZ34" i="2" s="1"/>
  <c r="AE31" i="2"/>
  <c r="AE40" i="2"/>
  <c r="AJ34" i="2"/>
  <c r="AH32" i="2"/>
  <c r="AJ32" i="2" s="1"/>
  <c r="Z52" i="2"/>
  <c r="AW22" i="2"/>
  <c r="BA25" i="2"/>
  <c r="AV37" i="2"/>
  <c r="AY37" i="2"/>
  <c r="BC37" i="2" s="1"/>
  <c r="AZ37" i="2" s="1"/>
  <c r="J57" i="6"/>
  <c r="G57" i="6" s="1"/>
  <c r="AT57" i="2"/>
  <c r="BA57" i="2"/>
  <c r="AS52" i="2"/>
  <c r="AR57" i="2"/>
  <c r="AJ52" i="2"/>
  <c r="J61" i="6"/>
  <c r="G61" i="6" s="1"/>
  <c r="F53" i="6"/>
  <c r="J55" i="6"/>
  <c r="G55" i="6" s="1"/>
  <c r="K31" i="2"/>
  <c r="I75" i="6" l="1"/>
  <c r="AU25" i="2"/>
  <c r="AU28" i="2"/>
  <c r="AU26" i="2"/>
  <c r="AX26" i="2" s="1"/>
  <c r="U22" i="2"/>
  <c r="AU27" i="2"/>
  <c r="AY27" i="2" s="1"/>
  <c r="AU32" i="2"/>
  <c r="AU31" i="2"/>
  <c r="AY31" i="2" s="1"/>
  <c r="J71" i="6"/>
  <c r="G71" i="6" s="1"/>
  <c r="K22" i="2"/>
  <c r="J53" i="6"/>
  <c r="I53" i="6" s="1"/>
  <c r="AT52" i="2"/>
  <c r="AS70" i="2"/>
  <c r="AR52" i="2"/>
  <c r="J48" i="6"/>
  <c r="I48" i="6" s="1"/>
  <c r="BE25" i="2"/>
  <c r="BA22" i="2"/>
  <c r="BE22" i="2" s="1"/>
  <c r="J46" i="6"/>
  <c r="I46" i="6" s="1"/>
  <c r="F44" i="6"/>
  <c r="BE57" i="2"/>
  <c r="BA52" i="2"/>
  <c r="BE52" i="2" s="1"/>
  <c r="AV25" i="2"/>
  <c r="AY32" i="2"/>
  <c r="AV32" i="2"/>
  <c r="AV52" i="2"/>
  <c r="J52" i="6"/>
  <c r="I52" i="6" s="1"/>
  <c r="AV28" i="2"/>
  <c r="AY28" i="2"/>
  <c r="AX28" i="2"/>
  <c r="AX52" i="2"/>
  <c r="J47" i="6"/>
  <c r="I47" i="6" s="1"/>
  <c r="AC22" i="2"/>
  <c r="AE25" i="2"/>
  <c r="J49" i="6"/>
  <c r="I49" i="6" s="1"/>
  <c r="AY52" i="2"/>
  <c r="BC57" i="2"/>
  <c r="BC52" i="2" s="1"/>
  <c r="BD57" i="2"/>
  <c r="AV27" i="2"/>
  <c r="AH22" i="2"/>
  <c r="AJ25" i="2"/>
  <c r="AU22" i="2" l="1"/>
  <c r="AV22" i="2" s="1"/>
  <c r="AX27" i="2"/>
  <c r="AY26" i="2"/>
  <c r="BC26" i="2" s="1"/>
  <c r="BB26" i="2" s="1"/>
  <c r="AV31" i="2"/>
  <c r="AX31" i="2"/>
  <c r="AX25" i="2"/>
  <c r="AV26" i="2"/>
  <c r="AY25" i="2"/>
  <c r="I71" i="6"/>
  <c r="BB52" i="2"/>
  <c r="AE22" i="2"/>
  <c r="AJ22" i="2"/>
  <c r="G46" i="6"/>
  <c r="AZ57" i="2"/>
  <c r="G47" i="6"/>
  <c r="BB57" i="2"/>
  <c r="G49" i="6"/>
  <c r="G52" i="6"/>
  <c r="AX22" i="2"/>
  <c r="BD28" i="2"/>
  <c r="BC28" i="2"/>
  <c r="BB28" i="2" s="1"/>
  <c r="BD32" i="2"/>
  <c r="BC32" i="2"/>
  <c r="AZ32" i="2" s="1"/>
  <c r="J44" i="6"/>
  <c r="I44" i="6" s="1"/>
  <c r="AS81" i="2"/>
  <c r="BC27" i="2"/>
  <c r="BB27" i="2" s="1"/>
  <c r="BD27" i="2"/>
  <c r="BC25" i="2"/>
  <c r="AY22" i="2"/>
  <c r="BD25" i="2"/>
  <c r="G48" i="6"/>
  <c r="G53" i="6"/>
  <c r="BD52" i="2"/>
  <c r="AZ52" i="2"/>
  <c r="BD31" i="2"/>
  <c r="BC31" i="2"/>
  <c r="BB31" i="2" s="1"/>
  <c r="BD26" i="2"/>
  <c r="V13" i="2"/>
  <c r="V70" i="2" l="1"/>
  <c r="V81" i="2" s="1"/>
  <c r="AZ31" i="2"/>
  <c r="AZ27" i="2"/>
  <c r="G13" i="2"/>
  <c r="AZ25" i="2"/>
  <c r="BC22" i="2"/>
  <c r="BB22" i="2" s="1"/>
  <c r="BB25" i="2"/>
  <c r="Q13" i="2"/>
  <c r="AZ26" i="2"/>
  <c r="G44" i="6"/>
  <c r="AZ28" i="2"/>
  <c r="BD22" i="2"/>
  <c r="AQ15" i="2"/>
  <c r="AZ22" i="2" l="1"/>
  <c r="C25" i="8"/>
  <c r="D25" i="8" s="1"/>
  <c r="G70" i="2"/>
  <c r="G81" i="2" s="1"/>
  <c r="Q70" i="2"/>
  <c r="Q81" i="2" s="1"/>
  <c r="AA13" i="2"/>
  <c r="K29" i="7"/>
  <c r="N29" i="7" s="1"/>
  <c r="N11" i="3"/>
  <c r="O11" i="3" s="1"/>
  <c r="M29" i="7"/>
  <c r="AR15" i="2"/>
  <c r="AQ13" i="2"/>
  <c r="AQ70" i="2" s="1"/>
  <c r="AT15" i="2"/>
  <c r="C22" i="8" l="1"/>
  <c r="C24" i="8"/>
  <c r="D24" i="8" s="1"/>
  <c r="AQ81" i="2"/>
  <c r="AT70" i="2"/>
  <c r="AR70" i="2"/>
  <c r="O17" i="3"/>
  <c r="V11" i="3"/>
  <c r="AA70" i="2"/>
  <c r="AA81" i="2" s="1"/>
  <c r="N37" i="3"/>
  <c r="AM29" i="7"/>
  <c r="N41" i="3"/>
  <c r="O41" i="3" s="1"/>
  <c r="AO34" i="7"/>
  <c r="O29" i="7"/>
  <c r="T27" i="3"/>
  <c r="U27" i="3" s="1"/>
  <c r="N27" i="3"/>
  <c r="S29" i="7"/>
  <c r="AR13" i="2"/>
  <c r="AT13" i="2"/>
  <c r="AN29" i="7"/>
  <c r="N51" i="3"/>
  <c r="U34" i="7"/>
  <c r="N31" i="3"/>
  <c r="O31" i="3" s="1"/>
  <c r="N55" i="3"/>
  <c r="AP34" i="7"/>
  <c r="AO36" i="7"/>
  <c r="U36" i="7"/>
  <c r="U35" i="7"/>
  <c r="Q31" i="3" s="1"/>
  <c r="C26" i="8" l="1"/>
  <c r="D26" i="8" s="1"/>
  <c r="AR81" i="2"/>
  <c r="C27" i="8"/>
  <c r="AT81" i="2"/>
  <c r="D22" i="8"/>
  <c r="V17" i="3"/>
  <c r="BC11" i="3"/>
  <c r="BC17" i="3" s="1"/>
  <c r="O55" i="3"/>
  <c r="P29" i="7"/>
  <c r="N29" i="3"/>
  <c r="O29" i="3" s="1"/>
  <c r="V29" i="3" s="1"/>
  <c r="BC29" i="3" s="1"/>
  <c r="O27" i="3"/>
  <c r="T31" i="3"/>
  <c r="U31" i="3" s="1"/>
  <c r="U35" i="3" s="1"/>
  <c r="R31" i="3"/>
  <c r="R35" i="3" s="1"/>
  <c r="N39" i="3"/>
  <c r="O39" i="3" s="1"/>
  <c r="V39" i="3" s="1"/>
  <c r="BC39" i="3" s="1"/>
  <c r="O37" i="3"/>
  <c r="Q55" i="3"/>
  <c r="AP35" i="7"/>
  <c r="T55" i="3"/>
  <c r="AP36" i="7"/>
  <c r="N70" i="3"/>
  <c r="O70" i="3" s="1"/>
  <c r="N53" i="3"/>
  <c r="O53" i="3" s="1"/>
  <c r="V53" i="3" s="1"/>
  <c r="BC53" i="3" s="1"/>
  <c r="O51" i="3"/>
  <c r="O35" i="3" l="1"/>
  <c r="V27" i="3"/>
  <c r="O79" i="3"/>
  <c r="V70" i="3"/>
  <c r="C35" i="8"/>
  <c r="D35" i="8" s="1"/>
  <c r="D27" i="8"/>
  <c r="D28" i="8" s="1"/>
  <c r="C28" i="8"/>
  <c r="O59" i="3"/>
  <c r="V51" i="3"/>
  <c r="V31" i="3"/>
  <c r="BC77" i="3"/>
  <c r="U55" i="3"/>
  <c r="U59" i="3" s="1"/>
  <c r="R55" i="3"/>
  <c r="R59" i="3" s="1"/>
  <c r="Q41" i="3"/>
  <c r="AO35" i="7"/>
  <c r="V37" i="3"/>
  <c r="O45" i="3"/>
  <c r="BC51" i="3" l="1"/>
  <c r="BC37" i="3"/>
  <c r="BC31" i="3"/>
  <c r="BC27" i="3"/>
  <c r="O84" i="3"/>
  <c r="BC70" i="3"/>
  <c r="BC79" i="3" s="1"/>
  <c r="V79" i="3"/>
  <c r="K15" i="2"/>
  <c r="V55" i="3"/>
  <c r="T41" i="3"/>
  <c r="U41" i="3" s="1"/>
  <c r="U45" i="3" s="1"/>
  <c r="U84" i="3" s="1"/>
  <c r="R41" i="3"/>
  <c r="I13" i="2"/>
  <c r="BC33" i="3"/>
  <c r="V35" i="3"/>
  <c r="BC35" i="3" l="1"/>
  <c r="BD62" i="2"/>
  <c r="J13" i="2"/>
  <c r="J70" i="2" s="1"/>
  <c r="BC55" i="3"/>
  <c r="BC59" i="3" s="1"/>
  <c r="V59" i="3"/>
  <c r="I70" i="2"/>
  <c r="K13" i="2"/>
  <c r="K70" i="2" s="1"/>
  <c r="H74" i="2" s="1"/>
  <c r="AH13" i="2"/>
  <c r="R45" i="3"/>
  <c r="R84" i="3" s="1"/>
  <c r="V41" i="3"/>
  <c r="AI13" i="2"/>
  <c r="AI70" i="2" s="1"/>
  <c r="AI81" i="2" s="1"/>
  <c r="J81" i="2"/>
  <c r="T13" i="2"/>
  <c r="T70" i="2" s="1"/>
  <c r="AN13" i="2"/>
  <c r="AN70" i="2" s="1"/>
  <c r="Y13" i="2"/>
  <c r="Y70" i="2" s="1"/>
  <c r="H8" i="6"/>
  <c r="J76" i="2" l="1"/>
  <c r="AJ15" i="2"/>
  <c r="J79" i="6"/>
  <c r="I79" i="6" s="1"/>
  <c r="AD13" i="2"/>
  <c r="AD70" i="2" s="1"/>
  <c r="AD81" i="2" s="1"/>
  <c r="AJ13" i="2"/>
  <c r="AJ70" i="2" s="1"/>
  <c r="AI74" i="2" s="1"/>
  <c r="AH70" i="2"/>
  <c r="AH81" i="2" s="1"/>
  <c r="AC13" i="2"/>
  <c r="BE62" i="2"/>
  <c r="H84" i="6"/>
  <c r="K81" i="2"/>
  <c r="K76" i="2"/>
  <c r="H76" i="2"/>
  <c r="K74" i="2"/>
  <c r="S13" i="2"/>
  <c r="U15" i="2"/>
  <c r="AU15" i="2"/>
  <c r="I81" i="2"/>
  <c r="G74" i="2"/>
  <c r="F8" i="6"/>
  <c r="J9" i="6"/>
  <c r="G9" i="6" s="1"/>
  <c r="V45" i="3"/>
  <c r="V84" i="3" s="1"/>
  <c r="BC41" i="3"/>
  <c r="BC45" i="3" s="1"/>
  <c r="G79" i="6"/>
  <c r="AO15" i="2"/>
  <c r="AM13" i="2"/>
  <c r="T81" i="2"/>
  <c r="AN81" i="2"/>
  <c r="Z15" i="2"/>
  <c r="X13" i="2"/>
  <c r="AO68" i="7"/>
  <c r="AP68" i="7"/>
  <c r="AM68" i="7"/>
  <c r="AN68" i="7"/>
  <c r="Y81" i="2"/>
  <c r="AJ76" i="2" l="1"/>
  <c r="AJ74" i="2"/>
  <c r="AJ81" i="2"/>
  <c r="BD66" i="3" s="1"/>
  <c r="BD17" i="3"/>
  <c r="BE17" i="3" s="1"/>
  <c r="AI76" i="2"/>
  <c r="AE15" i="2"/>
  <c r="AH74" i="2"/>
  <c r="AW15" i="2"/>
  <c r="BA15" i="2" s="1"/>
  <c r="AO13" i="2"/>
  <c r="AO70" i="2" s="1"/>
  <c r="AN74" i="2" s="1"/>
  <c r="AM70" i="2"/>
  <c r="AM81" i="2" s="1"/>
  <c r="J8" i="6"/>
  <c r="F84" i="6"/>
  <c r="S70" i="2"/>
  <c r="U13" i="2"/>
  <c r="U70" i="2" s="1"/>
  <c r="AC70" i="2"/>
  <c r="AE13" i="2"/>
  <c r="AE70" i="2" s="1"/>
  <c r="X70" i="2"/>
  <c r="Z13" i="2"/>
  <c r="Z70" i="2" s="1"/>
  <c r="AU13" i="2"/>
  <c r="AY15" i="2"/>
  <c r="I9" i="6"/>
  <c r="BA64" i="3"/>
  <c r="BC64" i="3" s="1"/>
  <c r="BA62" i="3"/>
  <c r="BD79" i="3"/>
  <c r="AM74" i="2" l="1"/>
  <c r="AO81" i="2"/>
  <c r="AW13" i="2"/>
  <c r="AV15" i="2"/>
  <c r="AX15" i="2"/>
  <c r="AO74" i="2"/>
  <c r="AN76" i="2"/>
  <c r="AO76" i="2"/>
  <c r="AV13" i="2"/>
  <c r="AU70" i="2"/>
  <c r="AE74" i="2"/>
  <c r="AB76" i="2"/>
  <c r="AE81" i="2"/>
  <c r="AE76" i="2"/>
  <c r="AB74" i="2"/>
  <c r="Z76" i="2"/>
  <c r="Z74" i="2"/>
  <c r="W76" i="2"/>
  <c r="Z81" i="2"/>
  <c r="W74" i="2"/>
  <c r="BA13" i="2"/>
  <c r="BE15" i="2"/>
  <c r="AC81" i="2"/>
  <c r="AA74" i="2"/>
  <c r="AD76" i="2"/>
  <c r="G8" i="6"/>
  <c r="I8" i="6"/>
  <c r="J84" i="6"/>
  <c r="I84" i="6" s="1"/>
  <c r="BC15" i="2"/>
  <c r="BD15" i="2"/>
  <c r="AY13" i="2"/>
  <c r="X81" i="2"/>
  <c r="V74" i="2"/>
  <c r="Y76" i="2"/>
  <c r="AW70" i="2"/>
  <c r="AX13" i="2"/>
  <c r="U81" i="2"/>
  <c r="U74" i="2"/>
  <c r="U76" i="2"/>
  <c r="R76" i="2"/>
  <c r="R74" i="2"/>
  <c r="S81" i="2"/>
  <c r="Q74" i="2"/>
  <c r="T76" i="2"/>
  <c r="BE79" i="3"/>
  <c r="BC62" i="3"/>
  <c r="BC66" i="3" s="1"/>
  <c r="BA66" i="3"/>
  <c r="BA84" i="3" s="1"/>
  <c r="BC84" i="3" s="1"/>
  <c r="BC13" i="2" l="1"/>
  <c r="BB13" i="2" s="1"/>
  <c r="BB15" i="2"/>
  <c r="BE13" i="2"/>
  <c r="AV70" i="2"/>
  <c r="AU81" i="2"/>
  <c r="AY70" i="2"/>
  <c r="BD45" i="3"/>
  <c r="BE45" i="3" s="1"/>
  <c r="G84" i="6"/>
  <c r="BD35" i="3"/>
  <c r="BE35" i="3" s="1"/>
  <c r="AX70" i="2"/>
  <c r="AW81" i="2"/>
  <c r="BA70" i="2"/>
  <c r="AZ13" i="2"/>
  <c r="BD13" i="2"/>
  <c r="BD59" i="3"/>
  <c r="BE59" i="3" s="1"/>
  <c r="AZ15" i="2"/>
  <c r="B34" i="8"/>
  <c r="BC85" i="3"/>
  <c r="BE66" i="3"/>
  <c r="AY81" i="2" l="1"/>
  <c r="BC70" i="2"/>
  <c r="AZ70" i="2" s="1"/>
  <c r="AY72" i="2"/>
  <c r="BD70" i="2"/>
  <c r="BA72" i="2"/>
  <c r="BA81" i="2"/>
  <c r="BE70" i="2"/>
  <c r="AV81" i="2"/>
  <c r="BD84" i="3"/>
  <c r="C36" i="8"/>
  <c r="AX81" i="2"/>
  <c r="B36" i="8"/>
  <c r="BA74" i="2" l="1"/>
  <c r="BB70" i="2"/>
  <c r="BE81" i="2"/>
  <c r="AY74" i="2"/>
  <c r="BC72" i="2"/>
  <c r="BC81" i="2"/>
  <c r="AZ81" i="2" s="1"/>
  <c r="AS76" i="2"/>
  <c r="P78" i="2"/>
  <c r="BC76" i="2"/>
  <c r="BC74" i="2"/>
  <c r="BC78" i="2"/>
  <c r="AJ78" i="2"/>
  <c r="K78" i="2"/>
  <c r="AO78" i="2"/>
  <c r="Z78" i="2"/>
  <c r="U78" i="2"/>
  <c r="AE78" i="2"/>
  <c r="AW76" i="2"/>
  <c r="D36" i="8"/>
  <c r="C34" i="8"/>
  <c r="D34" i="8" s="1"/>
  <c r="BD85" i="3"/>
  <c r="BE84" i="3"/>
  <c r="BE85" i="3" s="1"/>
  <c r="BD81" i="2"/>
  <c r="BB81" i="2" l="1"/>
  <c r="L31" i="11" l="1"/>
  <c r="I31" i="11"/>
  <c r="I29" i="10" l="1"/>
  <c r="F29" i="10" s="1"/>
  <c r="F31" i="11"/>
  <c r="R31" i="11"/>
  <c r="V31" i="11" l="1"/>
  <c r="T31" i="11"/>
  <c r="Q31" i="11" s="1"/>
  <c r="H29" i="10"/>
  <c r="S31" i="11" l="1"/>
  <c r="L29" i="11" l="1"/>
  <c r="I29" i="11"/>
  <c r="I27" i="11"/>
  <c r="R29" i="11" l="1"/>
  <c r="F29" i="11"/>
  <c r="L27" i="11"/>
  <c r="T29" i="11" l="1"/>
  <c r="Q29" i="11" s="1"/>
  <c r="S29" i="11" l="1"/>
  <c r="J20" i="13" l="1"/>
  <c r="K20" i="13" l="1"/>
  <c r="K21" i="13" s="1"/>
  <c r="J27" i="13"/>
  <c r="K27" i="13" l="1"/>
  <c r="K28" i="13" s="1"/>
  <c r="K42" i="13" s="1"/>
  <c r="R20" i="11" l="1"/>
  <c r="V20" i="11" s="1"/>
  <c r="G31" i="10" l="1"/>
  <c r="I27" i="10"/>
  <c r="F27" i="10" s="1"/>
  <c r="V29" i="11"/>
  <c r="H27" i="10" l="1"/>
  <c r="H33" i="11" l="1"/>
  <c r="K33" i="11"/>
  <c r="R39" i="11" l="1"/>
  <c r="V39" i="11" s="1"/>
  <c r="R37" i="11" l="1"/>
  <c r="E33" i="11"/>
  <c r="V37" i="11" l="1"/>
  <c r="R33" i="11"/>
  <c r="V33" i="11" s="1"/>
  <c r="L20" i="11" l="1"/>
  <c r="I18" i="10" l="1"/>
  <c r="H18" i="10" s="1"/>
  <c r="I20" i="11"/>
  <c r="F18" i="10" l="1"/>
  <c r="P20" i="11"/>
  <c r="F20" i="11"/>
  <c r="T20" i="11" l="1"/>
  <c r="S20" i="11" s="1"/>
  <c r="U20" i="11"/>
  <c r="Q20" i="11" l="1"/>
  <c r="P22" i="11" l="1"/>
  <c r="P27" i="11" l="1"/>
  <c r="U22" i="11"/>
  <c r="U27" i="11" l="1"/>
  <c r="G34" i="13" l="1"/>
  <c r="H34" i="13" s="1"/>
  <c r="H36" i="13" s="1"/>
  <c r="H42" i="13" l="1"/>
  <c r="AI36" i="13"/>
  <c r="N13" i="11" l="1"/>
  <c r="O15" i="11"/>
  <c r="O13" i="11" l="1"/>
  <c r="N41" i="11"/>
  <c r="AJ36" i="13" l="1"/>
  <c r="AK36" i="13" s="1"/>
  <c r="O41" i="11"/>
  <c r="N46" i="11" l="1"/>
  <c r="O46" i="11"/>
  <c r="M46" i="11"/>
  <c r="I25" i="10" l="1"/>
  <c r="H25" i="10" l="1"/>
  <c r="F25" i="10"/>
  <c r="R27" i="11" l="1"/>
  <c r="F27" i="11"/>
  <c r="V27" i="11" l="1"/>
  <c r="T27" i="11"/>
  <c r="W10" i="13"/>
  <c r="W11" i="13" l="1"/>
  <c r="S27" i="11"/>
  <c r="Q27" i="11"/>
  <c r="X10" i="13"/>
  <c r="W12" i="13" l="1"/>
  <c r="X11" i="13"/>
  <c r="X12" i="13" l="1"/>
  <c r="X13" i="13" s="1"/>
  <c r="X42" i="13" s="1"/>
  <c r="I37" i="10" l="1"/>
  <c r="H37" i="10" s="1"/>
  <c r="I35" i="10"/>
  <c r="H35" i="10" s="1"/>
  <c r="E31" i="10"/>
  <c r="F37" i="10" l="1"/>
  <c r="I31" i="10"/>
  <c r="H31" i="10" s="1"/>
  <c r="F35" i="10"/>
  <c r="F31" i="10" l="1"/>
  <c r="G11" i="10"/>
  <c r="G39" i="10" s="1"/>
  <c r="I22" i="11" l="1"/>
  <c r="L22" i="11"/>
  <c r="I20" i="10"/>
  <c r="F20" i="10" s="1"/>
  <c r="H20" i="10" l="1"/>
  <c r="H13" i="11"/>
  <c r="H41" i="11" s="1"/>
  <c r="R15" i="11"/>
  <c r="E13" i="11"/>
  <c r="E41" i="11" s="1"/>
  <c r="K13" i="11"/>
  <c r="K41" i="11" s="1"/>
  <c r="R22" i="11"/>
  <c r="F22" i="11"/>
  <c r="R41" i="11" l="1"/>
  <c r="V22" i="11"/>
  <c r="T22" i="11"/>
  <c r="Q22" i="11" s="1"/>
  <c r="V15" i="11"/>
  <c r="R13" i="11"/>
  <c r="V13" i="11" s="1"/>
  <c r="S22" i="11" l="1"/>
  <c r="R43" i="11"/>
  <c r="V41" i="11"/>
  <c r="J13" i="11" l="1"/>
  <c r="L13" i="11" s="1"/>
  <c r="L15" i="11"/>
  <c r="D13" i="11" l="1"/>
  <c r="F13" i="11" s="1"/>
  <c r="P15" i="11"/>
  <c r="F15" i="11"/>
  <c r="E11" i="10"/>
  <c r="I13" i="10"/>
  <c r="G13" i="11"/>
  <c r="I13" i="11" s="1"/>
  <c r="I15" i="11"/>
  <c r="I11" i="10" l="1"/>
  <c r="E39" i="10"/>
  <c r="P13" i="11"/>
  <c r="U13" i="11" s="1"/>
  <c r="U15" i="11"/>
  <c r="T15" i="11"/>
  <c r="Q15" i="11" s="1"/>
  <c r="F13" i="10"/>
  <c r="H13" i="10"/>
  <c r="I39" i="10" l="1"/>
  <c r="T13" i="11"/>
  <c r="S15" i="11"/>
  <c r="F11" i="10"/>
  <c r="H11" i="10"/>
  <c r="Q13" i="11" l="1"/>
  <c r="S13" i="11"/>
  <c r="F39" i="10"/>
  <c r="H39" i="10"/>
  <c r="L39" i="11" l="1"/>
  <c r="I39" i="11"/>
  <c r="D33" i="11" l="1"/>
  <c r="F37" i="11"/>
  <c r="F39" i="11"/>
  <c r="P39" i="11"/>
  <c r="AC19" i="13"/>
  <c r="AC10" i="13"/>
  <c r="AC27" i="13"/>
  <c r="AD27" i="13" l="1"/>
  <c r="AD28" i="13" s="1"/>
  <c r="AC20" i="13"/>
  <c r="AD19" i="13"/>
  <c r="AD10" i="13"/>
  <c r="U39" i="11"/>
  <c r="Q39" i="11"/>
  <c r="T39" i="11"/>
  <c r="S39" i="11" s="1"/>
  <c r="D41" i="11"/>
  <c r="F33" i="11"/>
  <c r="AC11" i="13"/>
  <c r="L37" i="11" l="1"/>
  <c r="J33" i="11"/>
  <c r="I37" i="11"/>
  <c r="G33" i="11"/>
  <c r="P37" i="11"/>
  <c r="AD11" i="13"/>
  <c r="AJ13" i="13"/>
  <c r="F41" i="11"/>
  <c r="AD20" i="13"/>
  <c r="AD21" i="13" s="1"/>
  <c r="Z10" i="13"/>
  <c r="AC12" i="13" l="1"/>
  <c r="Z27" i="13"/>
  <c r="Z19" i="13"/>
  <c r="AA10" i="13"/>
  <c r="D46" i="11"/>
  <c r="F46" i="11"/>
  <c r="E46" i="11"/>
  <c r="Z20" i="13"/>
  <c r="U37" i="11"/>
  <c r="T37" i="11"/>
  <c r="P33" i="11"/>
  <c r="L33" i="11"/>
  <c r="J41" i="11"/>
  <c r="G41" i="11"/>
  <c r="I33" i="11"/>
  <c r="Z11" i="13"/>
  <c r="AA11" i="13" l="1"/>
  <c r="Z12" i="13"/>
  <c r="U33" i="11"/>
  <c r="AA20" i="13"/>
  <c r="AA27" i="13"/>
  <c r="AA28" i="13" s="1"/>
  <c r="Q37" i="11"/>
  <c r="T33" i="11"/>
  <c r="S33" i="11" s="1"/>
  <c r="S37" i="11"/>
  <c r="AD12" i="13"/>
  <c r="AD13" i="13" s="1"/>
  <c r="AD42" i="13" s="1"/>
  <c r="AJ21" i="13"/>
  <c r="I41" i="11"/>
  <c r="G46" i="11" s="1"/>
  <c r="P41" i="11"/>
  <c r="AJ28" i="13"/>
  <c r="L41" i="11"/>
  <c r="AA19" i="13"/>
  <c r="AA21" i="13" l="1"/>
  <c r="AI21" i="13" s="1"/>
  <c r="L46" i="11"/>
  <c r="K46" i="11"/>
  <c r="AI28" i="13"/>
  <c r="P43" i="11"/>
  <c r="AJ42" i="13"/>
  <c r="AJ43" i="13" s="1"/>
  <c r="U41" i="11"/>
  <c r="AK21" i="13"/>
  <c r="AA12" i="13"/>
  <c r="AA13" i="13" s="1"/>
  <c r="AI13" i="13" s="1"/>
  <c r="J46" i="11"/>
  <c r="Q33" i="11"/>
  <c r="I46" i="11"/>
  <c r="H46" i="11"/>
  <c r="T41" i="11"/>
  <c r="P46" i="11" s="1"/>
  <c r="T48" i="11" l="1"/>
  <c r="T46" i="11"/>
  <c r="T43" i="11"/>
  <c r="O48" i="11"/>
  <c r="S41" i="11"/>
  <c r="R46" i="11"/>
  <c r="F48" i="11"/>
  <c r="I48" i="11"/>
  <c r="Q41" i="11"/>
  <c r="L48" i="11"/>
  <c r="AK28" i="13"/>
  <c r="AK13" i="13"/>
  <c r="AA42" i="13"/>
  <c r="AI42" i="13" s="1"/>
  <c r="AK42" i="13" l="1"/>
  <c r="AK43" i="13" s="1"/>
  <c r="AI43" i="13"/>
</calcChain>
</file>

<file path=xl/sharedStrings.xml><?xml version="1.0" encoding="utf-8"?>
<sst xmlns="http://schemas.openxmlformats.org/spreadsheetml/2006/main" count="1446" uniqueCount="469">
  <si>
    <t>DISTRIBUTIENETBEHEERDER :</t>
  </si>
  <si>
    <t>ONDERNEMINGSNUMMER:</t>
  </si>
  <si>
    <t>WERKMAATSCHAPPIJ:</t>
  </si>
  <si>
    <t>In het kader van volgende reguleringsperiode:</t>
  </si>
  <si>
    <t>van</t>
  </si>
  <si>
    <t>tot en met</t>
  </si>
  <si>
    <t>Legenda celkleuren</t>
  </si>
  <si>
    <t>Input vereist door distributienetbeheerder</t>
  </si>
  <si>
    <t>Berekende of overgenomen waarde waarvoor dus geen manuele input vereist is</t>
  </si>
  <si>
    <t>Input vereist door VREG</t>
  </si>
  <si>
    <t>Tabellen</t>
  </si>
  <si>
    <t>RICHTLIJNEN BIJ HET INVULLEN EN DE INTERPRETATIE VAN HET RAPPORTERINGSMODEL VOOR HET TARIEFVOORSTEL</t>
  </si>
  <si>
    <t>In dit rapporteringsmodel worden dan ook de tabellen en bijkomend aan te leveren informatie opgenomen die moeten worden gebruikt in het kader</t>
  </si>
  <si>
    <t xml:space="preserve">mogelijkheid om, indien nodig, nog bijkomende inlichtingen buiten dit rapporteringsmodel op te vragen. </t>
  </si>
  <si>
    <t>Distributienetbeheerder:</t>
  </si>
  <si>
    <t>1.</t>
  </si>
  <si>
    <t>Tarief gebruik van het net</t>
  </si>
  <si>
    <t>1.1</t>
  </si>
  <si>
    <t>Onderschreven en bijkomend vermogen</t>
  </si>
  <si>
    <t>1.1.1</t>
  </si>
  <si>
    <t>[X * afvlakkingscoëfficient] EUR/kW</t>
  </si>
  <si>
    <r>
      <t>+ [Y * Um</t>
    </r>
    <r>
      <rPr>
        <b/>
        <vertAlign val="subscript"/>
        <sz val="10"/>
        <rFont val="Arial"/>
        <family val="2"/>
      </rPr>
      <t>nu</t>
    </r>
    <r>
      <rPr>
        <b/>
        <sz val="10"/>
        <rFont val="Arial"/>
        <family val="2"/>
      </rPr>
      <t>]  EUR /kWm</t>
    </r>
    <r>
      <rPr>
        <b/>
        <vertAlign val="subscript"/>
        <sz val="10"/>
        <rFont val="Arial"/>
        <family val="2"/>
      </rPr>
      <t xml:space="preserve">nu </t>
    </r>
  </si>
  <si>
    <r>
      <t>+ [Z * Um</t>
    </r>
    <r>
      <rPr>
        <b/>
        <vertAlign val="subscript"/>
        <sz val="10"/>
        <rFont val="Arial"/>
        <family val="2"/>
      </rPr>
      <t>su</t>
    </r>
    <r>
      <rPr>
        <b/>
        <sz val="10"/>
        <rFont val="Arial"/>
        <family val="2"/>
      </rPr>
      <t>]  EUR /kWm</t>
    </r>
    <r>
      <rPr>
        <b/>
        <vertAlign val="subscript"/>
        <sz val="10"/>
        <rFont val="Arial"/>
        <family val="2"/>
      </rPr>
      <t>su</t>
    </r>
  </si>
  <si>
    <t>met :</t>
  </si>
  <si>
    <t>X =</t>
  </si>
  <si>
    <t>Afvlakkingscoëfficient =</t>
  </si>
  <si>
    <t>X/12 =</t>
  </si>
  <si>
    <t>dag =</t>
  </si>
  <si>
    <t>nacht =</t>
  </si>
  <si>
    <t>1.1.2</t>
  </si>
  <si>
    <t>X EUR/kW</t>
  </si>
  <si>
    <t>1.1.3</t>
  </si>
  <si>
    <t>1.2.</t>
  </si>
  <si>
    <t>Tarief systeemdiensten</t>
  </si>
  <si>
    <t>1.3.</t>
  </si>
  <si>
    <t>Tarief meet- en telactiviteit</t>
  </si>
  <si>
    <t>AMR</t>
  </si>
  <si>
    <t>MMR</t>
  </si>
  <si>
    <t>Jaaropname</t>
  </si>
  <si>
    <t>2.</t>
  </si>
  <si>
    <t>Tarief openbare dienstverplichtingen</t>
  </si>
  <si>
    <t>3.</t>
  </si>
  <si>
    <t>Tarief ondersteunende diensten</t>
  </si>
  <si>
    <t>Tarief netverliezen</t>
  </si>
  <si>
    <t>Tarief reactieve energie</t>
  </si>
  <si>
    <t>4.</t>
  </si>
  <si>
    <t>Toeslagen</t>
  </si>
  <si>
    <t>Lasten niet-gekapitaliseerde pensioenen</t>
  </si>
  <si>
    <t>Overige lokale, provinciale, gewestelijke en federale belastingen, heffingen, toeslagen, bijdragen en retributies</t>
  </si>
  <si>
    <t>5.</t>
  </si>
  <si>
    <t>Exogeen</t>
  </si>
  <si>
    <t xml:space="preserve">dag </t>
  </si>
  <si>
    <t xml:space="preserve">nacht </t>
  </si>
  <si>
    <t xml:space="preserve">exclusief nacht </t>
  </si>
  <si>
    <t>4.1.</t>
  </si>
  <si>
    <t>4.2.</t>
  </si>
  <si>
    <t>Toeslagen of heffingen ter financiering van de openbare dienstverplichtingen</t>
  </si>
  <si>
    <t xml:space="preserve">4.3. </t>
  </si>
  <si>
    <t>Bijdragen ter dekking van de verloren kosten</t>
  </si>
  <si>
    <t>4.4.</t>
  </si>
  <si>
    <t>4.5.</t>
  </si>
  <si>
    <t>4.6.</t>
  </si>
  <si>
    <t>Totaal</t>
  </si>
  <si>
    <t>Kosten in verband met de beschermde, gedropte klanten (sociale klanten)</t>
  </si>
  <si>
    <t>Kosten in verband met de niet-beschermde, gedropte klanten (SOLR)</t>
  </si>
  <si>
    <t>Kosten 100 kWh gratis elektriciteit</t>
  </si>
  <si>
    <t>REG-acties</t>
  </si>
  <si>
    <t>Openbare verlichting</t>
  </si>
  <si>
    <t>Dienst Ombudsman en informatie-activiteit</t>
  </si>
  <si>
    <t>Openbare dienstverplichting WKK</t>
  </si>
  <si>
    <t>Overnamekost certificaten</t>
  </si>
  <si>
    <t>TOTAAL PERIODIEKE TARIEVEN (ELEKTRICITEIT)</t>
  </si>
  <si>
    <t>TRANS HS</t>
  </si>
  <si>
    <t>26-1 kV</t>
  </si>
  <si>
    <t>TRANS LS</t>
  </si>
  <si>
    <t>LAAGSPANNING</t>
  </si>
  <si>
    <t>INJECTIE</t>
  </si>
  <si>
    <t>AFNAME</t>
  </si>
  <si>
    <t>TOTAAL</t>
  </si>
  <si>
    <t>1.1.</t>
  </si>
  <si>
    <t>HET TARIEF VOOR OPENBARE DIENSTVERPLICHTINGEN</t>
  </si>
  <si>
    <t>kosten 100 kWh gratis elektriciteit</t>
  </si>
  <si>
    <t>Openbare Verlichting</t>
  </si>
  <si>
    <t>Overnamekost Certificaten</t>
  </si>
  <si>
    <t>Het tarief voor de compensatie van de netverliezen</t>
  </si>
  <si>
    <t>4.3.</t>
  </si>
  <si>
    <t>DE TARIEFPOSTEN IN VERBAND MET DE BELASTINGEN, HEFFINGEN, TOESLAGEN, BIJDRAGEN EN RETRIBUTIES</t>
  </si>
  <si>
    <t>De toeslagen of heffingen ter financiering van de openbare-dienstverplichtingen</t>
  </si>
  <si>
    <t>Bijdragen ter dekking van verloren kosten</t>
  </si>
  <si>
    <t>% klantengroep ten opzichte van het totaal</t>
  </si>
  <si>
    <t>HET TARIEF VOOR DE ONDERSTEUNENDE DIENSTEN</t>
  </si>
  <si>
    <t>HET TARIEF VOOR HET GEBRUIK VAN HET NET</t>
  </si>
  <si>
    <t>Het basistarief voor het gebruik van het net (tarief voor onderschreven en bijkomend vermogen)</t>
  </si>
  <si>
    <t>Het tarief voor de meet-en telactiviteit</t>
  </si>
  <si>
    <t>Het tarief voor systeemdiensten</t>
  </si>
  <si>
    <t>3.1.</t>
  </si>
  <si>
    <t>3.2.</t>
  </si>
  <si>
    <t>Tarief voor overschrijding reactieve energie</t>
  </si>
  <si>
    <t>Het tarief reactieve energie</t>
  </si>
  <si>
    <t>De overige lokale, provinciale, gewestelijke en federale belastingen, heffingen, toeslagen, bijdragen en retributies</t>
  </si>
  <si>
    <t>EXOGEEN</t>
  </si>
  <si>
    <t>% afname - injectie per klantengroep</t>
  </si>
  <si>
    <t>TRANS-LS</t>
  </si>
  <si>
    <t>LS</t>
  </si>
  <si>
    <t>Type voeding</t>
  </si>
  <si>
    <t>HOOFDV</t>
  </si>
  <si>
    <t>HULPV</t>
  </si>
  <si>
    <t>HOOFDV piekmeting</t>
  </si>
  <si>
    <t>HULPV piekmeting</t>
  </si>
  <si>
    <t>HOOFDV zonder piekmeting</t>
  </si>
  <si>
    <t>HULPV zonder piekmeting</t>
  </si>
  <si>
    <t>zonder piekmeting</t>
  </si>
  <si>
    <t>Tarief voor overschrijding reactieve energie :</t>
  </si>
  <si>
    <t xml:space="preserve">4.6. </t>
  </si>
  <si>
    <t>EUR/kWh</t>
  </si>
  <si>
    <t>Jaarprijs</t>
  </si>
  <si>
    <t>EUR/kVarh</t>
  </si>
  <si>
    <t>TER INFO: HOEVEELHEDEN</t>
  </si>
  <si>
    <t>kW</t>
  </si>
  <si>
    <t>Stille uren / nachtverbruik</t>
  </si>
  <si>
    <t>Normale uren / dagverbruik</t>
  </si>
  <si>
    <t>Stille uren / uitsluitend nachtverbruik</t>
  </si>
  <si>
    <t>Reactieve energie</t>
  </si>
  <si>
    <t>kWh</t>
  </si>
  <si>
    <t>kVarh</t>
  </si>
  <si>
    <t>Tariefcodes</t>
  </si>
  <si>
    <t>Type of connection</t>
  </si>
  <si>
    <t>EUR/kW/jaar</t>
  </si>
  <si>
    <t>Globalisation code</t>
  </si>
  <si>
    <t>Recht op forfaitaire afname =</t>
  </si>
  <si>
    <t>TARIEF VOOR HET GEBRUIK VAN HET NET</t>
  </si>
  <si>
    <t>TARIEF SYSTEEMDIENSTEN</t>
  </si>
  <si>
    <t>TARIEF MEET- en TELACTIVITEIT</t>
  </si>
  <si>
    <t>TARIEF OPENBARE DIENSTVERPLICHTINGEN</t>
  </si>
  <si>
    <t>TARIEF ONDERSTEUNENDE DIENSTEN</t>
  </si>
  <si>
    <t>DIVERSE TOESLAGEN</t>
  </si>
  <si>
    <t>VERSCHIL</t>
  </si>
  <si>
    <t>afvlakkingscoefficiënt_kW</t>
  </si>
  <si>
    <t>kWh NU</t>
  </si>
  <si>
    <t>kWh SU</t>
  </si>
  <si>
    <t>Basistarief kW</t>
  </si>
  <si>
    <t>Basistarief kWh SU</t>
  </si>
  <si>
    <t>Systeemdiensten</t>
  </si>
  <si>
    <t>Metering</t>
  </si>
  <si>
    <t>Reactief vermogen</t>
  </si>
  <si>
    <t>Netverliezen</t>
  </si>
  <si>
    <t>Toeslag Pensioenen</t>
  </si>
  <si>
    <t>Andere</t>
  </si>
  <si>
    <t>OPBRENGSTEN</t>
  </si>
  <si>
    <t>EP</t>
  </si>
  <si>
    <t>EUR</t>
  </si>
  <si>
    <t>KwhNU</t>
  </si>
  <si>
    <t>kWhSU</t>
  </si>
  <si>
    <t>EP_AMR</t>
  </si>
  <si>
    <t>EP_MMR</t>
  </si>
  <si>
    <t>kVARh</t>
  </si>
  <si>
    <t>EUR (A)</t>
  </si>
  <si>
    <t>EUR (B)</t>
  </si>
  <si>
    <t>EUR (A) - (B)</t>
  </si>
  <si>
    <t>TRANS-HS</t>
  </si>
  <si>
    <t xml:space="preserve">TOTAAL                  (A) </t>
  </si>
  <si>
    <t>26 - 1 kV</t>
  </si>
  <si>
    <t xml:space="preserve">TOTAAL                  (B) </t>
  </si>
  <si>
    <t xml:space="preserve">TOTAAL                  (C) </t>
  </si>
  <si>
    <t>Basistarief kWh NU</t>
  </si>
  <si>
    <t>YEARLY</t>
  </si>
  <si>
    <t>EP_YEARLY</t>
  </si>
  <si>
    <t>Afvlakkingscoefficiënt_kW</t>
  </si>
  <si>
    <t>Basistarief kWh ZN</t>
  </si>
  <si>
    <t>kWh ZN</t>
  </si>
  <si>
    <t>met piekmeting</t>
  </si>
  <si>
    <t xml:space="preserve">TOTAAL                  (D) </t>
  </si>
  <si>
    <t>Ratio kWh/kW</t>
  </si>
  <si>
    <t>Bijkomende informatie:</t>
  </si>
  <si>
    <t>Tarief voor het systeembeheer</t>
  </si>
  <si>
    <t>Algemeen</t>
  </si>
  <si>
    <t>jaarprijs</t>
  </si>
  <si>
    <t>Trans-HS</t>
  </si>
  <si>
    <t>Trans-LS</t>
  </si>
  <si>
    <t>Tarief Meet- en Telactiviteit</t>
  </si>
  <si>
    <t>Diverse toeslagen</t>
  </si>
  <si>
    <t>Toeslag pensioenen</t>
  </si>
  <si>
    <t>T1</t>
  </si>
  <si>
    <t>T2</t>
  </si>
  <si>
    <t>T3</t>
  </si>
  <si>
    <t>T4</t>
  </si>
  <si>
    <t>T5</t>
  </si>
  <si>
    <t>T6</t>
  </si>
  <si>
    <t>Jaarverbruik (kWh)</t>
  </si>
  <si>
    <t>0 - 5 000</t>
  </si>
  <si>
    <t>5 001 - 150 000</t>
  </si>
  <si>
    <t>150 001 - 1 000 000</t>
  </si>
  <si>
    <t>&gt; 1 000 000</t>
  </si>
  <si>
    <t>&lt; 10 000 000</t>
  </si>
  <si>
    <t>&gt; 10 000 000</t>
  </si>
  <si>
    <t>I. De tarieven voor het gebruik van het distributienet</t>
  </si>
  <si>
    <t>1)</t>
  </si>
  <si>
    <t xml:space="preserve">Het basistarief voor overbrenging met het net </t>
  </si>
  <si>
    <t>Vaste term</t>
  </si>
  <si>
    <t xml:space="preserve">Proportionele term </t>
  </si>
  <si>
    <t xml:space="preserve">Capaciteit </t>
  </si>
  <si>
    <t>2)</t>
  </si>
  <si>
    <t xml:space="preserve">Het tarief voor het systeembeheer </t>
  </si>
  <si>
    <t>3)</t>
  </si>
  <si>
    <t>Het tarief voor de metingactiviteit</t>
  </si>
  <si>
    <t>II. Het tarief openbare dienstverplichtingen</t>
  </si>
  <si>
    <t>LD</t>
  </si>
  <si>
    <t>MD</t>
  </si>
  <si>
    <t>All-in tarief</t>
  </si>
  <si>
    <t>EUR/jaar</t>
  </si>
  <si>
    <t>EUR/maxcap</t>
  </si>
  <si>
    <t>4)</t>
  </si>
  <si>
    <t>Lasten van niet-gekapitaliseerde pensioenen</t>
  </si>
  <si>
    <t>5)</t>
  </si>
  <si>
    <t>6)</t>
  </si>
  <si>
    <t>Toeslagen of heffingen ter dekking van de openbare dienstverplichtingen</t>
  </si>
  <si>
    <t>Overige  lokale, provinciale, gewestelijke en federale belastingen, heffingen, toeslagen, bijdragen en retributies</t>
  </si>
  <si>
    <t>TOTAAL PERIODIEKE TARIEVEN (GAS)</t>
  </si>
  <si>
    <t xml:space="preserve">TOTAAL                  (E) </t>
  </si>
  <si>
    <t>OVERBRENGING (VAST)</t>
  </si>
  <si>
    <t>OVERBRENGING (PROPORTIONEEL)</t>
  </si>
  <si>
    <t>OVERBRENGING (CAPACITEIT)</t>
  </si>
  <si>
    <t>METING</t>
  </si>
  <si>
    <t>PENSIOENEN</t>
  </si>
  <si>
    <t>BELASTINGEN</t>
  </si>
  <si>
    <t xml:space="preserve">T1 - T2 - T3 </t>
  </si>
  <si>
    <t>KLANTENGROEP 1</t>
  </si>
  <si>
    <t>Volume</t>
  </si>
  <si>
    <t>Prijs</t>
  </si>
  <si>
    <t>max</t>
  </si>
  <si>
    <t>Jaarverbruik</t>
  </si>
  <si>
    <t>#EAN's</t>
  </si>
  <si>
    <t>YMR</t>
  </si>
  <si>
    <t>0-5 000 kWh</t>
  </si>
  <si>
    <t>5 001-150 000 kWh</t>
  </si>
  <si>
    <t>150 001-1 000 000 kWh</t>
  </si>
  <si>
    <t>TOTAAL T1-T2-T3</t>
  </si>
  <si>
    <t>TOTAAL  T1-T2-T3</t>
  </si>
  <si>
    <t>(A)</t>
  </si>
  <si>
    <t>T4-T5</t>
  </si>
  <si>
    <t>KLANTENGROEP 2</t>
  </si>
  <si>
    <t>T4 - MMR</t>
  </si>
  <si>
    <t>&gt; 1 GWh</t>
  </si>
  <si>
    <t>T5 - AMR</t>
  </si>
  <si>
    <t>&lt; 10 GWh</t>
  </si>
  <si>
    <t>TOTAAL T4-T5</t>
  </si>
  <si>
    <t>(B)</t>
  </si>
  <si>
    <t>KLANTENGROEP 3</t>
  </si>
  <si>
    <t>&gt; 10 GWh</t>
  </si>
  <si>
    <t>TOTAAL T6</t>
  </si>
  <si>
    <t>(C)</t>
  </si>
  <si>
    <t>OVERBRENGING tussen DNB (TRANSIT)</t>
  </si>
  <si>
    <t>TOTAAL doorvoer</t>
  </si>
  <si>
    <t>(D)</t>
  </si>
  <si>
    <t>(A + B + C + D)</t>
  </si>
  <si>
    <t>T1-T2-T3</t>
  </si>
  <si>
    <t>Vaste term (EUR/jaar)</t>
  </si>
  <si>
    <t>SYSTEEMBEHEER</t>
  </si>
  <si>
    <t>Aantal tellers</t>
  </si>
  <si>
    <t>Prijs (EUR/jaar)</t>
  </si>
  <si>
    <t>ODV's</t>
  </si>
  <si>
    <t>ANDERE</t>
  </si>
  <si>
    <t>TOTAAL DOORVOER</t>
  </si>
  <si>
    <t xml:space="preserve">van de vertaling van het toegestaan inkomen naar een periodieke distributienettarief. Desalniettemin behoudt de VREG zich de </t>
  </si>
  <si>
    <t>Cel die geen toepassing vindt onder de huidige tariefstructuur</t>
  </si>
  <si>
    <t>TITELBLAD</t>
  </si>
  <si>
    <t>In de verdere tabellen van het rapporteringsmodel zijn de vergelijkbare velden gelinkt aan dit titelblad. Deze velden worden dus automatisch aangevuld.</t>
  </si>
  <si>
    <t>Conform de tariefstructuur die in de tariefmethodologie van de VREG beschreven wordt, kan vooreerst het toegelaten inkomen voor de gereguleerde activiteit</t>
  </si>
  <si>
    <t>volgende percentages bepaald:</t>
  </si>
  <si>
    <t xml:space="preserve">'type of connection', veldnamen, BTW- % en globalisatiecodes op te geven. Vervolgens dient uiteraard het tarief per tariefcomponent en per klantengroep worden opgegeven door de distributienetbeheerder. </t>
  </si>
  <si>
    <t xml:space="preserve"> BTW-% en globalisatiecodes op te geven. Vervolgens dient uiteraard het tarief per tariefcomponent en per klantengroep worden opgegeven door de distributienetbeheerder.</t>
  </si>
  <si>
    <t>'elektriciteit' verdeeld worden over de verschillende tariefcomponenten. Hierbij dient de distributienetbeheerder zowel het toegelaten inkomen voor de exogene</t>
  </si>
  <si>
    <t>de distributienetbeheerder.</t>
  </si>
  <si>
    <t>DOORVOER</t>
  </si>
  <si>
    <t xml:space="preserve">TOTAAL                  (F) </t>
  </si>
  <si>
    <t>hoofdvoeding</t>
  </si>
  <si>
    <t>hulpvoeding</t>
  </si>
  <si>
    <t>%</t>
  </si>
  <si>
    <t>TOTAAL PERIODIEKE TARIEVEN (excl. kosten in verband met het gebruik van het transmissienet)</t>
  </si>
  <si>
    <t>Tariefvoorstel periodieke distributienettarieven</t>
  </si>
  <si>
    <t>Distributienettarieven voor:</t>
  </si>
  <si>
    <t>3.3.</t>
  </si>
  <si>
    <t>Tarief voor het niet respecteren van een aanvaard programma</t>
  </si>
  <si>
    <t>Het tarief voor het niet respecteren van een aanvaard programma</t>
  </si>
  <si>
    <t>Niet respecteren van een aanvaard programma</t>
  </si>
  <si>
    <t>&gt;26-36 kV</t>
  </si>
  <si>
    <t>&gt;26- 36 kV</t>
  </si>
  <si>
    <t>&gt;26 - 36 kV</t>
  </si>
  <si>
    <t>6.</t>
  </si>
  <si>
    <t xml:space="preserve">TOTAAL                  (G) </t>
  </si>
  <si>
    <t>ALG. TOTAAL    (A+B+C+D+E+F+G)</t>
  </si>
  <si>
    <t>PROSUMENTEN MET TERUGDRAAIENDE TELLER</t>
  </si>
  <si>
    <t>Aanvullend capaciteitstarief voor prosumenten met terugdraaiende teller</t>
  </si>
  <si>
    <t>AANVULLEND CAPACITEITSTARIEF VOOR PROSUMENTEN MET TERUGDRAAIENDE TELLER</t>
  </si>
  <si>
    <t>Rechtspersonenbelasting</t>
  </si>
  <si>
    <t>De rechtspersonenbelasting</t>
  </si>
  <si>
    <t>Toeslagen ter dekking van de werkingskosten van de CREG</t>
  </si>
  <si>
    <t xml:space="preserve">Met piekmeting: Trans HS, &gt;26-36 kV, 26 - kV, Trans LS &amp; Prosumenten met terugdraaiende teller Trans LS </t>
  </si>
  <si>
    <t xml:space="preserve">Met piekmeting: LS &amp; Prosumenten met terugdraaiende teller LS </t>
  </si>
  <si>
    <t xml:space="preserve">Zonder piekmeting: &gt;26-36 kV, 26-1kV, Trans LS, LS &amp; prosumenten met terugdraaiende teller </t>
  </si>
  <si>
    <t>Het tariefvoorstel dient in 1 exemplaar te worden opgeleverd, alsook onder elektronische vorm (Excel-formaat).</t>
  </si>
  <si>
    <t>CONTROLE MET TABEL 2</t>
  </si>
  <si>
    <t>kWh Totaal</t>
  </si>
  <si>
    <t>met piekmeting - Trans LS</t>
  </si>
  <si>
    <t>met piekmeting - LS</t>
  </si>
  <si>
    <t>zonder piekmeting - Trans LS</t>
  </si>
  <si>
    <t>zonder piekmeting - LS</t>
  </si>
  <si>
    <t xml:space="preserve"> EUR (B)</t>
  </si>
  <si>
    <t>Controle:</t>
  </si>
  <si>
    <t>III. Tarieven voor de complementaire diensten</t>
  </si>
  <si>
    <t>IV. Tarieven voor de supplementaire diensten</t>
  </si>
  <si>
    <t>V. Belastingen, heffingen, toeslagen, bijdragen en retributies</t>
  </si>
  <si>
    <t>CONTROLE MET TABEL 9</t>
  </si>
  <si>
    <t xml:space="preserve">TOTAAL </t>
  </si>
  <si>
    <t>- Procentuele inkomensverdeling tussen afname en injectie per klantengroep;</t>
  </si>
  <si>
    <t>- Procentuele inkomensverdeling tussen exogeen en endogeen per klantengroep;</t>
  </si>
  <si>
    <t>Endogeen</t>
  </si>
  <si>
    <t>ENDOGEEN</t>
  </si>
  <si>
    <t>% exogeen - endogeen per klantengroep</t>
  </si>
  <si>
    <t>op 2 cijfers na de komma.</t>
  </si>
  <si>
    <t xml:space="preserve">Per tariefcomponent en per klantengroep wordt de verwachte omzet berekend dat via de tarieven wordt  verkregen. De verwachte omzet per klantengroep dient vervolgens </t>
  </si>
  <si>
    <t>Per tariefcomponent en per klantengroep wordt de verwachte omzet berekend dat via de tarieven wordt  verkregen. De verwachte omzet per klantengroep dient vervolgens</t>
  </si>
  <si>
    <t>BTW-REGIME:</t>
  </si>
  <si>
    <t>De tarieven worden afgerond tot op 7 cijfers na de komma, met uitzondering van het 'tarief meet- en telactiviteit' en het 'aanvullend capaciteitstarief voor prosumenten met terugdraaiende teller' dewelke</t>
  </si>
  <si>
    <t>worden afgerond tot op 2 cijfers na de komma.</t>
  </si>
  <si>
    <t>De tarieven worden afgerond tot op 7 cijfers na de komma, met uitzondering van het 'tarief meet- en telactiviteit' dewelke wordt afgerond tot op 2 cijfers na de komma.</t>
  </si>
  <si>
    <t xml:space="preserve">De tarieven worden afgerond tot op 7 cijfers na de komma, met uitzondering van de vaste term in het 'basistarief voor overbrenging met het net' en het 'tarief meet- en telactiviteit' dewelke worden afgerond tot </t>
  </si>
  <si>
    <t xml:space="preserve">Hiernaast worden in het rapporteringsmodel ook specifieke tabellen voorzien teneinde de distributienetbeheerder via een welbepaald model </t>
  </si>
  <si>
    <t>zijn tariefvoorstel voor transmissienettarieven te laten rapporteren aan de VREG.</t>
  </si>
  <si>
    <t>Veldnaam</t>
  </si>
  <si>
    <t>Tarief i.v.m. het gebruik van het transmissienet (exclusief federale bijdrage elektriciteit)</t>
  </si>
  <si>
    <t>HET TARIEF IN VERBAND MET HET GEBRUIK VAN HET TRANSMISSIENET (EXCL FEDERALE BIJDRAGE ELEKTRICITEIT)</t>
  </si>
  <si>
    <t xml:space="preserve">gas' de distributienetbeheerder een tariefvoorstel voor beide gereguleerde activiteiten via een welbepaald model te laten rapporteren aan de VREG. </t>
  </si>
  <si>
    <t>'gas' verdeeld worden over de verschillende tariefcomponenten. Hierbij dient de distributienetbeheerder zowel het toegelaten inkomen voor de exogene</t>
  </si>
  <si>
    <t>voor endogene kosten. Onderaan de tabel worden volgende percentages bepaald:</t>
  </si>
  <si>
    <t>Door de VREG toegelaten inkomen voor periodieke distributienettarieven m.b.t. de gereguleerde activiteit 'elektriciteit':</t>
  </si>
  <si>
    <t>Door de VREG toegelaten inkomen voor periodieke distributienettarieven m.b.t. de gereguleerde activiteit 'gas':</t>
  </si>
  <si>
    <t>Impact toepassing maximumtarief (m.b.t. piekgemeten klanten)</t>
  </si>
  <si>
    <t>Inzake de op te leveren informatie m.b.t. de toepassing van het maximumtarief, verwijst de VREG naar punt 2 in de bijlage 8 van de tariefmethodologie.</t>
  </si>
  <si>
    <t>ELEK - AFNAME</t>
  </si>
  <si>
    <t>ELEK - INJECTIE</t>
  </si>
  <si>
    <t>Toegelaten inkomen voor de endogene kosten</t>
  </si>
  <si>
    <t>Toegelaten inkomen voor de exogene kosten</t>
  </si>
  <si>
    <t>Totaal toegelaten inkomen voor gereguleerde activiteit 'elektriciteit'</t>
  </si>
  <si>
    <t>Totaal toegelaten inkomen voor gereguleerde activiteit 'gas'</t>
  </si>
  <si>
    <t>het toegelaten inkomen voor de exogene kosten en endogene kosten.</t>
  </si>
  <si>
    <t>TOEGEWEZEN TOEGELATEN INKOMEN (CFR. TABEL 3)</t>
  </si>
  <si>
    <t>TOEGEWEZEN TOEGELATEN INKOMEN (CFR. TABEL 10)</t>
  </si>
  <si>
    <t>De distributienetbeheerder kan vervolgens in de volgende tabellen per gereguleerde acitiviteit dit toegelaten inkomen verdelen over de verschillende tariefcomponenten en klantengroepen om uiteindelijk</t>
  </si>
  <si>
    <t>gelijk is aan het totaal door de VREG toegelaten inkomen voor de gereguleerde activiteit 'elektriciteit'.</t>
  </si>
  <si>
    <t>m.b.t. afname en injectie voor de gereguleerde activiteit 'elektriciteit, op eventuele afrondingsverschillen na.</t>
  </si>
  <si>
    <t>Met piekmeting - TRANS HS</t>
  </si>
  <si>
    <t>Met piekmeting - &gt;26-36 kV</t>
  </si>
  <si>
    <t>Met piekmeting - 26-1 kV</t>
  </si>
  <si>
    <t>Met piekmeting - LS</t>
  </si>
  <si>
    <t>Zonder piekmeting - &gt;26-36 kV</t>
  </si>
  <si>
    <t>Zonder piekmeting - 26-1 kV</t>
  </si>
  <si>
    <t>Zonder piekmeting - LS</t>
  </si>
  <si>
    <t>kWh dag</t>
  </si>
  <si>
    <t>kWh nacht</t>
  </si>
  <si>
    <t>Tarief onderschreven en bijkomend vermogen</t>
  </si>
  <si>
    <t>Het rapporteringsmodel heeft als doel om via een door de VREG toegelaten inkomen voor de gereguleerde activiteiten 'elektriciteit' en</t>
  </si>
  <si>
    <t>In het titelblad (de identificatie) vult de distributienetbeheerder de velden: tijdspanne waarvoor het tariefvoorstel wordt ingediend, distributienetbeheerder, ondernemingsnummer, BTW-regime en werkmaatschappij in.</t>
  </si>
  <si>
    <t xml:space="preserve">een periodiek distributienettarief per klantengroep en per tariefcomponent te bepalen. Hierbij is de distributienetbeheerder in de mogelijkheid om bij de verdeling over tariefcomponenten en klantengroepen een budget op te nemen </t>
  </si>
  <si>
    <t>In deze tabel wordt een reconciliatie gemaakt tussen de verwachte omzet en het gebudgetteerde inkomen voor de periodieke afnametarieven m.b.t. de gereguleerde activiteit 'elektriciteit'.</t>
  </si>
  <si>
    <t xml:space="preserve">overeen te komen met het gebudgetteerde inkomen voor de gereguleerde activiteit 'elektriciteit' (afname) per klantengroep (cfr. tabel 3), op eventuele afrondingsverschillen na. </t>
  </si>
  <si>
    <t>In deze tabel wordt een reconciliatie gemaakt tussen de verwachte omzet en het gebudgetteerde inkomen voor de periodieke injectietarieven m.b.t. de gereguleerde activiteit 'elektriciteit'.</t>
  </si>
  <si>
    <t xml:space="preserve">overeen te komen met het gebudgetteerde inkomen voor de gereguleerde activiteit 'elektriciteit' (injectie) per klantengroep (cfr tabel 3), op eventuele afrondingsverschillen na. </t>
  </si>
  <si>
    <t>In deze tabel wordt een reconciliatie gemaakt tussen de verwachte omzet en het gebudgetteerde inkomen voor de periodieke tarieven m.b.t. de gereguleerde activiteit 'gas'.</t>
  </si>
  <si>
    <t>overeen te komen met het gebudgetteerde inkomen voor de gereguleerde activiteit 'gas' per klantengroep (cfr tabel 10), op eventuele afrondingsverschillen na.</t>
  </si>
  <si>
    <t>Als controle wordt in de laatste twee kolommen van deze tabel per tariefcomponent een aansluiting gemaakt met het gebudgetteerde inkomen per tariefcomponent in 'tabel 2'.</t>
  </si>
  <si>
    <t>In deze tabel wordt de tariefmatrix m.b.t. de tariefstructuur voor elektriciteit (afname) opgenomen. Hierbij dient de distributienetbeheerder de specifieke tariefcodes,</t>
  </si>
  <si>
    <t>In deze tabel wordt de tariefmatrix m.b.t. de tariefstructuur voor elektriciteit (injectie) opgenomen. Hierbij dient de distributienetbeheerder de veldnamen,</t>
  </si>
  <si>
    <t xml:space="preserve">In deze tabel wordt de tariefmatrix m.b.t. de tariefstructuur voor gas opgenomen. Hierbij dient het tarief per tariefcomponent en per klantengroep worden opgegeven door </t>
  </si>
  <si>
    <t>kosten als het toegelaten inkomen voor de endogene kosten te verdelen over de verschillende tariefcomponenten. De distributienetbeheerder moet hierbij een gebudgetteerd inkomen opnemen dat maximaal</t>
  </si>
  <si>
    <t>Deze tabel geeft een overzicht van het gebudgetteerd inkomen voor de gereguleerde activiteit 'elektriciteit' opgesplitst per klantengroep en per tariefcomponent.</t>
  </si>
  <si>
    <t xml:space="preserve">Het gebudgetteerd inkomen voor de gereguleerde activiteit 'elektriciteit' wordt per klantengroep en per tariefcomponent verder opgesplitst over 'injectie' en 'afname' waarbij ook een verdere </t>
  </si>
  <si>
    <t xml:space="preserve">opsplitsing tussen het gebudgetteerd inkomen voor exogene kosten en het gebudgetteerd inkomen voor endogene kosten wordt gemaakt. Onderaan de tabel worden  </t>
  </si>
  <si>
    <t>- Relatief gewicht van elke klantengroep binnen het totaal gebudgetteerd inkomen.</t>
  </si>
  <si>
    <t>Verder wordt ook nagegaan dat de verwachte omzet uit zowel de afname- als injectietarieven m.b.t. de gereguleerde activiteit 'elektriciteit' overeen komt met (of is lager dan) het gebudgetteerde inkomen</t>
  </si>
  <si>
    <t>Deze tabel geeft een overzicht van het gebudgetteerd inkomen voor de gereguleerde activiteit 'gas' opgesplitst per klantengroep (KG1, KG2, KG3 en doorvoer) en per tariefcomponent.</t>
  </si>
  <si>
    <t>Het gebudgetteerd inkomen voor de gereguleerde activiteit 'gas' wordt per klantengroep en per tariefcomponent verder opgesplitst in een gebudgetteerd inkomen voor exogene kosten en een gebudgetteerd inkomen</t>
  </si>
  <si>
    <t>Als controle dient in deze tabel het totaal inkomen voor de exogene kosten en het totaal inkomen voor de endogene kosten per tariefcomponent aan te sluiten met de verdeling van het gebudgetteerd inkomen per tariefcomponent in 'tabel 9'.</t>
  </si>
  <si>
    <t>dat lager is dan zijn door de VREG toegelaten inkomen, verder het gebudgetteerd inkomen genoemd.</t>
  </si>
  <si>
    <t>gelijk is aan het totaal door de VREG toegelaten inkomen voor de gereguleerde activiteit 'gas'.</t>
  </si>
  <si>
    <t>Voor de opdeling van het gebudgetteerd inkomen over de tariefcomponenten en de klantengroepen dient de distributienetbeheerder de bepalingen in paragraaf 5.8.1. van de hoofdtekst van de tariefmethodologie te respecteren.</t>
  </si>
  <si>
    <t>Afbouw overschot (-) / tekort (+) van regulatoire rekeningen</t>
  </si>
  <si>
    <t>Afbouw overschot (-) / tekort (+) van regulatoire rekeningen:</t>
  </si>
  <si>
    <t xml:space="preserve">Zonder piekmeting: 26-1kV, Trans LS, LS &amp; prosumenten met terugdraaiende teller </t>
  </si>
  <si>
    <t>E210</t>
  </si>
  <si>
    <t>E230</t>
  </si>
  <si>
    <t>E240</t>
  </si>
  <si>
    <t>E215</t>
  </si>
  <si>
    <t>E320</t>
  </si>
  <si>
    <t>E310</t>
  </si>
  <si>
    <t>E840</t>
  </si>
  <si>
    <t>E890</t>
  </si>
  <si>
    <t>E250</t>
  </si>
  <si>
    <t>E211</t>
  </si>
  <si>
    <t>TOEPASSINGSMODALITEITEN</t>
  </si>
  <si>
    <t>- Definitie onderschreven vermogen in kW</t>
  </si>
  <si>
    <t>Het werkelijk maximum kwartiervermogen van de laatste 12 maanden, verbruiksmaand inbegrepen.</t>
  </si>
  <si>
    <t>kWh ex nacht</t>
  </si>
  <si>
    <t>- Hulpvoeding</t>
  </si>
  <si>
    <t>Bij een hulpvoeding gebeurt de aanrekening op basis van het maximum van de maand piek of 10% van het geïnstalleerd vermogen.</t>
  </si>
  <si>
    <t>tarief voor TRLS-hulpvoeding is gelijk aan tarief voor TRLS met piekmeting, met uitzondering van het maximum tarief dat niet van toepassing is op installaties voor hulpvoeding</t>
  </si>
  <si>
    <t>tarief voor LS-hulpvoeding is gelijk aan tarief voor LS met piekmeting, met uitzondering van het maximum tarief dat niet van toepassing is op installaties voor hulpvoeding</t>
  </si>
  <si>
    <t>- Tariefperiodes</t>
  </si>
  <si>
    <t>DAG</t>
  </si>
  <si>
    <t>NACHT</t>
  </si>
  <si>
    <t>1,2,</t>
  </si>
  <si>
    <t>Proportioneel tarief in EUR/kWh ifv afgenomen en geïnjecteerde kWh</t>
  </si>
  <si>
    <t>1,3.</t>
  </si>
  <si>
    <t>Tarief meet en telactiviteit</t>
  </si>
  <si>
    <t>Periodiek tarief per EAN zowel voor afname als injectiepunten.</t>
  </si>
  <si>
    <t>Dit tarief wordt dagnauwkeurig aangerekend en is functie van het type meter (AMR, MMR of jaaropname (budget)meter)</t>
  </si>
  <si>
    <t>Proportioneel tarief in EUR/kWh ifv afgenomen kwh</t>
  </si>
  <si>
    <t>Recht op forfaitaire afname : het weergegeven % is de forfaitaire hoeveelheid reactief in kVARh als % van de totale actieve energie van de betreffende maand.</t>
  </si>
  <si>
    <t>Voor de kVARh boven dit forfait wordt het tarief reactieve energie aangerekend.</t>
  </si>
  <si>
    <t>BTW - % (*)</t>
  </si>
  <si>
    <t>Inter-energa</t>
  </si>
  <si>
    <t>BE0207165769</t>
  </si>
  <si>
    <t>BTW-plichting</t>
  </si>
  <si>
    <t>Infrax</t>
  </si>
  <si>
    <t>(*) De gepubliceerde tarieven zijn tarieven exclusief BTW.</t>
  </si>
  <si>
    <t>TOEWIJZING:</t>
  </si>
  <si>
    <t>De toewijzing van een gebruiker uitgerust met een telemeteringsysteem aan de tariefcategorie T5 of T6 gebeurt op basis van zijn reëel verbruik van vorig kalenderjaar (extrapolatie volgens profiel van de klant in geval van onvolledig jaar) en blijft van toepassing gedurende het gehele betrokken kalenderjaar.</t>
  </si>
  <si>
    <t>Voor nieuwe gebruikers gebeurt de toewijzing op basis van een geschat jaarverbruik en de keuze van een meteringsysteem.</t>
  </si>
  <si>
    <t>FACTURATIE :</t>
  </si>
  <si>
    <t>Voor de gebruiker in jaaropnamesysteem dient eerst, op basis van zijn gemeten verbruik omgerekend naar één jaar, het tarief (T1, T2, T3 of T4) bepaald te worden. Indien dit tarief verschilt van het tarief waaraan de tussentijdse facturen werden opgesteld dan heeft de gebruiker recht op het meest gunstige tarief (= best billing principe). Voor de effectief toe te passen tarieven dienen de gemeten kWh over de verschillende tariefperioden verdeeld te worden op basis van zijn SLP met KCF. Voor de facturatie van de vaste term en van de meteringkost worden de jaartarieven geproratiseerd over het aantal dagen die de gemeten periode bestrijkt.</t>
  </si>
  <si>
    <t>De gemeten kWh van een gebruiker in maandopnamesysteem worden maandelijks definitief gefactureerd aan het tarief dat aan hem voor het betrokken kalenderjaar toegewezen werd. De vaste term en de meteringkost worden geproratiseerd over het aantal dagen die de gemeten periode bestrijkt. Van de regel om T4 gedurende het ganse kalenderjaar toe te passen op een klant zonder verbruikshistoriek, kan worden afgeweken indien 3 voorwaarden gelijktijdig vervuld zijn:</t>
  </si>
  <si>
    <t>- de klant (of zijn energieleverancier) vraagt uitdrukkelijk om het tarief te veranderen;</t>
  </si>
  <si>
    <t>- het bewijs wordt geleverd dat het reële of verwachte jaarverbruik lager ligt dan de drempel van 1 miljoen kWh;</t>
  </si>
  <si>
    <t>- het nieuwe verbruikspeil is duurzaam (meer dan één jaar).</t>
  </si>
  <si>
    <t>De rechtzetting gebeurt met retroactieve kracht (voor het lopende jaar).</t>
  </si>
  <si>
    <t>De gemeten kWh en capaciteiten van gebruikers uitgerust met een telemeteringsysteem worden maandelijks definitief gefactureerd aan het tarief dat aan hem voor het betrokken kalenderjaar toegewezen werd.</t>
  </si>
  <si>
    <t>NIET-TELEGEMETEN KLANTEN (*)</t>
  </si>
  <si>
    <t>TELEGEMETEN KLANTEN (*)</t>
  </si>
  <si>
    <t>Doorvervoer (*)</t>
  </si>
  <si>
    <t>III. Tarieven voor de complementaire diensten (**)</t>
  </si>
  <si>
    <t>IV. Tarieven voor de supplementaire diensten (**)</t>
  </si>
  <si>
    <t>(***)</t>
  </si>
  <si>
    <t>(****)</t>
  </si>
  <si>
    <t>De gepubliceerde doorvoertarieven zijn enkel geldig bij piekmeting.</t>
  </si>
  <si>
    <t>BTW - % (**)</t>
  </si>
  <si>
    <t>piekmeting (****)</t>
  </si>
  <si>
    <t>TRANS-LS (*)</t>
  </si>
  <si>
    <t>Met piekmeting: Trans HS, &gt;26- 36 kV, 26 - 1Kv, Trans LS , LS &amp; prosumenten met terugdraaiende teller</t>
  </si>
  <si>
    <t>Capaciteitsterm</t>
  </si>
  <si>
    <t>EUR/kWmax/maand (***)</t>
  </si>
  <si>
    <t>Proportionele term</t>
  </si>
  <si>
    <t>begrensd tot maximum tarief van</t>
  </si>
  <si>
    <t>Het tarief is functie van het door de netgebruiker geïnstalleerd maximaal AC-vermogen (kVA) van de omvormer (bij PV-installaties) of de generator (bij andere installaties). 
Indien het maximaal AC-vermogen niet gekend is door de distributienetbeheerder in kVA dient het maximaal AC-vermogen uitgedrukt in kW te worden gehanteerd.</t>
  </si>
  <si>
    <t xml:space="preserve">TRANS HS / &gt;26- 36 kV / 26-1 kV / TRANS-LS </t>
  </si>
  <si>
    <t>De toewijzing van een gebruiker in jaaropnamesysteem aan één van de tariefcategorieën T1, T2, T3 of T4 gebeurt op basis van zijn laatste gemeten verbruik omgerekend naar één jaar met behulp van zijn SLP  met KCF .</t>
  </si>
  <si>
    <t>De toewijzing van een gebruiker in maandopnamesysteem aan één van de tariefcategorieën T1, T2, T3 of T4 gebeurt op basis van het gemeten verbruik van vorig kalenderjaar (extrapolatie naar één jaar indien onvolledig jaar) en blijft van toepassing gedurende het gehele betrokken kalenderjaar.</t>
  </si>
  <si>
    <t>(**) Zie periodieke vergoedingen opgenomen onder punt 6.2. van de niet-periodieke distributienettarieven.</t>
  </si>
  <si>
    <t>Bij niet-piekmeting wordt voor de doorvoertarieven een vermindering van 25% toegekend op alle tariefcomponenten.</t>
  </si>
  <si>
    <t xml:space="preserve">(*) </t>
  </si>
  <si>
    <t xml:space="preserve">(**) </t>
  </si>
  <si>
    <t xml:space="preserve">De gepubliceerde tarieven zijn tarieven exclusief BTW.  De BTW-percentages die van toepassing zijn, worden vermeld per tariefcomponent. </t>
  </si>
  <si>
    <t>https://www.infrax.be/nl/Aansluitingen/tarieven/uren-dag-nachttarief</t>
  </si>
  <si>
    <t>≥ 5 MVA</t>
  </si>
  <si>
    <t>&lt; 5 MVA</t>
  </si>
  <si>
    <t>EUR/kWmax/jaar (***)</t>
  </si>
  <si>
    <t>EUR/jaar/maxcap</t>
  </si>
  <si>
    <t>DOORVOERTARIEVEN (*)</t>
  </si>
  <si>
    <t xml:space="preserve">TRANS-LS </t>
  </si>
  <si>
    <t>DOORVOER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</si>
</sst>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 #,##0.00\ &quot;€&quot;_-;\-* #,##0.00\ &quot;€&quot;_-;_-* &quot;-&quot;??\ &quot;€&quot;_-;_-@_-"/>
    <numFmt numFmtId="43" formatCode="_-* #,##0.00\ _€_-;\-* #,##0.00\ _€_-;_-* &quot;-&quot;??\ _€_-;_-@_-"/>
    <numFmt numFmtId="164" formatCode="_ * #,##0.00_ ;_ * \-#,##0.00_ ;_ * &quot;-&quot;??_ ;_ @_ "/>
    <numFmt numFmtId="165" formatCode="#,##0.00\ &quot;€&quot;"/>
    <numFmt numFmtId="166" formatCode="#,##0.000000"/>
    <numFmt numFmtId="167" formatCode="#,##0.0000"/>
    <numFmt numFmtId="168" formatCode="0.000000"/>
    <numFmt numFmtId="169" formatCode="#,##0.00000"/>
    <numFmt numFmtId="170" formatCode="#,##0.0"/>
    <numFmt numFmtId="171" formatCode="0.0%"/>
    <numFmt numFmtId="172" formatCode="#,##0_ ;\-#,##0\ "/>
    <numFmt numFmtId="173" formatCode="#,##0.00_ ;\-#,##0.00\ "/>
    <numFmt numFmtId="174" formatCode="0.0000000"/>
    <numFmt numFmtId="175" formatCode="#,##0.0000000_ ;\-#,##0.0000000\ "/>
    <numFmt numFmtId="176" formatCode="#,##0.00000_ ;\-#,##0.00000\ "/>
    <numFmt numFmtId="177" formatCode="#,##0.0000000"/>
    <numFmt numFmtId="178" formatCode="#.##000"/>
    <numFmt numFmtId="179" formatCode="#.##0,"/>
    <numFmt numFmtId="180" formatCode="\$#,#00"/>
    <numFmt numFmtId="181" formatCode="\$#,"/>
    <numFmt numFmtId="182" formatCode="#,#00"/>
    <numFmt numFmtId="183" formatCode="_-* #,##0.000\ _€_-;\-* #,##0.000\ _€_-;_-* &quot;-&quot;??\ _€_-;_-@_-"/>
    <numFmt numFmtId="184" formatCode="&quot;€&quot;\ #,##0.00_);\(&quot;€&quot;\ #,##0.00\)"/>
    <numFmt numFmtId="185" formatCode="%#,#00"/>
    <numFmt numFmtId="186" formatCode="0.00000"/>
    <numFmt numFmtId="187" formatCode="0.000"/>
  </numFmts>
  <fonts count="104">
    <font>
      <sz val="11"/>
      <color theme="1"/>
      <name val="Calibri"/>
      <family val="2"/>
      <scheme val="minor"/>
    </font>
    <font>
      <sz val="11"/>
      <color indexed="8"/>
      <name val="Calibri"/>
      <family val="2"/>
    </font>
    <font>
      <sz val="10"/>
      <name val="Arial"/>
      <family val="2"/>
    </font>
    <font>
      <b/>
      <sz val="10"/>
      <name val="Arial"/>
      <family val="2"/>
    </font>
    <font>
      <sz val="20"/>
      <name val="Arial"/>
      <family val="2"/>
    </font>
    <font>
      <b/>
      <sz val="20"/>
      <color indexed="9"/>
      <name val="Arial"/>
      <family val="2"/>
    </font>
    <font>
      <b/>
      <u/>
      <sz val="10"/>
      <name val="Arial"/>
      <family val="2"/>
    </font>
    <font>
      <sz val="10"/>
      <name val="Arial"/>
      <family val="2"/>
    </font>
    <font>
      <sz val="10"/>
      <color indexed="8"/>
      <name val="MS Sans Serif"/>
      <family val="2"/>
    </font>
    <font>
      <sz val="10"/>
      <color indexed="8"/>
      <name val="Arial"/>
      <family val="2"/>
    </font>
    <font>
      <u/>
      <sz val="10"/>
      <color indexed="12"/>
      <name val="Arial"/>
      <family val="2"/>
    </font>
    <font>
      <u/>
      <sz val="10"/>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2"/>
      <name val="Arial"/>
      <family val="2"/>
    </font>
    <font>
      <b/>
      <u/>
      <sz val="8"/>
      <name val="Arial"/>
      <family val="2"/>
    </font>
    <font>
      <b/>
      <sz val="8"/>
      <name val="Arial"/>
      <family val="2"/>
    </font>
    <font>
      <i/>
      <sz val="8"/>
      <name val="Arial"/>
      <family val="2"/>
    </font>
    <font>
      <b/>
      <vertAlign val="subscript"/>
      <sz val="10"/>
      <name val="Arial"/>
      <family val="2"/>
    </font>
    <font>
      <i/>
      <sz val="10"/>
      <name val="Arial"/>
      <family val="2"/>
    </font>
    <font>
      <sz val="10"/>
      <color indexed="12"/>
      <name val="Arial"/>
      <family val="2"/>
    </font>
    <font>
      <b/>
      <u/>
      <sz val="9"/>
      <name val="Arial"/>
      <family val="2"/>
    </font>
    <font>
      <b/>
      <sz val="14"/>
      <color indexed="10"/>
      <name val="Arial"/>
      <family val="2"/>
    </font>
    <font>
      <b/>
      <sz val="8"/>
      <color indexed="10"/>
      <name val="Arial"/>
      <family val="2"/>
    </font>
    <font>
      <b/>
      <sz val="10"/>
      <color indexed="10"/>
      <name val="Arial"/>
      <family val="2"/>
    </font>
    <font>
      <b/>
      <i/>
      <sz val="10"/>
      <name val="Arial"/>
      <family val="2"/>
    </font>
    <font>
      <b/>
      <sz val="10"/>
      <color indexed="12"/>
      <name val="Arial"/>
      <family val="2"/>
    </font>
    <font>
      <b/>
      <sz val="11"/>
      <name val="Arial"/>
      <family val="2"/>
    </font>
    <font>
      <sz val="12"/>
      <name val="Arial"/>
      <family val="2"/>
    </font>
    <font>
      <b/>
      <i/>
      <sz val="10"/>
      <color indexed="12"/>
      <name val="Arial"/>
      <family val="2"/>
    </font>
    <font>
      <i/>
      <sz val="10"/>
      <color indexed="12"/>
      <name val="Arial"/>
      <family val="2"/>
    </font>
    <font>
      <b/>
      <i/>
      <u/>
      <sz val="10"/>
      <name val="Arial"/>
      <family val="2"/>
    </font>
    <font>
      <sz val="8"/>
      <color indexed="12"/>
      <name val="Arial"/>
      <family val="2"/>
    </font>
    <font>
      <sz val="22"/>
      <name val="Arial"/>
      <family val="2"/>
    </font>
    <font>
      <sz val="9"/>
      <name val="Arial"/>
      <family val="2"/>
    </font>
    <font>
      <b/>
      <sz val="9"/>
      <name val="Arial"/>
      <family val="2"/>
    </font>
    <font>
      <b/>
      <i/>
      <sz val="12"/>
      <name val="Arial"/>
      <family val="2"/>
    </font>
    <font>
      <b/>
      <sz val="16"/>
      <name val="Arial"/>
      <family val="2"/>
    </font>
    <font>
      <b/>
      <i/>
      <sz val="11"/>
      <name val="Arial"/>
      <family val="2"/>
    </font>
    <font>
      <i/>
      <sz val="9"/>
      <name val="Arial"/>
      <family val="2"/>
    </font>
    <font>
      <sz val="10"/>
      <name val="Arial"/>
      <family val="2"/>
    </font>
    <font>
      <sz val="1"/>
      <color indexed="8"/>
      <name val="Courier"/>
      <family val="3"/>
    </font>
    <font>
      <sz val="12"/>
      <name val="Palatino"/>
      <family val="1"/>
    </font>
    <font>
      <b/>
      <sz val="1"/>
      <color indexed="8"/>
      <name val="Courier"/>
      <family val="3"/>
    </font>
    <font>
      <sz val="9"/>
      <color indexed="8"/>
      <name val="Calibri"/>
      <family val="2"/>
    </font>
    <font>
      <sz val="10"/>
      <name val="Courier"/>
      <family val="3"/>
    </font>
    <font>
      <b/>
      <sz val="9"/>
      <color indexed="9"/>
      <name val="Arial"/>
      <family val="2"/>
    </font>
    <font>
      <sz val="11"/>
      <color theme="1"/>
      <name val="Calibri"/>
      <family val="2"/>
      <scheme val="minor"/>
    </font>
    <font>
      <sz val="9"/>
      <color theme="1"/>
      <name val="Calibri"/>
      <family val="2"/>
      <scheme val="minor"/>
    </font>
    <font>
      <sz val="8"/>
      <color theme="1"/>
      <name val="Arial"/>
      <family val="2"/>
    </font>
    <font>
      <b/>
      <sz val="11"/>
      <color theme="1"/>
      <name val="Calibri"/>
      <family val="2"/>
      <scheme val="minor"/>
    </font>
    <font>
      <b/>
      <u/>
      <sz val="11"/>
      <color theme="1"/>
      <name val="Calibri"/>
      <family val="2"/>
      <scheme val="minor"/>
    </font>
    <font>
      <i/>
      <sz val="11"/>
      <color theme="1"/>
      <name val="Calibri"/>
      <family val="2"/>
      <scheme val="minor"/>
    </font>
    <font>
      <b/>
      <sz val="8"/>
      <color theme="4" tint="-0.249977111117893"/>
      <name val="Arial"/>
      <family val="2"/>
    </font>
    <font>
      <b/>
      <i/>
      <sz val="11"/>
      <name val="Calibri"/>
      <family val="2"/>
      <scheme val="minor"/>
    </font>
    <font>
      <b/>
      <sz val="11"/>
      <name val="Calibri"/>
      <family val="2"/>
      <scheme val="minor"/>
    </font>
    <font>
      <i/>
      <sz val="8"/>
      <color theme="1"/>
      <name val="Calibri"/>
      <family val="2"/>
      <scheme val="minor"/>
    </font>
    <font>
      <sz val="11"/>
      <name val="Calibri"/>
      <family val="2"/>
      <scheme val="minor"/>
    </font>
    <font>
      <i/>
      <sz val="10"/>
      <color theme="1"/>
      <name val="Calibri"/>
      <family val="2"/>
      <scheme val="minor"/>
    </font>
    <font>
      <sz val="10"/>
      <color theme="1"/>
      <name val="Calibri"/>
      <family val="2"/>
      <scheme val="minor"/>
    </font>
    <font>
      <sz val="8"/>
      <name val="Calibri"/>
      <family val="2"/>
      <scheme val="minor"/>
    </font>
    <font>
      <i/>
      <sz val="8"/>
      <name val="Calibri"/>
      <family val="2"/>
      <scheme val="minor"/>
    </font>
    <font>
      <i/>
      <sz val="8"/>
      <color theme="1"/>
      <name val="Arial"/>
      <family val="2"/>
    </font>
    <font>
      <sz val="8"/>
      <color theme="0"/>
      <name val="Arial"/>
      <family val="2"/>
    </font>
    <font>
      <b/>
      <sz val="14"/>
      <color theme="1"/>
      <name val="Calibri"/>
      <family val="2"/>
      <scheme val="minor"/>
    </font>
    <font>
      <sz val="11"/>
      <color rgb="FF7030A0"/>
      <name val="Calibri"/>
      <family val="2"/>
      <scheme val="minor"/>
    </font>
    <font>
      <b/>
      <sz val="10"/>
      <color rgb="FF7030A0"/>
      <name val="Arial"/>
      <family val="2"/>
    </font>
    <font>
      <sz val="10"/>
      <color rgb="FF7030A0"/>
      <name val="Arial"/>
      <family val="2"/>
    </font>
    <font>
      <sz val="8"/>
      <color indexed="10"/>
      <name val="Arial"/>
      <family val="2"/>
    </font>
    <font>
      <sz val="9"/>
      <color indexed="10"/>
      <name val="Arial"/>
      <family val="2"/>
    </font>
    <font>
      <b/>
      <sz val="9"/>
      <color indexed="10"/>
      <name val="Arial"/>
      <family val="2"/>
    </font>
    <font>
      <sz val="9"/>
      <color theme="0"/>
      <name val="Arial"/>
      <family val="2"/>
    </font>
    <font>
      <sz val="14"/>
      <color theme="0"/>
      <name val="Arial"/>
      <family val="2"/>
    </font>
    <font>
      <sz val="14"/>
      <color indexed="10"/>
      <name val="Arial"/>
      <family val="2"/>
    </font>
    <font>
      <sz val="9"/>
      <color indexed="8"/>
      <name val="Arial"/>
      <family val="2"/>
    </font>
    <font>
      <sz val="8"/>
      <color rgb="FF7030A0"/>
      <name val="Arial"/>
      <family val="2"/>
    </font>
    <font>
      <b/>
      <u/>
      <sz val="8"/>
      <color indexed="8"/>
      <name val="Arial"/>
      <family val="2"/>
    </font>
    <font>
      <b/>
      <u/>
      <sz val="9"/>
      <color indexed="8"/>
      <name val="Arial"/>
      <family val="2"/>
    </font>
    <font>
      <sz val="8"/>
      <color indexed="8"/>
      <name val="Arial"/>
      <family val="2"/>
    </font>
    <font>
      <b/>
      <u/>
      <sz val="8"/>
      <color rgb="FF7030A0"/>
      <name val="Arial"/>
      <family val="2"/>
    </font>
    <font>
      <u/>
      <sz val="11"/>
      <color theme="10"/>
      <name val="Calibri"/>
      <family val="2"/>
      <scheme val="minor"/>
    </font>
  </fonts>
  <fills count="38">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0"/>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lightUp">
        <bgColor theme="0"/>
      </patternFill>
    </fill>
    <fill>
      <patternFill patternType="solid">
        <fgColor rgb="FFFFFFB3"/>
        <bgColor indexed="64"/>
      </patternFill>
    </fill>
    <fill>
      <patternFill patternType="lightUp">
        <bgColor rgb="FFFFFFB3"/>
      </patternFill>
    </fill>
    <fill>
      <patternFill patternType="solid">
        <fgColor theme="0" tint="-0.14999847407452621"/>
        <bgColor indexed="64"/>
      </patternFill>
    </fill>
    <fill>
      <patternFill patternType="solid">
        <fgColor theme="6" tint="0.39997558519241921"/>
        <bgColor indexed="64"/>
      </patternFill>
    </fill>
  </fills>
  <borders count="1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bottom style="medium">
        <color indexed="9"/>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double">
        <color indexed="64"/>
      </right>
      <top/>
      <bottom style="hair">
        <color indexed="64"/>
      </bottom>
      <diagonal/>
    </border>
    <border>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medium">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diagonal/>
    </border>
    <border>
      <left style="medium">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medium">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73">
    <xf numFmtId="0" fontId="0" fillId="0" borderId="0"/>
    <xf numFmtId="0" fontId="2" fillId="0" borderId="0"/>
    <xf numFmtId="0" fontId="13" fillId="2" borderId="0" applyNumberFormat="0" applyBorder="0" applyAlignment="0" applyProtection="0"/>
    <xf numFmtId="0" fontId="14" fillId="12" borderId="1" applyNumberFormat="0" applyAlignment="0" applyProtection="0"/>
    <xf numFmtId="0" fontId="15" fillId="13" borderId="2" applyNumberFormat="0" applyAlignment="0" applyProtection="0"/>
    <xf numFmtId="178" fontId="64" fillId="0" borderId="0">
      <protection locked="0"/>
    </xf>
    <xf numFmtId="43" fontId="2" fillId="0" borderId="0" applyFont="0" applyFill="0" applyBorder="0" applyAlignment="0" applyProtection="0"/>
    <xf numFmtId="179" fontId="64" fillId="0" borderId="0">
      <protection locked="0"/>
    </xf>
    <xf numFmtId="180" fontId="64" fillId="0" borderId="0">
      <protection locked="0"/>
    </xf>
    <xf numFmtId="181" fontId="64" fillId="0" borderId="0">
      <protection locked="0"/>
    </xf>
    <xf numFmtId="0" fontId="64" fillId="0" borderId="0">
      <protection locked="0"/>
    </xf>
    <xf numFmtId="0" fontId="65" fillId="0" borderId="0" applyNumberForma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xf numFmtId="182" fontId="64" fillId="0" borderId="0">
      <protection locked="0"/>
    </xf>
    <xf numFmtId="0" fontId="17" fillId="3"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66" fillId="0" borderId="0">
      <protection locked="0"/>
    </xf>
    <xf numFmtId="0" fontId="66" fillId="0" borderId="0">
      <protection locked="0"/>
    </xf>
    <xf numFmtId="0" fontId="10" fillId="0" borderId="0" applyNumberFormat="0" applyFill="0" applyBorder="0" applyAlignment="0" applyProtection="0">
      <alignment vertical="top"/>
      <protection locked="0"/>
    </xf>
    <xf numFmtId="0" fontId="21" fillId="4" borderId="1" applyNumberFormat="0" applyAlignment="0" applyProtection="0"/>
    <xf numFmtId="0" fontId="2" fillId="0" borderId="0" applyFont="0" applyFill="0" applyBorder="0" applyAlignment="0" applyProtection="0"/>
    <xf numFmtId="0" fontId="2" fillId="0" borderId="0" applyFont="0" applyFill="0" applyBorder="0" applyAlignment="0" applyProtection="0"/>
    <xf numFmtId="18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164" fontId="67" fillId="0" borderId="0" applyFont="0" applyFill="0" applyBorder="0" applyAlignment="0" applyProtection="0"/>
    <xf numFmtId="184" fontId="2" fillId="0" borderId="0" applyFont="0" applyFill="0" applyBorder="0" applyAlignment="0" applyProtection="0"/>
    <xf numFmtId="171" fontId="67" fillId="0" borderId="0" applyFont="0" applyFill="0" applyBorder="0" applyAlignment="0" applyProtection="0"/>
    <xf numFmtId="164" fontId="67"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43" fontId="2" fillId="0" borderId="0" applyFont="0" applyFill="0" applyBorder="0" applyAlignment="0" applyProtection="0"/>
    <xf numFmtId="164" fontId="7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2" fillId="0" borderId="3" applyNumberFormat="0" applyFill="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0" fontId="23" fillId="14" borderId="0" applyNumberFormat="0" applyBorder="0" applyAlignment="0" applyProtection="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2" fillId="0" borderId="0"/>
    <xf numFmtId="0" fontId="8" fillId="0" borderId="0"/>
    <xf numFmtId="0" fontId="9" fillId="0" borderId="0">
      <alignment vertical="top"/>
    </xf>
    <xf numFmtId="0" fontId="2" fillId="15" borderId="7" applyNumberFormat="0" applyFont="0" applyAlignment="0" applyProtection="0"/>
    <xf numFmtId="0" fontId="68" fillId="0" borderId="0"/>
    <xf numFmtId="0" fontId="24" fillId="12" borderId="8" applyNumberFormat="0" applyAlignment="0" applyProtection="0"/>
    <xf numFmtId="185" fontId="64" fillId="0" borderId="0">
      <protection locked="0"/>
    </xf>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5" fillId="14" borderId="9" applyNumberFormat="0" applyProtection="0">
      <alignment vertical="center"/>
    </xf>
    <xf numFmtId="4" fontId="26" fillId="16" borderId="9" applyNumberFormat="0" applyProtection="0">
      <alignment vertical="center"/>
    </xf>
    <xf numFmtId="4" fontId="25" fillId="16" borderId="9" applyNumberFormat="0" applyProtection="0">
      <alignment horizontal="left" vertical="center" indent="1"/>
    </xf>
    <xf numFmtId="0" fontId="25" fillId="16" borderId="9" applyNumberFormat="0" applyProtection="0">
      <alignment horizontal="left" vertical="top" indent="1"/>
    </xf>
    <xf numFmtId="4" fontId="25" fillId="17" borderId="0" applyNumberFormat="0" applyProtection="0">
      <alignment horizontal="left" vertical="center" indent="1"/>
    </xf>
    <xf numFmtId="4" fontId="25" fillId="18" borderId="0" applyNumberFormat="0" applyProtection="0">
      <alignment horizontal="left" vertical="center" indent="1"/>
    </xf>
    <xf numFmtId="4" fontId="9" fillId="2" borderId="9" applyNumberFormat="0" applyProtection="0">
      <alignment horizontal="right" vertical="center"/>
    </xf>
    <xf numFmtId="4" fontId="9" fillId="5" borderId="9" applyNumberFormat="0" applyProtection="0">
      <alignment horizontal="right" vertical="center"/>
    </xf>
    <xf numFmtId="4" fontId="9" fillId="9" borderId="9" applyNumberFormat="0" applyProtection="0">
      <alignment horizontal="right" vertical="center"/>
    </xf>
    <xf numFmtId="4" fontId="9" fillId="7" borderId="9" applyNumberFormat="0" applyProtection="0">
      <alignment horizontal="right" vertical="center"/>
    </xf>
    <xf numFmtId="4" fontId="9" fillId="8" borderId="9" applyNumberFormat="0" applyProtection="0">
      <alignment horizontal="right" vertical="center"/>
    </xf>
    <xf numFmtId="4" fontId="9" fillId="11" borderId="9" applyNumberFormat="0" applyProtection="0">
      <alignment horizontal="right" vertical="center"/>
    </xf>
    <xf numFmtId="4" fontId="9" fillId="10" borderId="9" applyNumberFormat="0" applyProtection="0">
      <alignment horizontal="right" vertical="center"/>
    </xf>
    <xf numFmtId="4" fontId="9" fillId="19" borderId="9" applyNumberFormat="0" applyProtection="0">
      <alignment horizontal="right" vertical="center"/>
    </xf>
    <xf numFmtId="4" fontId="9" fillId="6" borderId="9" applyNumberFormat="0" applyProtection="0">
      <alignment horizontal="right" vertical="center"/>
    </xf>
    <xf numFmtId="4" fontId="25" fillId="20" borderId="10" applyNumberFormat="0" applyProtection="0">
      <alignment horizontal="left" vertical="center" indent="1"/>
    </xf>
    <xf numFmtId="4" fontId="9" fillId="21" borderId="0" applyNumberFormat="0" applyProtection="0">
      <alignment horizontal="left" vertical="center" indent="1"/>
    </xf>
    <xf numFmtId="4" fontId="27" fillId="22" borderId="0" applyNumberFormat="0" applyProtection="0">
      <alignment horizontal="left" vertical="center" indent="1"/>
    </xf>
    <xf numFmtId="4" fontId="9" fillId="18" borderId="9" applyNumberFormat="0" applyProtection="0">
      <alignment horizontal="right" vertical="center"/>
    </xf>
    <xf numFmtId="4" fontId="9" fillId="21" borderId="0" applyNumberFormat="0" applyProtection="0">
      <alignment horizontal="left" vertical="center" indent="1"/>
    </xf>
    <xf numFmtId="4" fontId="9" fillId="17" borderId="0" applyNumberFormat="0" applyProtection="0">
      <alignment horizontal="left" vertical="center" indent="1"/>
    </xf>
    <xf numFmtId="0" fontId="2" fillId="22" borderId="9" applyNumberFormat="0" applyProtection="0">
      <alignment horizontal="left" vertical="center" indent="1"/>
    </xf>
    <xf numFmtId="0" fontId="2" fillId="22" borderId="9" applyNumberFormat="0" applyProtection="0">
      <alignment horizontal="left" vertical="top" indent="1"/>
    </xf>
    <xf numFmtId="0" fontId="2" fillId="17" borderId="9" applyNumberFormat="0" applyProtection="0">
      <alignment horizontal="left" vertical="center" indent="1"/>
    </xf>
    <xf numFmtId="0" fontId="2" fillId="17" borderId="9" applyNumberFormat="0" applyProtection="0">
      <alignment horizontal="left" vertical="top" indent="1"/>
    </xf>
    <xf numFmtId="0" fontId="2" fillId="23" borderId="9" applyNumberFormat="0" applyProtection="0">
      <alignment horizontal="left" vertical="center" indent="1"/>
    </xf>
    <xf numFmtId="0" fontId="2" fillId="23" borderId="9" applyNumberFormat="0" applyProtection="0">
      <alignment horizontal="left" vertical="top" indent="1"/>
    </xf>
    <xf numFmtId="0" fontId="2" fillId="24" borderId="9" applyNumberFormat="0" applyProtection="0">
      <alignment horizontal="left" vertical="center" indent="1"/>
    </xf>
    <xf numFmtId="0" fontId="2" fillId="24" borderId="9" applyNumberFormat="0" applyProtection="0">
      <alignment horizontal="left" vertical="top" indent="1"/>
    </xf>
    <xf numFmtId="0" fontId="2" fillId="25" borderId="11" applyNumberFormat="0">
      <protection locked="0"/>
    </xf>
    <xf numFmtId="4" fontId="9" fillId="26" borderId="9" applyNumberFormat="0" applyProtection="0">
      <alignment vertical="center"/>
    </xf>
    <xf numFmtId="4" fontId="28" fillId="26" borderId="9" applyNumberFormat="0" applyProtection="0">
      <alignment vertical="center"/>
    </xf>
    <xf numFmtId="4" fontId="9" fillId="26" borderId="9" applyNumberFormat="0" applyProtection="0">
      <alignment horizontal="left" vertical="center" indent="1"/>
    </xf>
    <xf numFmtId="0" fontId="9" fillId="26" borderId="9" applyNumberFormat="0" applyProtection="0">
      <alignment horizontal="left" vertical="top" indent="1"/>
    </xf>
    <xf numFmtId="4" fontId="9" fillId="21" borderId="9" applyNumberFormat="0" applyProtection="0">
      <alignment horizontal="right" vertical="center"/>
    </xf>
    <xf numFmtId="4" fontId="28" fillId="21" borderId="9" applyNumberFormat="0" applyProtection="0">
      <alignment horizontal="right" vertical="center"/>
    </xf>
    <xf numFmtId="4" fontId="9" fillId="18" borderId="9" applyNumberFormat="0" applyProtection="0">
      <alignment horizontal="left" vertical="center" indent="1"/>
    </xf>
    <xf numFmtId="4" fontId="9" fillId="18" borderId="9" applyNumberFormat="0" applyProtection="0">
      <alignment horizontal="left" vertical="center" indent="1"/>
    </xf>
    <xf numFmtId="0" fontId="9" fillId="17" borderId="9" applyNumberFormat="0" applyProtection="0">
      <alignment horizontal="left" vertical="top" indent="1"/>
    </xf>
    <xf numFmtId="4" fontId="29" fillId="27" borderId="0" applyNumberFormat="0" applyProtection="0">
      <alignment horizontal="left" vertical="center" indent="1"/>
    </xf>
    <xf numFmtId="4" fontId="30" fillId="21" borderId="9" applyNumberFormat="0" applyProtection="0">
      <alignment horizontal="right" vertical="center"/>
    </xf>
    <xf numFmtId="0" fontId="31" fillId="0" borderId="0" applyNumberFormat="0" applyFill="0" applyBorder="0" applyAlignment="0" applyProtection="0"/>
    <xf numFmtId="0" fontId="2" fillId="0" borderId="0"/>
    <xf numFmtId="0" fontId="2" fillId="0" borderId="0"/>
    <xf numFmtId="0" fontId="2" fillId="0" borderId="0"/>
    <xf numFmtId="0" fontId="7" fillId="0" borderId="0"/>
    <xf numFmtId="0" fontId="2" fillId="0" borderId="0">
      <alignment vertical="top"/>
    </xf>
    <xf numFmtId="0" fontId="2" fillId="0" borderId="0"/>
    <xf numFmtId="0" fontId="2" fillId="0" borderId="0">
      <alignment vertical="top"/>
    </xf>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2" fillId="0" borderId="0">
      <alignment vertical="top"/>
    </xf>
    <xf numFmtId="0" fontId="2" fillId="0" borderId="0">
      <alignment vertical="top"/>
    </xf>
    <xf numFmtId="0" fontId="2" fillId="0" borderId="0"/>
    <xf numFmtId="0" fontId="2" fillId="0" borderId="0"/>
    <xf numFmtId="0" fontId="70" fillId="0" borderId="0"/>
    <xf numFmtId="0" fontId="2" fillId="0" borderId="0">
      <alignment vertical="top"/>
    </xf>
    <xf numFmtId="0" fontId="70" fillId="0" borderId="0"/>
    <xf numFmtId="0" fontId="70" fillId="0" borderId="0"/>
    <xf numFmtId="0" fontId="70" fillId="0" borderId="0"/>
    <xf numFmtId="0" fontId="70" fillId="0" borderId="0"/>
    <xf numFmtId="0" fontId="70" fillId="0" borderId="0"/>
    <xf numFmtId="0" fontId="1"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72" fillId="0" borderId="0"/>
    <xf numFmtId="0" fontId="2" fillId="0" borderId="0"/>
    <xf numFmtId="0" fontId="2" fillId="0" borderId="0"/>
    <xf numFmtId="0" fontId="2" fillId="0" borderId="0"/>
    <xf numFmtId="0" fontId="71" fillId="0" borderId="0"/>
    <xf numFmtId="0" fontId="63" fillId="0" borderId="0"/>
    <xf numFmtId="0" fontId="8" fillId="0" borderId="0"/>
    <xf numFmtId="0" fontId="2" fillId="0" borderId="0"/>
    <xf numFmtId="0" fontId="2" fillId="0" borderId="0"/>
    <xf numFmtId="0" fontId="9" fillId="0" borderId="0">
      <alignment vertical="top"/>
    </xf>
    <xf numFmtId="0" fontId="9" fillId="0" borderId="0">
      <alignment vertical="top"/>
    </xf>
    <xf numFmtId="0" fontId="32" fillId="0" borderId="0" applyNumberFormat="0" applyFill="0" applyBorder="0" applyAlignment="0" applyProtection="0"/>
    <xf numFmtId="0" fontId="33" fillId="0" borderId="12" applyNumberFormat="0" applyFill="0" applyAlignment="0" applyProtection="0"/>
    <xf numFmtId="44" fontId="2" fillId="0" borderId="0" applyFont="0" applyFill="0" applyBorder="0" applyAlignment="0" applyProtection="0"/>
    <xf numFmtId="0" fontId="34" fillId="0" borderId="0" applyNumberFormat="0" applyFill="0" applyBorder="0" applyAlignment="0" applyProtection="0"/>
    <xf numFmtId="0" fontId="69" fillId="28" borderId="13"/>
    <xf numFmtId="0" fontId="103" fillId="0" borderId="0" applyNumberFormat="0" applyFill="0" applyBorder="0" applyAlignment="0" applyProtection="0"/>
    <xf numFmtId="43" fontId="70" fillId="0" borderId="0" applyFont="0" applyFill="0" applyBorder="0" applyAlignment="0" applyProtection="0"/>
    <xf numFmtId="0" fontId="2" fillId="0" borderId="0"/>
    <xf numFmtId="0" fontId="2" fillId="0" borderId="0"/>
    <xf numFmtId="0" fontId="71" fillId="0" borderId="0"/>
  </cellStyleXfs>
  <cellXfs count="1793">
    <xf numFmtId="0" fontId="0" fillId="0" borderId="0" xfId="0"/>
    <xf numFmtId="0" fontId="0" fillId="30" borderId="0" xfId="0" applyFill="1"/>
    <xf numFmtId="0" fontId="74" fillId="30" borderId="0" xfId="0" applyFont="1" applyFill="1"/>
    <xf numFmtId="0" fontId="0" fillId="30" borderId="0" xfId="0" applyFill="1" applyAlignment="1"/>
    <xf numFmtId="0" fontId="3" fillId="30" borderId="0" xfId="0" applyFont="1" applyFill="1" applyBorder="1" applyAlignment="1">
      <alignment horizontal="center"/>
    </xf>
    <xf numFmtId="0" fontId="0" fillId="30" borderId="11" xfId="0" applyFill="1" applyBorder="1"/>
    <xf numFmtId="165" fontId="0" fillId="30" borderId="11" xfId="0" applyNumberFormat="1" applyFill="1" applyBorder="1"/>
    <xf numFmtId="0" fontId="75" fillId="30" borderId="11" xfId="0" applyFont="1" applyFill="1" applyBorder="1"/>
    <xf numFmtId="165" fontId="75" fillId="30" borderId="11" xfId="0" applyNumberFormat="1" applyFont="1" applyFill="1" applyBorder="1"/>
    <xf numFmtId="0" fontId="3" fillId="30" borderId="0" xfId="0" applyFont="1" applyFill="1"/>
    <xf numFmtId="0" fontId="10" fillId="0" borderId="0" xfId="22" applyFill="1" applyAlignment="1" applyProtection="1"/>
    <xf numFmtId="0" fontId="10" fillId="0" borderId="0" xfId="22" applyAlignment="1" applyProtection="1"/>
    <xf numFmtId="0" fontId="2" fillId="0" borderId="0" xfId="225" applyFont="1" applyFill="1" applyProtection="1"/>
    <xf numFmtId="0" fontId="3" fillId="0" borderId="0" xfId="225" applyFont="1" applyFill="1" applyProtection="1"/>
    <xf numFmtId="0" fontId="3" fillId="0" borderId="0" xfId="225" applyFont="1" applyFill="1" applyAlignment="1" applyProtection="1">
      <alignment horizontal="center"/>
    </xf>
    <xf numFmtId="0" fontId="4" fillId="31" borderId="0" xfId="225" applyFont="1" applyFill="1" applyProtection="1"/>
    <xf numFmtId="0" fontId="5" fillId="31" borderId="14" xfId="225" applyFont="1" applyFill="1" applyBorder="1" applyAlignment="1" applyProtection="1"/>
    <xf numFmtId="0" fontId="5" fillId="31" borderId="0" xfId="225" applyFont="1" applyFill="1" applyBorder="1" applyAlignment="1" applyProtection="1"/>
    <xf numFmtId="0" fontId="4" fillId="0" borderId="0" xfId="225" applyFont="1" applyFill="1" applyProtection="1"/>
    <xf numFmtId="0" fontId="2" fillId="30" borderId="0" xfId="225" applyFont="1" applyFill="1" applyProtection="1"/>
    <xf numFmtId="0" fontId="3" fillId="30" borderId="0" xfId="225" applyFont="1" applyFill="1" applyProtection="1"/>
    <xf numFmtId="44" fontId="2" fillId="30" borderId="0" xfId="265" applyFont="1" applyFill="1" applyBorder="1" applyAlignment="1" applyProtection="1">
      <alignment horizontal="center"/>
    </xf>
    <xf numFmtId="0" fontId="3" fillId="30" borderId="0" xfId="221" applyFont="1" applyFill="1" applyProtection="1"/>
    <xf numFmtId="0" fontId="6" fillId="0" borderId="0" xfId="225" applyFont="1" applyFill="1" applyProtection="1"/>
    <xf numFmtId="0" fontId="2" fillId="0" borderId="0" xfId="225" applyFont="1" applyAlignment="1" applyProtection="1"/>
    <xf numFmtId="0" fontId="2" fillId="0" borderId="0" xfId="225" quotePrefix="1" applyFont="1" applyAlignment="1" applyProtection="1"/>
    <xf numFmtId="0" fontId="2" fillId="0" borderId="0" xfId="225" applyNumberFormat="1" applyFont="1" applyAlignment="1" applyProtection="1"/>
    <xf numFmtId="0" fontId="2" fillId="0" borderId="0" xfId="1" applyFont="1" applyProtection="1"/>
    <xf numFmtId="0" fontId="2" fillId="16" borderId="11" xfId="258" applyFont="1" applyFill="1" applyBorder="1" applyProtection="1"/>
    <xf numFmtId="0" fontId="2" fillId="0" borderId="0" xfId="225" applyFont="1" applyFill="1" applyAlignment="1" applyProtection="1">
      <alignment vertical="top"/>
    </xf>
    <xf numFmtId="0" fontId="2" fillId="29" borderId="0" xfId="258" applyFont="1" applyFill="1" applyBorder="1" applyProtection="1"/>
    <xf numFmtId="0" fontId="2" fillId="30" borderId="11" xfId="258" applyFont="1" applyFill="1" applyBorder="1" applyAlignment="1" applyProtection="1">
      <alignment horizontal="left" vertical="top" wrapText="1"/>
    </xf>
    <xf numFmtId="0" fontId="2" fillId="30" borderId="0" xfId="225" applyFont="1" applyFill="1" applyBorder="1" applyProtection="1"/>
    <xf numFmtId="0" fontId="2" fillId="30" borderId="0" xfId="258" applyFont="1" applyFill="1" applyBorder="1" applyAlignment="1" applyProtection="1">
      <alignment horizontal="left" vertical="top"/>
    </xf>
    <xf numFmtId="0" fontId="2" fillId="0" borderId="0" xfId="225" applyFont="1" applyFill="1" applyAlignment="1" applyProtection="1"/>
    <xf numFmtId="0" fontId="9" fillId="29" borderId="0" xfId="258" applyFont="1" applyFill="1" applyBorder="1" applyProtection="1"/>
    <xf numFmtId="0" fontId="2" fillId="32" borderId="11" xfId="258" applyFont="1" applyFill="1" applyBorder="1" applyProtection="1"/>
    <xf numFmtId="0" fontId="2" fillId="30" borderId="0" xfId="1" applyFont="1" applyFill="1" applyProtection="1"/>
    <xf numFmtId="0" fontId="2" fillId="33" borderId="11" xfId="258" applyFont="1" applyFill="1" applyBorder="1" applyAlignment="1" applyProtection="1">
      <alignment horizontal="left" vertical="top" wrapText="1"/>
    </xf>
    <xf numFmtId="0" fontId="2" fillId="30" borderId="0" xfId="225" applyFont="1" applyFill="1" applyAlignment="1" applyProtection="1">
      <alignment horizontal="left" vertical="top"/>
    </xf>
    <xf numFmtId="0" fontId="2" fillId="30" borderId="0" xfId="225" applyFont="1" applyFill="1" applyAlignment="1" applyProtection="1">
      <alignment vertical="top" wrapText="1"/>
    </xf>
    <xf numFmtId="0" fontId="2" fillId="0" borderId="0" xfId="225" applyFont="1" applyProtection="1"/>
    <xf numFmtId="0" fontId="2" fillId="0" borderId="0" xfId="225" quotePrefix="1" applyFont="1" applyFill="1" applyProtection="1"/>
    <xf numFmtId="0" fontId="36" fillId="30" borderId="0" xfId="232" applyFont="1" applyFill="1" applyProtection="1"/>
    <xf numFmtId="0" fontId="76" fillId="30" borderId="0" xfId="259" applyFont="1" applyFill="1" applyProtection="1"/>
    <xf numFmtId="0" fontId="12" fillId="30" borderId="0" xfId="232" applyFont="1" applyFill="1" applyProtection="1"/>
    <xf numFmtId="0" fontId="50" fillId="30" borderId="0" xfId="259" applyFont="1" applyFill="1" applyProtection="1"/>
    <xf numFmtId="0" fontId="39" fillId="30" borderId="0" xfId="259" applyFont="1" applyFill="1" applyProtection="1"/>
    <xf numFmtId="0" fontId="39" fillId="30" borderId="0" xfId="259" applyFont="1" applyFill="1" applyBorder="1" applyAlignment="1" applyProtection="1">
      <alignment horizontal="center"/>
    </xf>
    <xf numFmtId="4" fontId="46" fillId="30" borderId="0" xfId="259" applyNumberFormat="1" applyFont="1" applyFill="1" applyProtection="1"/>
    <xf numFmtId="0" fontId="46" fillId="30" borderId="0" xfId="259" applyFont="1" applyFill="1" applyProtection="1"/>
    <xf numFmtId="0" fontId="0" fillId="30" borderId="0" xfId="0" applyFill="1" applyProtection="1"/>
    <xf numFmtId="0" fontId="3" fillId="0" borderId="0" xfId="232" applyFont="1" applyFill="1" applyProtection="1"/>
    <xf numFmtId="0" fontId="2" fillId="0" borderId="0" xfId="232" applyFill="1" applyProtection="1"/>
    <xf numFmtId="0" fontId="2" fillId="0" borderId="0" xfId="232" applyFill="1" applyAlignment="1" applyProtection="1">
      <alignment horizontal="right"/>
    </xf>
    <xf numFmtId="0" fontId="2" fillId="0" borderId="0" xfId="232" applyFill="1" applyBorder="1" applyProtection="1"/>
    <xf numFmtId="0" fontId="37" fillId="0" borderId="15" xfId="232" applyFont="1" applyFill="1" applyBorder="1" applyProtection="1"/>
    <xf numFmtId="0" fontId="37" fillId="0" borderId="16" xfId="232" applyFont="1" applyFill="1" applyBorder="1" applyProtection="1"/>
    <xf numFmtId="0" fontId="37" fillId="0" borderId="17" xfId="232" applyFont="1" applyFill="1" applyBorder="1" applyAlignment="1" applyProtection="1">
      <alignment horizontal="right"/>
    </xf>
    <xf numFmtId="0" fontId="3" fillId="0" borderId="0" xfId="232" applyFont="1" applyFill="1" applyAlignment="1" applyProtection="1">
      <alignment horizontal="right" vertical="center"/>
    </xf>
    <xf numFmtId="0" fontId="3" fillId="0" borderId="18" xfId="232" applyFont="1" applyFill="1" applyBorder="1" applyAlignment="1" applyProtection="1">
      <alignment horizontal="center" vertical="center"/>
    </xf>
    <xf numFmtId="0" fontId="3" fillId="0" borderId="19" xfId="232" applyFont="1" applyFill="1" applyBorder="1" applyAlignment="1" applyProtection="1">
      <alignment horizontal="center" vertical="center"/>
    </xf>
    <xf numFmtId="0" fontId="3" fillId="0" borderId="20" xfId="232" applyFont="1" applyFill="1" applyBorder="1" applyAlignment="1" applyProtection="1">
      <alignment horizontal="center" vertical="center"/>
    </xf>
    <xf numFmtId="0" fontId="3" fillId="0" borderId="21" xfId="232" applyFont="1" applyFill="1" applyBorder="1" applyAlignment="1" applyProtection="1">
      <alignment horizontal="center" vertical="center"/>
    </xf>
    <xf numFmtId="0" fontId="37" fillId="0" borderId="0" xfId="232" applyFont="1" applyFill="1" applyBorder="1" applyAlignment="1" applyProtection="1"/>
    <xf numFmtId="0" fontId="37" fillId="0" borderId="0" xfId="232" applyFont="1" applyFill="1" applyProtection="1"/>
    <xf numFmtId="0" fontId="38" fillId="0" borderId="14" xfId="232" applyFont="1" applyFill="1" applyBorder="1" applyProtection="1"/>
    <xf numFmtId="0" fontId="39" fillId="0" borderId="0" xfId="232" applyFont="1" applyFill="1" applyBorder="1" applyProtection="1"/>
    <xf numFmtId="0" fontId="39" fillId="0" borderId="22" xfId="232" applyFont="1" applyFill="1" applyBorder="1" applyAlignment="1" applyProtection="1">
      <alignment horizontal="right"/>
    </xf>
    <xf numFmtId="0" fontId="39" fillId="0" borderId="0" xfId="232" applyFont="1" applyFill="1" applyAlignment="1" applyProtection="1">
      <alignment horizontal="right" vertical="center"/>
    </xf>
    <xf numFmtId="165" fontId="40" fillId="30" borderId="18" xfId="265" applyNumberFormat="1" applyFont="1" applyFill="1" applyBorder="1" applyAlignment="1" applyProtection="1">
      <alignment horizontal="left"/>
    </xf>
    <xf numFmtId="165" fontId="40" fillId="30" borderId="19" xfId="265" applyNumberFormat="1" applyFont="1" applyFill="1" applyBorder="1" applyAlignment="1" applyProtection="1">
      <alignment horizontal="left"/>
    </xf>
    <xf numFmtId="165" fontId="40" fillId="30" borderId="20" xfId="265" applyNumberFormat="1" applyFont="1" applyFill="1" applyBorder="1" applyAlignment="1" applyProtection="1">
      <alignment horizontal="left"/>
    </xf>
    <xf numFmtId="165" fontId="40" fillId="30" borderId="21" xfId="265" applyNumberFormat="1" applyFont="1" applyFill="1" applyBorder="1" applyAlignment="1" applyProtection="1">
      <alignment horizontal="left"/>
    </xf>
    <xf numFmtId="0" fontId="39" fillId="0" borderId="0" xfId="232" applyFont="1" applyFill="1" applyProtection="1"/>
    <xf numFmtId="0" fontId="6" fillId="0" borderId="23" xfId="232" applyFont="1" applyFill="1" applyBorder="1" applyProtection="1"/>
    <xf numFmtId="0" fontId="6" fillId="0" borderId="24" xfId="232" applyFont="1" applyFill="1" applyBorder="1" applyProtection="1"/>
    <xf numFmtId="0" fontId="6" fillId="0" borderId="25" xfId="232" applyFont="1" applyFill="1" applyBorder="1" applyAlignment="1" applyProtection="1">
      <alignment horizontal="right"/>
    </xf>
    <xf numFmtId="0" fontId="2" fillId="0" borderId="0" xfId="232" applyFont="1" applyFill="1" applyAlignment="1" applyProtection="1"/>
    <xf numFmtId="165" fontId="3" fillId="0" borderId="23" xfId="232" applyNumberFormat="1" applyFont="1" applyFill="1" applyBorder="1" applyAlignment="1" applyProtection="1"/>
    <xf numFmtId="10" fontId="3" fillId="30" borderId="26" xfId="159" applyNumberFormat="1" applyFont="1" applyFill="1" applyBorder="1" applyAlignment="1" applyProtection="1">
      <alignment horizontal="right"/>
    </xf>
    <xf numFmtId="165" fontId="3" fillId="0" borderId="27" xfId="232" applyNumberFormat="1" applyFont="1" applyFill="1" applyBorder="1" applyAlignment="1" applyProtection="1"/>
    <xf numFmtId="10" fontId="3" fillId="30" borderId="28" xfId="159" applyNumberFormat="1" applyFont="1" applyFill="1" applyBorder="1" applyAlignment="1" applyProtection="1">
      <alignment horizontal="right"/>
    </xf>
    <xf numFmtId="165" fontId="3" fillId="0" borderId="29" xfId="232" applyNumberFormat="1" applyFont="1" applyFill="1" applyBorder="1" applyAlignment="1" applyProtection="1"/>
    <xf numFmtId="0" fontId="2" fillId="0" borderId="0" xfId="232" applyFont="1" applyFill="1" applyProtection="1"/>
    <xf numFmtId="10" fontId="2" fillId="30" borderId="30" xfId="159" applyNumberFormat="1" applyFont="1" applyFill="1" applyBorder="1" applyAlignment="1" applyProtection="1">
      <alignment horizontal="right"/>
    </xf>
    <xf numFmtId="165" fontId="2" fillId="30" borderId="31" xfId="265" applyNumberFormat="1" applyFont="1" applyFill="1" applyBorder="1" applyProtection="1"/>
    <xf numFmtId="0" fontId="2" fillId="0" borderId="23" xfId="232" applyFont="1" applyFill="1" applyBorder="1" applyProtection="1"/>
    <xf numFmtId="0" fontId="54" fillId="0" borderId="24" xfId="232" applyFont="1" applyFill="1" applyBorder="1" applyProtection="1"/>
    <xf numFmtId="4" fontId="2" fillId="30" borderId="23" xfId="232" applyNumberFormat="1" applyFont="1" applyFill="1" applyBorder="1" applyAlignment="1" applyProtection="1"/>
    <xf numFmtId="4" fontId="2" fillId="30" borderId="24" xfId="232" applyNumberFormat="1" applyFont="1" applyFill="1" applyBorder="1" applyAlignment="1" applyProtection="1"/>
    <xf numFmtId="4" fontId="2" fillId="30" borderId="31" xfId="232" applyNumberFormat="1" applyFont="1" applyFill="1" applyBorder="1" applyAlignment="1" applyProtection="1"/>
    <xf numFmtId="0" fontId="2" fillId="0" borderId="24" xfId="232" applyFont="1" applyFill="1" applyBorder="1" applyProtection="1"/>
    <xf numFmtId="166" fontId="3" fillId="0" borderId="24" xfId="232" applyNumberFormat="1" applyFont="1" applyFill="1" applyBorder="1" applyAlignment="1" applyProtection="1">
      <alignment horizontal="left" indent="2"/>
    </xf>
    <xf numFmtId="0" fontId="2" fillId="0" borderId="25" xfId="232" applyFont="1" applyFill="1" applyBorder="1" applyAlignment="1" applyProtection="1">
      <alignment horizontal="right"/>
    </xf>
    <xf numFmtId="166" fontId="3" fillId="0" borderId="24" xfId="232" quotePrefix="1" applyNumberFormat="1" applyFont="1" applyFill="1" applyBorder="1" applyAlignment="1" applyProtection="1">
      <alignment horizontal="left" indent="2"/>
    </xf>
    <xf numFmtId="166" fontId="11" fillId="0" borderId="24" xfId="232" applyNumberFormat="1" applyFont="1" applyFill="1" applyBorder="1" applyAlignment="1" applyProtection="1">
      <alignment horizontal="left" indent="2"/>
    </xf>
    <xf numFmtId="0" fontId="2" fillId="0" borderId="32" xfId="232" applyFont="1" applyFill="1" applyBorder="1" applyAlignment="1" applyProtection="1">
      <alignment horizontal="right"/>
    </xf>
    <xf numFmtId="3" fontId="42" fillId="30" borderId="25" xfId="265" applyNumberFormat="1" applyFont="1" applyFill="1" applyBorder="1" applyAlignment="1" applyProtection="1">
      <alignment horizontal="left" indent="2"/>
    </xf>
    <xf numFmtId="0" fontId="2" fillId="0" borderId="0" xfId="232" applyNumberFormat="1" applyFont="1" applyFill="1" applyAlignment="1" applyProtection="1">
      <alignment horizontal="left"/>
    </xf>
    <xf numFmtId="4" fontId="42" fillId="30" borderId="23" xfId="265" applyNumberFormat="1" applyFont="1" applyFill="1" applyBorder="1" applyAlignment="1" applyProtection="1">
      <alignment horizontal="right"/>
    </xf>
    <xf numFmtId="10" fontId="42" fillId="30" borderId="30" xfId="159" applyNumberFormat="1" applyFont="1" applyFill="1" applyBorder="1" applyAlignment="1" applyProtection="1">
      <alignment horizontal="right"/>
    </xf>
    <xf numFmtId="4" fontId="42" fillId="30" borderId="24" xfId="265" applyNumberFormat="1" applyFont="1" applyFill="1" applyBorder="1" applyAlignment="1" applyProtection="1">
      <alignment horizontal="right"/>
    </xf>
    <xf numFmtId="166" fontId="11" fillId="0" borderId="24" xfId="232" applyNumberFormat="1" applyFont="1" applyFill="1" applyBorder="1" applyProtection="1"/>
    <xf numFmtId="3" fontId="42" fillId="30" borderId="25" xfId="265" applyNumberFormat="1" applyFont="1" applyFill="1" applyBorder="1" applyAlignment="1" applyProtection="1">
      <alignment horizontal="left" wrapText="1" indent="2"/>
    </xf>
    <xf numFmtId="0" fontId="2" fillId="30" borderId="23" xfId="232" applyFont="1" applyFill="1" applyBorder="1" applyProtection="1"/>
    <xf numFmtId="0" fontId="2" fillId="30" borderId="24" xfId="232" applyFont="1" applyFill="1" applyBorder="1" applyProtection="1"/>
    <xf numFmtId="165" fontId="42" fillId="30" borderId="24" xfId="265" applyNumberFormat="1" applyFont="1" applyFill="1" applyBorder="1" applyAlignment="1" applyProtection="1">
      <alignment horizontal="right"/>
    </xf>
    <xf numFmtId="3" fontId="42" fillId="30" borderId="25" xfId="265" applyNumberFormat="1" applyFont="1" applyFill="1" applyBorder="1" applyAlignment="1" applyProtection="1">
      <alignment horizontal="left"/>
    </xf>
    <xf numFmtId="0" fontId="2" fillId="30" borderId="0" xfId="232" applyFont="1" applyFill="1" applyProtection="1"/>
    <xf numFmtId="166" fontId="2" fillId="0" borderId="24" xfId="232" applyNumberFormat="1" applyFont="1" applyFill="1" applyBorder="1" applyAlignment="1" applyProtection="1">
      <alignment horizontal="right"/>
    </xf>
    <xf numFmtId="4" fontId="2" fillId="30" borderId="23" xfId="232" applyNumberFormat="1" applyFont="1" applyFill="1" applyBorder="1" applyAlignment="1" applyProtection="1">
      <alignment horizontal="right"/>
    </xf>
    <xf numFmtId="4" fontId="2" fillId="30" borderId="24" xfId="232" applyNumberFormat="1" applyFont="1" applyFill="1" applyBorder="1" applyAlignment="1" applyProtection="1">
      <alignment horizontal="right"/>
    </xf>
    <xf numFmtId="0" fontId="2" fillId="30" borderId="25" xfId="232" applyFont="1" applyFill="1" applyBorder="1" applyAlignment="1" applyProtection="1">
      <alignment horizontal="right"/>
    </xf>
    <xf numFmtId="167" fontId="2" fillId="0" borderId="0" xfId="232" applyNumberFormat="1" applyFont="1" applyFill="1" applyAlignment="1" applyProtection="1"/>
    <xf numFmtId="0" fontId="3" fillId="0" borderId="24" xfId="232" applyFont="1" applyFill="1" applyBorder="1" applyProtection="1"/>
    <xf numFmtId="0" fontId="2" fillId="30" borderId="0" xfId="232" applyNumberFormat="1" applyFont="1" applyFill="1" applyAlignment="1" applyProtection="1">
      <alignment horizontal="left"/>
    </xf>
    <xf numFmtId="166" fontId="2" fillId="0" borderId="25" xfId="232" applyNumberFormat="1" applyFont="1" applyFill="1" applyBorder="1" applyAlignment="1" applyProtection="1">
      <alignment horizontal="right"/>
    </xf>
    <xf numFmtId="4" fontId="42" fillId="30" borderId="31" xfId="265" applyNumberFormat="1" applyFont="1" applyFill="1" applyBorder="1" applyAlignment="1" applyProtection="1">
      <alignment horizontal="right"/>
    </xf>
    <xf numFmtId="0" fontId="2" fillId="0" borderId="24" xfId="232" applyFont="1" applyFill="1" applyBorder="1" applyAlignment="1" applyProtection="1">
      <alignment horizontal="left"/>
    </xf>
    <xf numFmtId="4" fontId="2" fillId="0" borderId="0" xfId="232" applyNumberFormat="1" applyFont="1" applyFill="1" applyAlignment="1" applyProtection="1"/>
    <xf numFmtId="0" fontId="43" fillId="0" borderId="23" xfId="232" applyFont="1" applyFill="1" applyBorder="1" applyProtection="1"/>
    <xf numFmtId="0" fontId="43" fillId="0" borderId="24" xfId="232" applyFont="1" applyFill="1" applyBorder="1" applyProtection="1"/>
    <xf numFmtId="0" fontId="43" fillId="0" borderId="0" xfId="232" applyFont="1" applyFill="1" applyProtection="1"/>
    <xf numFmtId="0" fontId="2" fillId="0" borderId="25" xfId="232" applyFont="1" applyFill="1" applyBorder="1" applyAlignment="1" applyProtection="1">
      <alignment horizontal="left" indent="2"/>
    </xf>
    <xf numFmtId="4" fontId="43" fillId="30" borderId="23" xfId="232" applyNumberFormat="1" applyFont="1" applyFill="1" applyBorder="1" applyAlignment="1" applyProtection="1">
      <alignment horizontal="right"/>
    </xf>
    <xf numFmtId="10" fontId="43" fillId="30" borderId="30" xfId="159" applyNumberFormat="1" applyFont="1" applyFill="1" applyBorder="1" applyAlignment="1" applyProtection="1">
      <alignment horizontal="right"/>
    </xf>
    <xf numFmtId="4" fontId="43" fillId="30" borderId="24" xfId="232" applyNumberFormat="1" applyFont="1" applyFill="1" applyBorder="1" applyAlignment="1" applyProtection="1">
      <alignment horizontal="right"/>
    </xf>
    <xf numFmtId="4" fontId="43" fillId="30" borderId="31" xfId="232" applyNumberFormat="1" applyFont="1" applyFill="1" applyBorder="1" applyAlignment="1" applyProtection="1">
      <alignment horizontal="right"/>
    </xf>
    <xf numFmtId="0" fontId="6" fillId="30" borderId="25" xfId="232" applyFont="1" applyFill="1" applyBorder="1" applyAlignment="1" applyProtection="1">
      <alignment horizontal="right"/>
    </xf>
    <xf numFmtId="165" fontId="3" fillId="30" borderId="23" xfId="265" applyNumberFormat="1" applyFont="1" applyFill="1" applyBorder="1" applyProtection="1"/>
    <xf numFmtId="10" fontId="3" fillId="30" borderId="30" xfId="159" applyNumberFormat="1" applyFont="1" applyFill="1" applyBorder="1" applyAlignment="1" applyProtection="1">
      <alignment horizontal="right"/>
    </xf>
    <xf numFmtId="165" fontId="3" fillId="30" borderId="24" xfId="265" applyNumberFormat="1" applyFont="1" applyFill="1" applyBorder="1" applyProtection="1"/>
    <xf numFmtId="165" fontId="3" fillId="30" borderId="31" xfId="265" applyNumberFormat="1" applyFont="1" applyFill="1" applyBorder="1" applyProtection="1"/>
    <xf numFmtId="0" fontId="44" fillId="0" borderId="24" xfId="232" applyFont="1" applyFill="1" applyBorder="1" applyAlignment="1" applyProtection="1">
      <alignment horizontal="left" wrapText="1"/>
    </xf>
    <xf numFmtId="0" fontId="44" fillId="0" borderId="25" xfId="232" applyFont="1" applyFill="1" applyBorder="1" applyAlignment="1" applyProtection="1">
      <alignment horizontal="left" wrapText="1"/>
    </xf>
    <xf numFmtId="0" fontId="2" fillId="0" borderId="0" xfId="232" applyFont="1" applyFill="1" applyAlignment="1" applyProtection="1">
      <alignment horizontal="center"/>
    </xf>
    <xf numFmtId="165" fontId="3" fillId="30" borderId="23" xfId="232" applyNumberFormat="1" applyFont="1" applyFill="1" applyBorder="1" applyAlignment="1" applyProtection="1">
      <alignment horizontal="right"/>
    </xf>
    <xf numFmtId="165" fontId="3" fillId="30" borderId="24" xfId="232" applyNumberFormat="1" applyFont="1" applyFill="1" applyBorder="1" applyAlignment="1" applyProtection="1">
      <alignment horizontal="right"/>
    </xf>
    <xf numFmtId="165" fontId="3" fillId="30" borderId="31" xfId="232" applyNumberFormat="1" applyFont="1" applyFill="1" applyBorder="1" applyAlignment="1" applyProtection="1">
      <alignment horizontal="right"/>
    </xf>
    <xf numFmtId="0" fontId="2" fillId="0" borderId="24" xfId="232" applyFont="1" applyFill="1" applyBorder="1" applyAlignment="1" applyProtection="1">
      <alignment horizontal="center"/>
    </xf>
    <xf numFmtId="3" fontId="2" fillId="0" borderId="0" xfId="232" applyNumberFormat="1" applyFont="1" applyFill="1" applyAlignment="1" applyProtection="1"/>
    <xf numFmtId="4" fontId="2" fillId="30" borderId="31" xfId="232" applyNumberFormat="1" applyFont="1" applyFill="1" applyBorder="1" applyAlignment="1" applyProtection="1">
      <alignment horizontal="right"/>
    </xf>
    <xf numFmtId="0" fontId="2" fillId="0" borderId="24" xfId="232" applyFont="1" applyFill="1" applyBorder="1" applyAlignment="1" applyProtection="1">
      <alignment vertical="center"/>
    </xf>
    <xf numFmtId="0" fontId="2" fillId="0" borderId="0" xfId="232" applyFont="1" applyFill="1" applyAlignment="1" applyProtection="1">
      <alignment horizontal="center" vertical="center"/>
    </xf>
    <xf numFmtId="10" fontId="2" fillId="30" borderId="30" xfId="159" applyNumberFormat="1" applyFont="1" applyFill="1" applyBorder="1" applyAlignment="1" applyProtection="1">
      <alignment horizontal="right" vertical="center"/>
    </xf>
    <xf numFmtId="165" fontId="2" fillId="30" borderId="31" xfId="265" applyNumberFormat="1" applyFont="1" applyFill="1" applyBorder="1" applyAlignment="1" applyProtection="1">
      <alignment vertical="center"/>
    </xf>
    <xf numFmtId="0" fontId="2" fillId="0" borderId="23" xfId="232" applyFont="1" applyFill="1" applyBorder="1" applyAlignment="1" applyProtection="1">
      <alignment vertical="top"/>
    </xf>
    <xf numFmtId="0" fontId="2" fillId="0" borderId="0" xfId="232" applyFont="1" applyFill="1" applyAlignment="1" applyProtection="1">
      <alignment vertical="center"/>
    </xf>
    <xf numFmtId="0" fontId="2" fillId="0" borderId="0" xfId="232" applyFont="1" applyFill="1" applyAlignment="1" applyProtection="1">
      <alignment vertical="top"/>
    </xf>
    <xf numFmtId="0" fontId="2" fillId="0" borderId="33" xfId="232" applyFont="1" applyFill="1" applyBorder="1" applyAlignment="1" applyProtection="1">
      <alignment vertical="top"/>
    </xf>
    <xf numFmtId="0" fontId="2" fillId="0" borderId="34" xfId="232" applyFont="1" applyFill="1" applyBorder="1" applyAlignment="1" applyProtection="1">
      <alignment vertical="center"/>
    </xf>
    <xf numFmtId="0" fontId="2" fillId="30" borderId="33" xfId="232" applyFont="1" applyFill="1" applyBorder="1" applyAlignment="1" applyProtection="1">
      <alignment vertical="top"/>
    </xf>
    <xf numFmtId="0" fontId="6" fillId="30" borderId="34" xfId="232" applyFont="1" applyFill="1" applyBorder="1" applyAlignment="1" applyProtection="1">
      <alignment vertical="top"/>
    </xf>
    <xf numFmtId="0" fontId="2" fillId="30" borderId="34" xfId="232" applyFont="1" applyFill="1" applyBorder="1" applyAlignment="1" applyProtection="1">
      <alignment vertical="top" wrapText="1"/>
    </xf>
    <xf numFmtId="3" fontId="42" fillId="30" borderId="32" xfId="265" applyNumberFormat="1" applyFont="1" applyFill="1" applyBorder="1" applyAlignment="1" applyProtection="1">
      <alignment horizontal="left" vertical="top" indent="2"/>
    </xf>
    <xf numFmtId="0" fontId="2" fillId="30" borderId="0" xfId="232" applyFont="1" applyFill="1" applyAlignment="1" applyProtection="1">
      <alignment vertical="top"/>
    </xf>
    <xf numFmtId="4" fontId="42" fillId="30" borderId="33" xfId="265" applyNumberFormat="1" applyFont="1" applyFill="1" applyBorder="1" applyAlignment="1" applyProtection="1">
      <alignment horizontal="right" vertical="top"/>
    </xf>
    <xf numFmtId="10" fontId="42" fillId="30" borderId="35" xfId="159" applyNumberFormat="1" applyFont="1" applyFill="1" applyBorder="1" applyAlignment="1" applyProtection="1">
      <alignment horizontal="right" vertical="top"/>
    </xf>
    <xf numFmtId="4" fontId="42" fillId="30" borderId="34" xfId="265" applyNumberFormat="1" applyFont="1" applyFill="1" applyBorder="1" applyAlignment="1" applyProtection="1">
      <alignment horizontal="right" vertical="top"/>
    </xf>
    <xf numFmtId="4" fontId="42" fillId="30" borderId="36" xfId="265" applyNumberFormat="1" applyFont="1" applyFill="1" applyBorder="1" applyAlignment="1" applyProtection="1">
      <alignment horizontal="right" vertical="top"/>
    </xf>
    <xf numFmtId="3" fontId="42" fillId="30" borderId="32" xfId="265" applyNumberFormat="1" applyFont="1" applyFill="1" applyBorder="1" applyAlignment="1" applyProtection="1">
      <alignment horizontal="left" indent="2"/>
    </xf>
    <xf numFmtId="4" fontId="42" fillId="30" borderId="33" xfId="265" applyNumberFormat="1" applyFont="1" applyFill="1" applyBorder="1" applyAlignment="1" applyProtection="1">
      <alignment horizontal="right"/>
    </xf>
    <xf numFmtId="10" fontId="42" fillId="30" borderId="35" xfId="159" applyNumberFormat="1" applyFont="1" applyFill="1" applyBorder="1" applyAlignment="1" applyProtection="1">
      <alignment horizontal="right"/>
    </xf>
    <xf numFmtId="4" fontId="42" fillId="30" borderId="34" xfId="265" applyNumberFormat="1" applyFont="1" applyFill="1" applyBorder="1" applyAlignment="1" applyProtection="1">
      <alignment horizontal="right"/>
    </xf>
    <xf numFmtId="4" fontId="42" fillId="30" borderId="36" xfId="265" applyNumberFormat="1" applyFont="1" applyFill="1" applyBorder="1" applyAlignment="1" applyProtection="1">
      <alignment horizontal="right"/>
    </xf>
    <xf numFmtId="0" fontId="38" fillId="0" borderId="18" xfId="232" applyFont="1" applyFill="1" applyBorder="1" applyProtection="1"/>
    <xf numFmtId="0" fontId="3" fillId="0" borderId="20" xfId="232" applyFont="1" applyFill="1" applyBorder="1" applyProtection="1"/>
    <xf numFmtId="0" fontId="39" fillId="0" borderId="20" xfId="232" applyFont="1" applyFill="1" applyBorder="1" applyProtection="1"/>
    <xf numFmtId="0" fontId="39" fillId="0" borderId="37" xfId="232" applyFont="1" applyFill="1" applyBorder="1" applyAlignment="1" applyProtection="1">
      <alignment horizontal="right"/>
    </xf>
    <xf numFmtId="0" fontId="39" fillId="0" borderId="0" xfId="232" applyFont="1" applyFill="1" applyAlignment="1" applyProtection="1"/>
    <xf numFmtId="165" fontId="3" fillId="30" borderId="18" xfId="232" applyNumberFormat="1" applyFont="1" applyFill="1" applyBorder="1" applyAlignment="1" applyProtection="1">
      <alignment horizontal="right"/>
    </xf>
    <xf numFmtId="10" fontId="3" fillId="30" borderId="19" xfId="159" applyNumberFormat="1" applyFont="1" applyFill="1" applyBorder="1" applyAlignment="1" applyProtection="1">
      <alignment horizontal="right"/>
    </xf>
    <xf numFmtId="165" fontId="3" fillId="30" borderId="20" xfId="232" applyNumberFormat="1" applyFont="1" applyFill="1" applyBorder="1" applyAlignment="1" applyProtection="1">
      <alignment horizontal="right"/>
    </xf>
    <xf numFmtId="165" fontId="3" fillId="30" borderId="21" xfId="232" applyNumberFormat="1" applyFont="1" applyFill="1" applyBorder="1" applyAlignment="1" applyProtection="1">
      <alignment horizontal="right"/>
    </xf>
    <xf numFmtId="0" fontId="12" fillId="0" borderId="0" xfId="232" applyFont="1" applyFill="1" applyProtection="1"/>
    <xf numFmtId="0" fontId="12" fillId="0" borderId="0" xfId="232" applyFont="1" applyFill="1" applyAlignment="1" applyProtection="1">
      <alignment horizontal="right"/>
    </xf>
    <xf numFmtId="0" fontId="12" fillId="0" borderId="0" xfId="232" applyFont="1" applyFill="1" applyAlignment="1" applyProtection="1"/>
    <xf numFmtId="0" fontId="39" fillId="0" borderId="0" xfId="232" applyFont="1" applyFill="1" applyAlignment="1" applyProtection="1">
      <alignment horizontal="left"/>
    </xf>
    <xf numFmtId="0" fontId="39" fillId="0" borderId="0" xfId="232" applyFont="1" applyFill="1" applyAlignment="1" applyProtection="1">
      <alignment horizontal="right"/>
    </xf>
    <xf numFmtId="165" fontId="2" fillId="34" borderId="23" xfId="265" applyNumberFormat="1" applyFont="1" applyFill="1" applyBorder="1" applyProtection="1">
      <protection locked="0"/>
    </xf>
    <xf numFmtId="165" fontId="2" fillId="34" borderId="24" xfId="265" applyNumberFormat="1" applyFont="1" applyFill="1" applyBorder="1" applyProtection="1">
      <protection locked="0"/>
    </xf>
    <xf numFmtId="165" fontId="2" fillId="34" borderId="23" xfId="265" applyNumberFormat="1" applyFont="1" applyFill="1" applyBorder="1" applyAlignment="1" applyProtection="1">
      <alignment vertical="center"/>
      <protection locked="0"/>
    </xf>
    <xf numFmtId="165" fontId="3" fillId="34" borderId="23" xfId="265" applyNumberFormat="1" applyFont="1" applyFill="1" applyBorder="1" applyProtection="1">
      <protection locked="0"/>
    </xf>
    <xf numFmtId="165" fontId="3" fillId="34" borderId="24" xfId="265" applyNumberFormat="1" applyFont="1" applyFill="1" applyBorder="1" applyProtection="1">
      <protection locked="0"/>
    </xf>
    <xf numFmtId="165" fontId="2" fillId="34" borderId="24" xfId="265" applyNumberFormat="1" applyFont="1" applyFill="1" applyBorder="1" applyAlignment="1" applyProtection="1">
      <alignment vertical="center"/>
      <protection locked="0"/>
    </xf>
    <xf numFmtId="0" fontId="37" fillId="30" borderId="14" xfId="259" applyFont="1" applyFill="1" applyBorder="1" applyAlignment="1" applyProtection="1"/>
    <xf numFmtId="0" fontId="37" fillId="30" borderId="0" xfId="259" applyFont="1" applyFill="1" applyBorder="1" applyAlignment="1" applyProtection="1"/>
    <xf numFmtId="4" fontId="45" fillId="30" borderId="0" xfId="259" applyNumberFormat="1" applyFont="1" applyFill="1" applyProtection="1"/>
    <xf numFmtId="4" fontId="45" fillId="30" borderId="0" xfId="259" applyNumberFormat="1" applyFont="1" applyFill="1" applyBorder="1" applyProtection="1"/>
    <xf numFmtId="0" fontId="45" fillId="30" borderId="0" xfId="259" applyFont="1" applyFill="1" applyProtection="1"/>
    <xf numFmtId="0" fontId="12" fillId="30" borderId="0" xfId="259" applyFont="1" applyFill="1" applyBorder="1" applyProtection="1"/>
    <xf numFmtId="4" fontId="46" fillId="30" borderId="0" xfId="259" applyNumberFormat="1" applyFont="1" applyFill="1" applyBorder="1" applyProtection="1"/>
    <xf numFmtId="0" fontId="3" fillId="30" borderId="0" xfId="259" applyFont="1" applyFill="1" applyProtection="1"/>
    <xf numFmtId="0" fontId="2" fillId="30" borderId="0" xfId="259" applyFont="1" applyFill="1" applyBorder="1" applyProtection="1"/>
    <xf numFmtId="0" fontId="47" fillId="30" borderId="0" xfId="259" applyFont="1" applyFill="1" applyProtection="1"/>
    <xf numFmtId="0" fontId="2" fillId="30" borderId="0" xfId="259" applyFont="1" applyFill="1" applyProtection="1"/>
    <xf numFmtId="0" fontId="3" fillId="30" borderId="0" xfId="259" applyFont="1" applyFill="1" applyBorder="1" applyProtection="1"/>
    <xf numFmtId="0" fontId="3" fillId="30" borderId="15" xfId="0" applyFont="1" applyFill="1" applyBorder="1" applyProtection="1"/>
    <xf numFmtId="0" fontId="3" fillId="30" borderId="16" xfId="0" applyFont="1" applyFill="1" applyBorder="1" applyProtection="1"/>
    <xf numFmtId="0" fontId="2" fillId="30" borderId="16" xfId="0" applyFont="1" applyFill="1" applyBorder="1" applyProtection="1"/>
    <xf numFmtId="10" fontId="3" fillId="30" borderId="38" xfId="0" applyNumberFormat="1" applyFont="1" applyFill="1" applyBorder="1" applyAlignment="1" applyProtection="1">
      <alignment horizontal="center" vertical="center"/>
    </xf>
    <xf numFmtId="0" fontId="3" fillId="30" borderId="0" xfId="0" applyNumberFormat="1" applyFont="1" applyFill="1" applyBorder="1" applyAlignment="1" applyProtection="1">
      <alignment vertical="center"/>
    </xf>
    <xf numFmtId="0" fontId="3" fillId="30" borderId="14" xfId="0" applyFont="1" applyFill="1" applyBorder="1" applyProtection="1"/>
    <xf numFmtId="0" fontId="3" fillId="30" borderId="0" xfId="0" applyFont="1" applyFill="1" applyBorder="1" applyProtection="1"/>
    <xf numFmtId="0" fontId="2" fillId="30" borderId="0" xfId="0" applyFont="1" applyFill="1" applyBorder="1" applyProtection="1"/>
    <xf numFmtId="4" fontId="2" fillId="30" borderId="0" xfId="0" applyNumberFormat="1" applyFont="1" applyFill="1" applyBorder="1" applyProtection="1"/>
    <xf numFmtId="0" fontId="2" fillId="30" borderId="22" xfId="0" applyFont="1" applyFill="1" applyBorder="1" applyProtection="1"/>
    <xf numFmtId="0" fontId="3" fillId="30" borderId="39" xfId="0" applyFont="1" applyFill="1" applyBorder="1" applyAlignment="1" applyProtection="1">
      <alignment horizontal="center" vertical="center"/>
    </xf>
    <xf numFmtId="0" fontId="3" fillId="30" borderId="3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4" fontId="2" fillId="30" borderId="0" xfId="0" applyNumberFormat="1" applyFont="1" applyFill="1" applyProtection="1"/>
    <xf numFmtId="0" fontId="3" fillId="30" borderId="40" xfId="0" applyFont="1" applyFill="1" applyBorder="1" applyProtection="1"/>
    <xf numFmtId="0" fontId="3" fillId="30" borderId="41" xfId="0" applyFont="1" applyFill="1" applyBorder="1" applyProtection="1"/>
    <xf numFmtId="0" fontId="2" fillId="30" borderId="41" xfId="0" applyFont="1" applyFill="1" applyBorder="1" applyProtection="1"/>
    <xf numFmtId="0" fontId="2" fillId="30" borderId="42" xfId="0" applyFont="1" applyFill="1" applyBorder="1" applyProtection="1"/>
    <xf numFmtId="0" fontId="3" fillId="30" borderId="43" xfId="0" applyFont="1" applyFill="1" applyBorder="1" applyProtection="1"/>
    <xf numFmtId="0" fontId="48" fillId="30" borderId="44" xfId="0" applyFont="1" applyFill="1" applyBorder="1" applyProtection="1"/>
    <xf numFmtId="0" fontId="3" fillId="30" borderId="44" xfId="0" applyFont="1" applyFill="1" applyBorder="1" applyProtection="1"/>
    <xf numFmtId="0" fontId="2" fillId="30" borderId="44" xfId="0" applyFont="1" applyFill="1" applyBorder="1" applyProtection="1"/>
    <xf numFmtId="3" fontId="49" fillId="30" borderId="45" xfId="0" applyNumberFormat="1" applyFont="1" applyFill="1" applyBorder="1" applyAlignment="1" applyProtection="1">
      <alignment horizontal="right"/>
    </xf>
    <xf numFmtId="4" fontId="49" fillId="30" borderId="45" xfId="0" applyNumberFormat="1" applyFont="1" applyFill="1" applyBorder="1" applyAlignment="1" applyProtection="1">
      <alignment horizontal="right"/>
    </xf>
    <xf numFmtId="4" fontId="49" fillId="30" borderId="38" xfId="0" applyNumberFormat="1" applyFont="1" applyFill="1" applyBorder="1" applyAlignment="1" applyProtection="1">
      <alignment horizontal="right"/>
    </xf>
    <xf numFmtId="10" fontId="49" fillId="30" borderId="45" xfId="159" applyNumberFormat="1" applyFont="1" applyFill="1" applyBorder="1" applyAlignment="1" applyProtection="1">
      <alignment horizontal="right"/>
    </xf>
    <xf numFmtId="0" fontId="3" fillId="30" borderId="46" xfId="0" applyFont="1" applyFill="1" applyBorder="1" applyProtection="1"/>
    <xf numFmtId="0" fontId="3" fillId="30" borderId="47" xfId="0" applyFont="1" applyFill="1" applyBorder="1" applyProtection="1"/>
    <xf numFmtId="165" fontId="3" fillId="30" borderId="48" xfId="0" applyNumberFormat="1" applyFont="1" applyFill="1" applyBorder="1" applyAlignment="1" applyProtection="1">
      <alignment horizontal="right"/>
    </xf>
    <xf numFmtId="165" fontId="3" fillId="30" borderId="38" xfId="0" applyNumberFormat="1" applyFont="1" applyFill="1" applyBorder="1" applyAlignment="1" applyProtection="1">
      <alignment horizontal="right"/>
    </xf>
    <xf numFmtId="10" fontId="3" fillId="30" borderId="48" xfId="159" applyNumberFormat="1" applyFont="1" applyFill="1" applyBorder="1" applyAlignment="1" applyProtection="1">
      <alignment horizontal="right"/>
    </xf>
    <xf numFmtId="0" fontId="3" fillId="30" borderId="48" xfId="159" applyNumberFormat="1" applyFont="1" applyFill="1" applyBorder="1" applyAlignment="1" applyProtection="1">
      <alignment horizontal="right"/>
    </xf>
    <xf numFmtId="0" fontId="3" fillId="30" borderId="47" xfId="0" quotePrefix="1" applyFont="1" applyFill="1" applyBorder="1" applyProtection="1"/>
    <xf numFmtId="3" fontId="49" fillId="30" borderId="48" xfId="0" applyNumberFormat="1" applyFont="1" applyFill="1" applyBorder="1" applyAlignment="1" applyProtection="1">
      <alignment horizontal="right"/>
    </xf>
    <xf numFmtId="4" fontId="49" fillId="30" borderId="48" xfId="0" applyNumberFormat="1" applyFont="1" applyFill="1" applyBorder="1" applyAlignment="1" applyProtection="1">
      <alignment horizontal="right"/>
    </xf>
    <xf numFmtId="10" fontId="49" fillId="30" borderId="48" xfId="159" applyNumberFormat="1" applyFont="1" applyFill="1" applyBorder="1" applyAlignment="1" applyProtection="1">
      <alignment horizontal="right"/>
    </xf>
    <xf numFmtId="0" fontId="2" fillId="30" borderId="47" xfId="0" applyFont="1" applyFill="1" applyBorder="1" applyProtection="1"/>
    <xf numFmtId="3" fontId="3" fillId="30" borderId="48" xfId="0" applyNumberFormat="1" applyFont="1" applyFill="1" applyBorder="1" applyAlignment="1" applyProtection="1">
      <alignment horizontal="right"/>
    </xf>
    <xf numFmtId="4" fontId="3" fillId="30" borderId="48" xfId="0" applyNumberFormat="1" applyFont="1" applyFill="1" applyBorder="1" applyAlignment="1" applyProtection="1">
      <alignment horizontal="right"/>
    </xf>
    <xf numFmtId="4" fontId="3" fillId="30" borderId="38" xfId="0" applyNumberFormat="1" applyFont="1" applyFill="1" applyBorder="1" applyAlignment="1" applyProtection="1">
      <alignment horizontal="right"/>
    </xf>
    <xf numFmtId="0" fontId="2" fillId="30" borderId="0" xfId="0" applyFont="1" applyFill="1" applyProtection="1"/>
    <xf numFmtId="3" fontId="50" fillId="30" borderId="48" xfId="0" applyNumberFormat="1" applyFont="1" applyFill="1" applyBorder="1" applyAlignment="1" applyProtection="1">
      <alignment horizontal="right"/>
    </xf>
    <xf numFmtId="3" fontId="50" fillId="30" borderId="38" xfId="0" applyNumberFormat="1" applyFont="1" applyFill="1" applyBorder="1" applyAlignment="1" applyProtection="1">
      <alignment horizontal="right"/>
    </xf>
    <xf numFmtId="10" fontId="50" fillId="30" borderId="48" xfId="159" applyNumberFormat="1" applyFont="1" applyFill="1" applyBorder="1" applyAlignment="1" applyProtection="1">
      <alignment horizontal="right"/>
    </xf>
    <xf numFmtId="0" fontId="3" fillId="30" borderId="49" xfId="0" applyFont="1" applyFill="1" applyBorder="1" applyProtection="1"/>
    <xf numFmtId="0" fontId="3" fillId="30" borderId="50" xfId="0" applyFont="1" applyFill="1" applyBorder="1" applyProtection="1"/>
    <xf numFmtId="0" fontId="3" fillId="30" borderId="50" xfId="0" quotePrefix="1" applyFont="1" applyFill="1" applyBorder="1" applyProtection="1"/>
    <xf numFmtId="0" fontId="2" fillId="30" borderId="50" xfId="0" applyFont="1" applyFill="1" applyBorder="1" applyProtection="1"/>
    <xf numFmtId="3" fontId="3" fillId="30" borderId="51" xfId="0" applyNumberFormat="1" applyFont="1" applyFill="1" applyBorder="1" applyAlignment="1" applyProtection="1">
      <alignment horizontal="right"/>
    </xf>
    <xf numFmtId="3" fontId="49" fillId="30" borderId="51" xfId="0" applyNumberFormat="1" applyFont="1" applyFill="1" applyBorder="1" applyAlignment="1" applyProtection="1">
      <alignment horizontal="right"/>
    </xf>
    <xf numFmtId="3" fontId="50" fillId="30" borderId="51" xfId="0" applyNumberFormat="1" applyFont="1" applyFill="1" applyBorder="1" applyAlignment="1" applyProtection="1">
      <alignment horizontal="right"/>
    </xf>
    <xf numFmtId="10" fontId="50" fillId="30" borderId="51" xfId="159" applyNumberFormat="1" applyFont="1" applyFill="1" applyBorder="1" applyAlignment="1" applyProtection="1">
      <alignment horizontal="right"/>
    </xf>
    <xf numFmtId="4" fontId="49" fillId="30" borderId="51" xfId="0" applyNumberFormat="1" applyFont="1" applyFill="1" applyBorder="1" applyAlignment="1" applyProtection="1">
      <alignment horizontal="right"/>
    </xf>
    <xf numFmtId="10" fontId="49" fillId="30" borderId="51" xfId="159" applyNumberFormat="1" applyFont="1" applyFill="1" applyBorder="1" applyAlignment="1" applyProtection="1">
      <alignment horizontal="right"/>
    </xf>
    <xf numFmtId="0" fontId="3" fillId="30" borderId="18" xfId="0" applyFont="1" applyFill="1" applyBorder="1" applyProtection="1"/>
    <xf numFmtId="0" fontId="3" fillId="30" borderId="20" xfId="0" applyFont="1" applyFill="1" applyBorder="1" applyProtection="1"/>
    <xf numFmtId="0" fontId="2" fillId="30" borderId="20" xfId="0" applyFont="1" applyFill="1" applyBorder="1" applyProtection="1"/>
    <xf numFmtId="3" fontId="3" fillId="30" borderId="18" xfId="0" applyNumberFormat="1" applyFont="1" applyFill="1" applyBorder="1" applyAlignment="1" applyProtection="1">
      <alignment horizontal="right"/>
    </xf>
    <xf numFmtId="3" fontId="3" fillId="30" borderId="39" xfId="0" applyNumberFormat="1" applyFont="1" applyFill="1" applyBorder="1" applyAlignment="1" applyProtection="1">
      <alignment horizontal="right"/>
    </xf>
    <xf numFmtId="3" fontId="3" fillId="30" borderId="38" xfId="0" applyNumberFormat="1" applyFont="1" applyFill="1" applyBorder="1" applyAlignment="1" applyProtection="1">
      <alignment horizontal="right"/>
    </xf>
    <xf numFmtId="10" fontId="3" fillId="30" borderId="39" xfId="159" applyNumberFormat="1" applyFont="1" applyFill="1" applyBorder="1" applyAlignment="1" applyProtection="1">
      <alignment horizontal="right"/>
    </xf>
    <xf numFmtId="3" fontId="3" fillId="30" borderId="14" xfId="0" applyNumberFormat="1" applyFont="1" applyFill="1" applyBorder="1" applyAlignment="1" applyProtection="1">
      <alignment horizontal="right"/>
    </xf>
    <xf numFmtId="10" fontId="49" fillId="30" borderId="38" xfId="159" applyNumberFormat="1" applyFont="1" applyFill="1" applyBorder="1" applyAlignment="1" applyProtection="1">
      <alignment horizontal="right"/>
    </xf>
    <xf numFmtId="165" fontId="37" fillId="30" borderId="38" xfId="0" applyNumberFormat="1" applyFont="1" applyFill="1" applyBorder="1" applyAlignment="1" applyProtection="1">
      <alignment horizontal="right"/>
    </xf>
    <xf numFmtId="10" fontId="37" fillId="30" borderId="38" xfId="159" applyNumberFormat="1" applyFont="1" applyFill="1" applyBorder="1" applyAlignment="1" applyProtection="1">
      <alignment horizontal="right"/>
    </xf>
    <xf numFmtId="3" fontId="3" fillId="30" borderId="40" xfId="0" applyNumberFormat="1" applyFont="1" applyFill="1" applyBorder="1" applyAlignment="1" applyProtection="1">
      <alignment horizontal="right"/>
    </xf>
    <xf numFmtId="4" fontId="49" fillId="30" borderId="52" xfId="0" applyNumberFormat="1" applyFont="1" applyFill="1" applyBorder="1" applyAlignment="1" applyProtection="1">
      <alignment horizontal="right"/>
    </xf>
    <xf numFmtId="10" fontId="49" fillId="30" borderId="52" xfId="159" applyNumberFormat="1" applyFont="1" applyFill="1" applyBorder="1" applyAlignment="1" applyProtection="1">
      <alignment horizontal="right"/>
    </xf>
    <xf numFmtId="0" fontId="42" fillId="30" borderId="0" xfId="0" applyFont="1" applyFill="1" applyBorder="1" applyProtection="1"/>
    <xf numFmtId="0" fontId="42" fillId="30" borderId="0" xfId="0" applyFont="1" applyFill="1" applyBorder="1" applyAlignment="1" applyProtection="1">
      <alignment horizontal="right"/>
    </xf>
    <xf numFmtId="3" fontId="42" fillId="30" borderId="0" xfId="0" applyNumberFormat="1" applyFont="1" applyFill="1" applyBorder="1" applyAlignment="1" applyProtection="1">
      <alignment horizontal="right"/>
    </xf>
    <xf numFmtId="4" fontId="53" fillId="30" borderId="0" xfId="0" applyNumberFormat="1" applyFont="1" applyFill="1" applyBorder="1" applyAlignment="1" applyProtection="1">
      <alignment horizontal="right"/>
    </xf>
    <xf numFmtId="0" fontId="75" fillId="30" borderId="0" xfId="0" applyFont="1" applyFill="1" applyProtection="1"/>
    <xf numFmtId="4" fontId="42" fillId="30" borderId="0" xfId="0" applyNumberFormat="1" applyFont="1" applyFill="1" applyBorder="1" applyAlignment="1" applyProtection="1">
      <alignment horizontal="right"/>
    </xf>
    <xf numFmtId="0" fontId="48" fillId="30" borderId="0" xfId="0" applyFont="1" applyFill="1" applyBorder="1" applyProtection="1"/>
    <xf numFmtId="3" fontId="48" fillId="30" borderId="0" xfId="0" applyNumberFormat="1" applyFont="1" applyFill="1" applyBorder="1" applyAlignment="1" applyProtection="1">
      <alignment horizontal="right"/>
    </xf>
    <xf numFmtId="4" fontId="52" fillId="30" borderId="0" xfId="0" applyNumberFormat="1" applyFont="1" applyFill="1" applyBorder="1" applyAlignment="1" applyProtection="1">
      <alignment horizontal="right"/>
    </xf>
    <xf numFmtId="0" fontId="77" fillId="30" borderId="0" xfId="0" applyFont="1" applyFill="1" applyProtection="1"/>
    <xf numFmtId="4" fontId="0" fillId="30" borderId="0" xfId="0" applyNumberFormat="1" applyFill="1" applyProtection="1"/>
    <xf numFmtId="0" fontId="3" fillId="30" borderId="0" xfId="0" applyFont="1" applyFill="1" applyProtection="1"/>
    <xf numFmtId="4" fontId="0" fillId="30" borderId="0" xfId="0" applyNumberFormat="1" applyFill="1" applyBorder="1" applyProtection="1"/>
    <xf numFmtId="3" fontId="3" fillId="30" borderId="15" xfId="0" applyNumberFormat="1" applyFont="1" applyFill="1" applyBorder="1" applyAlignment="1" applyProtection="1">
      <alignment horizontal="right"/>
    </xf>
    <xf numFmtId="4" fontId="49" fillId="30" borderId="53" xfId="0" applyNumberFormat="1" applyFont="1" applyFill="1" applyBorder="1" applyAlignment="1" applyProtection="1">
      <alignment horizontal="right"/>
    </xf>
    <xf numFmtId="0" fontId="0" fillId="30" borderId="0" xfId="0" applyFill="1" applyBorder="1" applyProtection="1"/>
    <xf numFmtId="0" fontId="3" fillId="30" borderId="46" xfId="0" applyFont="1" applyFill="1" applyBorder="1" applyAlignment="1" applyProtection="1">
      <alignment vertical="center"/>
    </xf>
    <xf numFmtId="0" fontId="3" fillId="30" borderId="47" xfId="0" applyFont="1" applyFill="1" applyBorder="1" applyAlignment="1" applyProtection="1">
      <alignment vertical="center"/>
    </xf>
    <xf numFmtId="165" fontId="3" fillId="30" borderId="48" xfId="0" applyNumberFormat="1" applyFont="1" applyFill="1" applyBorder="1" applyAlignment="1" applyProtection="1">
      <alignment horizontal="right" vertical="center"/>
    </xf>
    <xf numFmtId="165" fontId="3" fillId="30" borderId="38" xfId="0" applyNumberFormat="1" applyFont="1" applyFill="1" applyBorder="1" applyAlignment="1" applyProtection="1">
      <alignment horizontal="right" vertical="center"/>
    </xf>
    <xf numFmtId="10" fontId="3" fillId="30" borderId="48" xfId="159" applyNumberFormat="1" applyFont="1" applyFill="1" applyBorder="1" applyAlignment="1" applyProtection="1">
      <alignment horizontal="right" vertical="center"/>
    </xf>
    <xf numFmtId="0" fontId="0" fillId="30" borderId="0" xfId="0" applyFill="1" applyAlignment="1" applyProtection="1">
      <alignment vertical="center"/>
    </xf>
    <xf numFmtId="165" fontId="2" fillId="34" borderId="48" xfId="265" applyNumberFormat="1" applyFont="1" applyFill="1" applyBorder="1" applyProtection="1">
      <protection locked="0"/>
    </xf>
    <xf numFmtId="165" fontId="2" fillId="34" borderId="48" xfId="265" applyNumberFormat="1" applyFont="1" applyFill="1" applyBorder="1" applyAlignment="1" applyProtection="1">
      <alignment vertical="center"/>
      <protection locked="0"/>
    </xf>
    <xf numFmtId="165" fontId="3" fillId="34" borderId="48" xfId="265" applyNumberFormat="1" applyFont="1" applyFill="1" applyBorder="1" applyProtection="1">
      <protection locked="0"/>
    </xf>
    <xf numFmtId="0" fontId="35" fillId="30" borderId="14" xfId="259" applyFont="1" applyFill="1" applyBorder="1" applyAlignment="1" applyProtection="1"/>
    <xf numFmtId="0" fontId="35" fillId="30" borderId="0" xfId="259" applyFont="1" applyFill="1" applyBorder="1" applyAlignment="1" applyProtection="1"/>
    <xf numFmtId="0" fontId="35" fillId="30" borderId="14" xfId="259" applyFont="1" applyFill="1" applyBorder="1" applyAlignment="1" applyProtection="1">
      <protection locked="0"/>
    </xf>
    <xf numFmtId="0" fontId="35" fillId="30" borderId="0" xfId="259" applyFont="1" applyFill="1" applyBorder="1" applyAlignment="1" applyProtection="1">
      <protection locked="0"/>
    </xf>
    <xf numFmtId="0" fontId="36" fillId="30" borderId="0" xfId="232" applyFont="1" applyFill="1" applyProtection="1">
      <protection locked="0"/>
    </xf>
    <xf numFmtId="0" fontId="76" fillId="30" borderId="0" xfId="259" applyFont="1" applyFill="1" applyProtection="1">
      <protection locked="0"/>
    </xf>
    <xf numFmtId="0" fontId="76" fillId="30" borderId="0" xfId="259" applyFont="1" applyFill="1" applyAlignment="1" applyProtection="1">
      <alignment horizontal="right"/>
      <protection locked="0"/>
    </xf>
    <xf numFmtId="0" fontId="12" fillId="30" borderId="0" xfId="232" applyFont="1" applyFill="1" applyProtection="1">
      <protection locked="0"/>
    </xf>
    <xf numFmtId="0" fontId="3" fillId="0" borderId="0" xfId="232" applyFont="1" applyFill="1" applyProtection="1">
      <protection locked="0"/>
    </xf>
    <xf numFmtId="0" fontId="2" fillId="0" borderId="0" xfId="232" applyFill="1" applyProtection="1">
      <protection locked="0"/>
    </xf>
    <xf numFmtId="0" fontId="2" fillId="0" borderId="0" xfId="232" applyFill="1" applyAlignment="1" applyProtection="1">
      <alignment horizontal="right"/>
      <protection locked="0"/>
    </xf>
    <xf numFmtId="0" fontId="2" fillId="0" borderId="0" xfId="232" applyFill="1" applyBorder="1" applyProtection="1">
      <protection locked="0"/>
    </xf>
    <xf numFmtId="0" fontId="6" fillId="0" borderId="14" xfId="232" applyFont="1" applyFill="1" applyBorder="1" applyProtection="1">
      <protection locked="0"/>
    </xf>
    <xf numFmtId="0" fontId="3" fillId="0" borderId="0" xfId="232" applyFont="1" applyFill="1" applyBorder="1" applyProtection="1">
      <protection locked="0"/>
    </xf>
    <xf numFmtId="0" fontId="3" fillId="0" borderId="22" xfId="232" applyFont="1" applyFill="1" applyBorder="1" applyAlignment="1" applyProtection="1">
      <alignment horizontal="right"/>
      <protection locked="0"/>
    </xf>
    <xf numFmtId="0" fontId="3" fillId="0" borderId="22" xfId="232" applyFont="1" applyFill="1" applyBorder="1" applyAlignment="1" applyProtection="1">
      <alignment horizontal="center" vertical="center"/>
      <protection locked="0"/>
    </xf>
    <xf numFmtId="0" fontId="3" fillId="0" borderId="38" xfId="232" applyFont="1" applyFill="1" applyBorder="1" applyAlignment="1" applyProtection="1">
      <alignment horizontal="center" vertical="center"/>
      <protection locked="0"/>
    </xf>
    <xf numFmtId="0" fontId="3" fillId="0" borderId="0" xfId="232" applyFont="1" applyFill="1" applyBorder="1" applyAlignment="1" applyProtection="1">
      <alignment horizontal="right"/>
      <protection locked="0"/>
    </xf>
    <xf numFmtId="0" fontId="3" fillId="0" borderId="0" xfId="232" applyFont="1" applyFill="1" applyAlignment="1" applyProtection="1">
      <alignment horizontal="right" vertical="center"/>
      <protection locked="0"/>
    </xf>
    <xf numFmtId="0" fontId="3" fillId="0" borderId="15" xfId="232" applyFont="1" applyFill="1" applyBorder="1" applyAlignment="1" applyProtection="1">
      <alignment horizontal="center" vertical="center"/>
      <protection locked="0"/>
    </xf>
    <xf numFmtId="0" fontId="3" fillId="0" borderId="21" xfId="232" applyFont="1" applyFill="1" applyBorder="1" applyAlignment="1" applyProtection="1">
      <alignment horizontal="center" vertical="center"/>
      <protection locked="0"/>
    </xf>
    <xf numFmtId="0" fontId="3" fillId="0" borderId="0" xfId="232" applyFont="1" applyFill="1" applyAlignment="1" applyProtection="1">
      <alignment vertical="center"/>
      <protection locked="0"/>
    </xf>
    <xf numFmtId="0" fontId="3" fillId="0" borderId="15" xfId="232" applyFont="1" applyFill="1" applyBorder="1" applyAlignment="1" applyProtection="1">
      <alignment horizontal="center" vertical="center" wrapText="1"/>
      <protection locked="0"/>
    </xf>
    <xf numFmtId="0" fontId="3" fillId="0" borderId="54" xfId="232" applyFont="1" applyFill="1" applyBorder="1" applyAlignment="1" applyProtection="1">
      <alignment horizontal="center" vertical="center" wrapText="1"/>
      <protection locked="0"/>
    </xf>
    <xf numFmtId="0" fontId="3" fillId="0" borderId="55" xfId="232" applyFont="1" applyFill="1" applyBorder="1" applyAlignment="1" applyProtection="1">
      <alignment horizontal="center" vertical="center" wrapText="1"/>
      <protection locked="0"/>
    </xf>
    <xf numFmtId="0" fontId="3" fillId="0" borderId="37" xfId="232" applyFont="1" applyFill="1" applyBorder="1" applyAlignment="1" applyProtection="1">
      <alignment horizontal="center" vertical="center" wrapText="1"/>
      <protection locked="0"/>
    </xf>
    <xf numFmtId="0" fontId="3" fillId="0" borderId="18" xfId="232" applyFont="1" applyFill="1" applyBorder="1" applyAlignment="1" applyProtection="1">
      <alignment horizontal="center" vertical="center"/>
      <protection locked="0"/>
    </xf>
    <xf numFmtId="0" fontId="3" fillId="0" borderId="56" xfId="232" applyFont="1" applyFill="1" applyBorder="1" applyAlignment="1" applyProtection="1">
      <alignment horizontal="center" vertical="center"/>
      <protection locked="0"/>
    </xf>
    <xf numFmtId="0" fontId="3" fillId="0" borderId="14" xfId="232" quotePrefix="1" applyFont="1" applyFill="1" applyBorder="1" applyAlignment="1" applyProtection="1">
      <alignment vertical="center"/>
      <protection locked="0"/>
    </xf>
    <xf numFmtId="0" fontId="3" fillId="0" borderId="0" xfId="232" quotePrefix="1" applyFont="1" applyFill="1" applyBorder="1" applyAlignment="1" applyProtection="1">
      <alignment vertical="center"/>
      <protection locked="0"/>
    </xf>
    <xf numFmtId="0" fontId="2" fillId="34" borderId="56" xfId="265" applyNumberFormat="1" applyFont="1" applyFill="1" applyBorder="1" applyProtection="1">
      <protection locked="0"/>
    </xf>
    <xf numFmtId="0" fontId="2" fillId="34" borderId="39" xfId="265" applyNumberFormat="1" applyFont="1" applyFill="1" applyBorder="1" applyProtection="1">
      <protection locked="0"/>
    </xf>
    <xf numFmtId="0" fontId="2" fillId="34" borderId="57" xfId="265" applyNumberFormat="1" applyFont="1" applyFill="1" applyBorder="1" applyProtection="1">
      <protection locked="0"/>
    </xf>
    <xf numFmtId="0" fontId="2" fillId="34" borderId="58" xfId="265" applyNumberFormat="1" applyFont="1" applyFill="1" applyBorder="1" applyProtection="1">
      <protection locked="0"/>
    </xf>
    <xf numFmtId="0" fontId="6" fillId="0" borderId="59" xfId="232" applyFont="1" applyFill="1" applyBorder="1" applyProtection="1">
      <protection locked="0"/>
    </xf>
    <xf numFmtId="0" fontId="6" fillId="0" borderId="60" xfId="232" applyFont="1" applyFill="1" applyBorder="1" applyProtection="1">
      <protection locked="0"/>
    </xf>
    <xf numFmtId="0" fontId="6" fillId="0" borderId="61" xfId="232" applyFont="1" applyFill="1" applyBorder="1" applyAlignment="1" applyProtection="1">
      <alignment horizontal="right"/>
      <protection locked="0"/>
    </xf>
    <xf numFmtId="169" fontId="6" fillId="0" borderId="61" xfId="232" applyNumberFormat="1" applyFont="1" applyFill="1" applyBorder="1" applyAlignment="1" applyProtection="1">
      <alignment horizontal="right"/>
      <protection locked="0"/>
    </xf>
    <xf numFmtId="169" fontId="6" fillId="0" borderId="62" xfId="232" applyNumberFormat="1" applyFont="1" applyFill="1" applyBorder="1" applyAlignment="1" applyProtection="1">
      <alignment horizontal="right"/>
      <protection locked="0"/>
    </xf>
    <xf numFmtId="169" fontId="6" fillId="0" borderId="0" xfId="232" applyNumberFormat="1" applyFont="1" applyFill="1" applyBorder="1" applyAlignment="1" applyProtection="1">
      <alignment horizontal="right"/>
      <protection locked="0"/>
    </xf>
    <xf numFmtId="169" fontId="2" fillId="0" borderId="0" xfId="232" applyNumberFormat="1" applyFont="1" applyFill="1" applyAlignment="1" applyProtection="1">
      <protection locked="0"/>
    </xf>
    <xf numFmtId="169" fontId="2" fillId="0" borderId="63" xfId="232" applyNumberFormat="1" applyFont="1" applyFill="1" applyBorder="1" applyAlignment="1" applyProtection="1">
      <protection locked="0"/>
    </xf>
    <xf numFmtId="169" fontId="2" fillId="0" borderId="31" xfId="232" applyNumberFormat="1" applyFont="1" applyFill="1" applyBorder="1" applyAlignment="1" applyProtection="1">
      <protection locked="0"/>
    </xf>
    <xf numFmtId="169" fontId="2" fillId="0" borderId="64" xfId="232" applyNumberFormat="1" applyFont="1" applyFill="1" applyBorder="1" applyAlignment="1" applyProtection="1">
      <protection locked="0"/>
    </xf>
    <xf numFmtId="169" fontId="2" fillId="0" borderId="65" xfId="232" applyNumberFormat="1" applyFont="1" applyFill="1" applyBorder="1" applyAlignment="1" applyProtection="1">
      <protection locked="0"/>
    </xf>
    <xf numFmtId="169" fontId="2" fillId="0" borderId="66" xfId="232" applyNumberFormat="1" applyFont="1" applyFill="1" applyBorder="1" applyAlignment="1" applyProtection="1">
      <protection locked="0"/>
    </xf>
    <xf numFmtId="169" fontId="2" fillId="0" borderId="67" xfId="232" applyNumberFormat="1" applyFont="1" applyFill="1" applyBorder="1" applyAlignment="1" applyProtection="1">
      <protection locked="0"/>
    </xf>
    <xf numFmtId="169" fontId="2" fillId="0" borderId="68" xfId="232" applyNumberFormat="1" applyFont="1" applyFill="1" applyBorder="1" applyAlignment="1" applyProtection="1">
      <protection locked="0"/>
    </xf>
    <xf numFmtId="169" fontId="2" fillId="0" borderId="25" xfId="232" applyNumberFormat="1" applyFont="1" applyFill="1" applyBorder="1" applyAlignment="1" applyProtection="1">
      <protection locked="0"/>
    </xf>
    <xf numFmtId="0" fontId="2" fillId="0" borderId="0" xfId="232" applyFont="1" applyFill="1" applyProtection="1">
      <protection locked="0"/>
    </xf>
    <xf numFmtId="0" fontId="6" fillId="0" borderId="23" xfId="232" applyFont="1" applyFill="1" applyBorder="1" applyProtection="1">
      <protection locked="0"/>
    </xf>
    <xf numFmtId="0" fontId="3" fillId="0" borderId="24" xfId="232" applyFont="1" applyFill="1" applyBorder="1" applyProtection="1">
      <protection locked="0"/>
    </xf>
    <xf numFmtId="0" fontId="6" fillId="0" borderId="24" xfId="232" applyFont="1" applyFill="1" applyBorder="1" applyProtection="1">
      <protection locked="0"/>
    </xf>
    <xf numFmtId="0" fontId="6" fillId="0" borderId="25" xfId="232" applyFont="1" applyFill="1" applyBorder="1" applyAlignment="1" applyProtection="1">
      <alignment horizontal="right"/>
      <protection locked="0"/>
    </xf>
    <xf numFmtId="169" fontId="3" fillId="0" borderId="61" xfId="232" applyNumberFormat="1" applyFont="1" applyFill="1" applyBorder="1" applyAlignment="1" applyProtection="1">
      <alignment horizontal="center"/>
      <protection locked="0"/>
    </xf>
    <xf numFmtId="169" fontId="2" fillId="0" borderId="69" xfId="232" applyNumberFormat="1" applyFont="1" applyFill="1" applyBorder="1" applyAlignment="1" applyProtection="1">
      <protection locked="0"/>
    </xf>
    <xf numFmtId="169" fontId="2" fillId="0" borderId="70" xfId="232" applyNumberFormat="1" applyFont="1" applyFill="1" applyBorder="1" applyAlignment="1" applyProtection="1">
      <protection locked="0"/>
    </xf>
    <xf numFmtId="0" fontId="42" fillId="0" borderId="25" xfId="232" applyFont="1" applyFill="1" applyBorder="1" applyAlignment="1" applyProtection="1">
      <alignment horizontal="right"/>
      <protection locked="0"/>
    </xf>
    <xf numFmtId="169" fontId="3" fillId="0" borderId="25" xfId="232" applyNumberFormat="1" applyFont="1" applyFill="1" applyBorder="1" applyAlignment="1" applyProtection="1">
      <alignment horizontal="center"/>
      <protection locked="0"/>
    </xf>
    <xf numFmtId="169" fontId="2" fillId="30" borderId="0" xfId="232" applyNumberFormat="1" applyFont="1" applyFill="1" applyAlignment="1" applyProtection="1">
      <protection locked="0"/>
    </xf>
    <xf numFmtId="0" fontId="2" fillId="0" borderId="23" xfId="232" applyFont="1" applyFill="1" applyBorder="1" applyProtection="1">
      <protection locked="0"/>
    </xf>
    <xf numFmtId="0" fontId="54" fillId="0" borderId="24" xfId="232" applyFont="1" applyFill="1" applyBorder="1" applyProtection="1">
      <protection locked="0"/>
    </xf>
    <xf numFmtId="0" fontId="2" fillId="0" borderId="24" xfId="232" applyFont="1" applyFill="1" applyBorder="1" applyProtection="1">
      <protection locked="0"/>
    </xf>
    <xf numFmtId="0" fontId="2" fillId="0" borderId="25" xfId="232" applyFont="1" applyFill="1" applyBorder="1" applyAlignment="1" applyProtection="1">
      <alignment horizontal="right"/>
      <protection locked="0"/>
    </xf>
    <xf numFmtId="169" fontId="2" fillId="0" borderId="0" xfId="232" applyNumberFormat="1" applyFont="1" applyFill="1" applyBorder="1" applyAlignment="1" applyProtection="1">
      <alignment horizontal="right"/>
      <protection locked="0"/>
    </xf>
    <xf numFmtId="0" fontId="2" fillId="30" borderId="32" xfId="232" applyFont="1" applyFill="1" applyBorder="1" applyAlignment="1" applyProtection="1">
      <alignment horizontal="right"/>
      <protection locked="0"/>
    </xf>
    <xf numFmtId="169" fontId="2" fillId="30" borderId="0" xfId="232" applyNumberFormat="1" applyFont="1" applyFill="1" applyBorder="1" applyAlignment="1" applyProtection="1">
      <alignment horizontal="right"/>
      <protection locked="0"/>
    </xf>
    <xf numFmtId="3" fontId="42" fillId="30" borderId="25" xfId="265" applyNumberFormat="1" applyFont="1" applyFill="1" applyBorder="1" applyAlignment="1" applyProtection="1">
      <alignment horizontal="right"/>
      <protection locked="0"/>
    </xf>
    <xf numFmtId="169" fontId="42" fillId="30" borderId="0" xfId="265"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left"/>
      <protection locked="0"/>
    </xf>
    <xf numFmtId="166" fontId="2" fillId="0" borderId="24" xfId="232" applyNumberFormat="1" applyFont="1" applyFill="1" applyBorder="1" applyAlignment="1" applyProtection="1">
      <alignment horizontal="right"/>
      <protection locked="0"/>
    </xf>
    <xf numFmtId="169" fontId="42" fillId="30" borderId="66" xfId="265" applyNumberFormat="1" applyFont="1" applyFill="1" applyBorder="1" applyAlignment="1" applyProtection="1">
      <alignment horizontal="right"/>
      <protection locked="0"/>
    </xf>
    <xf numFmtId="169" fontId="42" fillId="30" borderId="25" xfId="265" applyNumberFormat="1" applyFont="1" applyFill="1" applyBorder="1" applyAlignment="1" applyProtection="1">
      <alignment horizontal="right"/>
      <protection locked="0"/>
    </xf>
    <xf numFmtId="169" fontId="42" fillId="30" borderId="70" xfId="265" applyNumberFormat="1" applyFont="1" applyFill="1" applyBorder="1" applyAlignment="1" applyProtection="1">
      <alignment horizontal="right"/>
      <protection locked="0"/>
    </xf>
    <xf numFmtId="169" fontId="42" fillId="30" borderId="64" xfId="265" applyNumberFormat="1" applyFont="1" applyFill="1" applyBorder="1" applyAlignment="1" applyProtection="1">
      <alignment horizontal="right"/>
      <protection locked="0"/>
    </xf>
    <xf numFmtId="169" fontId="2" fillId="30" borderId="65" xfId="232" applyNumberFormat="1" applyFont="1" applyFill="1" applyBorder="1" applyAlignment="1" applyProtection="1">
      <alignment horizontal="right"/>
      <protection locked="0"/>
    </xf>
    <xf numFmtId="169" fontId="2" fillId="30" borderId="31" xfId="232" applyNumberFormat="1" applyFont="1" applyFill="1" applyBorder="1" applyAlignment="1" applyProtection="1">
      <alignment horizontal="right"/>
      <protection locked="0"/>
    </xf>
    <xf numFmtId="169" fontId="2" fillId="30" borderId="66" xfId="232" applyNumberFormat="1" applyFont="1" applyFill="1" applyBorder="1" applyAlignment="1" applyProtection="1">
      <alignment horizontal="right"/>
      <protection locked="0"/>
    </xf>
    <xf numFmtId="169" fontId="2" fillId="30" borderId="67" xfId="232" applyNumberFormat="1" applyFont="1" applyFill="1" applyBorder="1" applyAlignment="1" applyProtection="1">
      <alignment horizontal="right"/>
      <protection locked="0"/>
    </xf>
    <xf numFmtId="169" fontId="2" fillId="30" borderId="68" xfId="232" applyNumberFormat="1" applyFont="1" applyFill="1" applyBorder="1" applyAlignment="1" applyProtection="1">
      <alignment horizontal="right"/>
      <protection locked="0"/>
    </xf>
    <xf numFmtId="169" fontId="2" fillId="30" borderId="25" xfId="232" applyNumberFormat="1" applyFont="1" applyFill="1" applyBorder="1" applyAlignment="1" applyProtection="1">
      <alignment horizontal="right"/>
      <protection locked="0"/>
    </xf>
    <xf numFmtId="0" fontId="2" fillId="30" borderId="23" xfId="232" applyFont="1" applyFill="1" applyBorder="1" applyProtection="1">
      <protection locked="0"/>
    </xf>
    <xf numFmtId="0" fontId="2" fillId="30" borderId="24" xfId="232" applyFont="1" applyFill="1" applyBorder="1" applyProtection="1">
      <protection locked="0"/>
    </xf>
    <xf numFmtId="0" fontId="2" fillId="30" borderId="0" xfId="232" applyFont="1" applyFill="1" applyProtection="1">
      <protection locked="0"/>
    </xf>
    <xf numFmtId="169" fontId="2" fillId="30" borderId="0" xfId="232" applyNumberFormat="1" applyFont="1" applyFill="1" applyAlignment="1" applyProtection="1">
      <alignment horizontal="right"/>
      <protection locked="0"/>
    </xf>
    <xf numFmtId="169" fontId="2" fillId="30" borderId="70" xfId="232" applyNumberFormat="1" applyFont="1" applyFill="1" applyBorder="1" applyAlignment="1" applyProtection="1">
      <alignment horizontal="right"/>
      <protection locked="0"/>
    </xf>
    <xf numFmtId="169" fontId="2" fillId="30" borderId="64" xfId="232" applyNumberFormat="1" applyFont="1" applyFill="1" applyBorder="1" applyAlignment="1" applyProtection="1">
      <alignment horizontal="right"/>
      <protection locked="0"/>
    </xf>
    <xf numFmtId="169" fontId="42" fillId="30" borderId="67" xfId="265" applyNumberFormat="1" applyFont="1" applyFill="1" applyBorder="1" applyAlignment="1" applyProtection="1">
      <alignment horizontal="right"/>
      <protection locked="0"/>
    </xf>
    <xf numFmtId="169" fontId="42" fillId="30" borderId="68" xfId="265" applyNumberFormat="1" applyFont="1" applyFill="1" applyBorder="1" applyAlignment="1" applyProtection="1">
      <alignment horizontal="right"/>
      <protection locked="0"/>
    </xf>
    <xf numFmtId="169" fontId="42" fillId="30" borderId="65" xfId="265" applyNumberFormat="1" applyFont="1" applyFill="1" applyBorder="1" applyAlignment="1" applyProtection="1">
      <alignment horizontal="right"/>
      <protection locked="0"/>
    </xf>
    <xf numFmtId="169" fontId="42" fillId="30" borderId="31" xfId="265" applyNumberFormat="1" applyFont="1" applyFill="1" applyBorder="1" applyAlignment="1" applyProtection="1">
      <alignment horizontal="right"/>
      <protection locked="0"/>
    </xf>
    <xf numFmtId="0" fontId="2" fillId="0" borderId="24" xfId="232" applyFont="1" applyFill="1" applyBorder="1" applyAlignment="1" applyProtection="1">
      <alignment horizontal="left"/>
      <protection locked="0"/>
    </xf>
    <xf numFmtId="0" fontId="43" fillId="0" borderId="23" xfId="232" applyFont="1" applyFill="1" applyBorder="1" applyProtection="1">
      <protection locked="0"/>
    </xf>
    <xf numFmtId="0" fontId="43" fillId="0" borderId="24" xfId="232" applyFont="1" applyFill="1" applyBorder="1" applyProtection="1">
      <protection locked="0"/>
    </xf>
    <xf numFmtId="0" fontId="43" fillId="0" borderId="0" xfId="232" applyFont="1" applyFill="1" applyProtection="1">
      <protection locked="0"/>
    </xf>
    <xf numFmtId="169" fontId="2" fillId="0" borderId="0" xfId="232" applyNumberFormat="1" applyFont="1" applyFill="1" applyBorder="1" applyAlignment="1" applyProtection="1">
      <alignment horizontal="left" indent="2"/>
      <protection locked="0"/>
    </xf>
    <xf numFmtId="169" fontId="2" fillId="0" borderId="0" xfId="232" applyNumberFormat="1" applyFont="1" applyFill="1" applyAlignment="1" applyProtection="1">
      <alignment horizontal="center"/>
      <protection locked="0"/>
    </xf>
    <xf numFmtId="0" fontId="6" fillId="30" borderId="25" xfId="232" applyFont="1" applyFill="1" applyBorder="1" applyAlignment="1" applyProtection="1">
      <alignment horizontal="right"/>
      <protection locked="0"/>
    </xf>
    <xf numFmtId="169" fontId="3" fillId="30" borderId="25" xfId="232" applyNumberFormat="1" applyFont="1" applyFill="1" applyBorder="1" applyAlignment="1" applyProtection="1">
      <alignment horizontal="center"/>
      <protection locked="0"/>
    </xf>
    <xf numFmtId="169" fontId="6" fillId="30" borderId="0" xfId="232" applyNumberFormat="1" applyFont="1" applyFill="1" applyBorder="1" applyAlignment="1" applyProtection="1">
      <alignment horizontal="right"/>
      <protection locked="0"/>
    </xf>
    <xf numFmtId="0" fontId="2" fillId="0" borderId="24" xfId="232" applyFont="1" applyFill="1" applyBorder="1" applyAlignment="1" applyProtection="1">
      <alignment horizontal="center"/>
      <protection locked="0"/>
    </xf>
    <xf numFmtId="0" fontId="42" fillId="30" borderId="25" xfId="232" applyFont="1" applyFill="1" applyBorder="1" applyAlignment="1" applyProtection="1">
      <alignment horizontal="right"/>
      <protection locked="0"/>
    </xf>
    <xf numFmtId="0" fontId="2" fillId="30" borderId="25" xfId="232" applyFont="1" applyFill="1" applyBorder="1" applyAlignment="1" applyProtection="1">
      <alignment horizontal="right"/>
      <protection locked="0"/>
    </xf>
    <xf numFmtId="0" fontId="2" fillId="0" borderId="24" xfId="232" applyFont="1" applyFill="1" applyBorder="1" applyAlignment="1" applyProtection="1">
      <alignment vertical="center"/>
      <protection locked="0"/>
    </xf>
    <xf numFmtId="0" fontId="2" fillId="0" borderId="24" xfId="232" applyFont="1" applyFill="1" applyBorder="1" applyAlignment="1" applyProtection="1">
      <alignment horizontal="left" vertical="center" wrapText="1"/>
      <protection locked="0"/>
    </xf>
    <xf numFmtId="3" fontId="42" fillId="30" borderId="25" xfId="265" applyNumberFormat="1" applyFont="1" applyFill="1" applyBorder="1" applyAlignment="1" applyProtection="1">
      <alignment horizontal="right" vertical="center"/>
      <protection locked="0"/>
    </xf>
    <xf numFmtId="169" fontId="42" fillId="30" borderId="0" xfId="265" applyNumberFormat="1" applyFont="1" applyFill="1" applyBorder="1" applyAlignment="1" applyProtection="1">
      <alignment horizontal="left" vertical="center"/>
      <protection locked="0"/>
    </xf>
    <xf numFmtId="169" fontId="2" fillId="0" borderId="0" xfId="232" applyNumberFormat="1" applyFont="1" applyFill="1" applyAlignment="1" applyProtection="1">
      <alignment horizontal="center" vertical="center"/>
      <protection locked="0"/>
    </xf>
    <xf numFmtId="169" fontId="2" fillId="0" borderId="0" xfId="232" applyNumberFormat="1" applyFont="1" applyFill="1" applyAlignment="1" applyProtection="1">
      <alignment vertical="center"/>
      <protection locked="0"/>
    </xf>
    <xf numFmtId="0" fontId="2" fillId="0" borderId="0" xfId="232" applyFont="1" applyFill="1" applyAlignment="1" applyProtection="1">
      <alignment vertical="center"/>
      <protection locked="0"/>
    </xf>
    <xf numFmtId="0" fontId="2" fillId="0" borderId="23" xfId="232" applyFont="1" applyFill="1" applyBorder="1" applyAlignment="1" applyProtection="1">
      <alignment vertical="top"/>
      <protection locked="0"/>
    </xf>
    <xf numFmtId="0" fontId="2" fillId="0" borderId="24" xfId="232" applyFont="1" applyFill="1" applyBorder="1" applyAlignment="1" applyProtection="1">
      <alignment vertical="center" wrapText="1"/>
      <protection locked="0"/>
    </xf>
    <xf numFmtId="0" fontId="2" fillId="0" borderId="0" xfId="232" applyFont="1" applyFill="1" applyAlignment="1" applyProtection="1">
      <alignment vertical="top"/>
      <protection locked="0"/>
    </xf>
    <xf numFmtId="0" fontId="2" fillId="0" borderId="33" xfId="232" applyFont="1" applyFill="1" applyBorder="1" applyAlignment="1" applyProtection="1">
      <alignment vertical="top"/>
      <protection locked="0"/>
    </xf>
    <xf numFmtId="0" fontId="2" fillId="0" borderId="34" xfId="232" applyFont="1" applyFill="1" applyBorder="1" applyAlignment="1" applyProtection="1">
      <alignment vertical="center" wrapText="1"/>
      <protection locked="0"/>
    </xf>
    <xf numFmtId="0" fontId="2" fillId="0" borderId="34" xfId="232" applyFont="1" applyFill="1" applyBorder="1" applyAlignment="1" applyProtection="1">
      <alignment vertical="center"/>
      <protection locked="0"/>
    </xf>
    <xf numFmtId="0" fontId="12" fillId="0" borderId="0" xfId="232" applyFont="1" applyFill="1" applyProtection="1">
      <protection locked="0"/>
    </xf>
    <xf numFmtId="0" fontId="12" fillId="0" borderId="0" xfId="232" applyFont="1" applyFill="1" applyAlignment="1" applyProtection="1">
      <alignment horizontal="right"/>
      <protection locked="0"/>
    </xf>
    <xf numFmtId="0" fontId="12" fillId="0" borderId="0" xfId="232" applyFont="1" applyFill="1" applyAlignment="1" applyProtection="1">
      <protection locked="0"/>
    </xf>
    <xf numFmtId="0" fontId="36" fillId="30" borderId="0" xfId="225" applyFont="1" applyFill="1" applyProtection="1"/>
    <xf numFmtId="0" fontId="39" fillId="30" borderId="0" xfId="225" applyFont="1" applyFill="1" applyProtection="1"/>
    <xf numFmtId="0" fontId="12" fillId="30" borderId="0" xfId="225" applyFont="1" applyFill="1" applyProtection="1"/>
    <xf numFmtId="0" fontId="6" fillId="30" borderId="0" xfId="259" applyFont="1" applyFill="1" applyProtection="1"/>
    <xf numFmtId="0" fontId="3" fillId="30" borderId="0" xfId="232" applyFont="1" applyFill="1" applyProtection="1"/>
    <xf numFmtId="0" fontId="2" fillId="30" borderId="0" xfId="225" applyFill="1" applyProtection="1"/>
    <xf numFmtId="0" fontId="2" fillId="30" borderId="0" xfId="232" applyFill="1" applyProtection="1"/>
    <xf numFmtId="0" fontId="39" fillId="30" borderId="52" xfId="232" applyFont="1" applyFill="1" applyBorder="1" applyAlignment="1" applyProtection="1">
      <alignment horizontal="center"/>
    </xf>
    <xf numFmtId="0" fontId="39" fillId="30" borderId="71" xfId="232" applyFont="1" applyFill="1" applyBorder="1" applyAlignment="1" applyProtection="1">
      <alignment horizontal="right"/>
    </xf>
    <xf numFmtId="0" fontId="39" fillId="30" borderId="72" xfId="232" applyFont="1" applyFill="1" applyBorder="1" applyAlignment="1" applyProtection="1">
      <alignment horizontal="right"/>
    </xf>
    <xf numFmtId="0" fontId="39" fillId="30" borderId="73" xfId="232" applyFont="1" applyFill="1" applyBorder="1" applyAlignment="1" applyProtection="1">
      <alignment horizontal="right"/>
    </xf>
    <xf numFmtId="0" fontId="39" fillId="30" borderId="74" xfId="232" applyFont="1" applyFill="1" applyBorder="1" applyAlignment="1" applyProtection="1">
      <alignment horizontal="right"/>
    </xf>
    <xf numFmtId="0" fontId="39" fillId="30" borderId="71" xfId="232" applyFont="1" applyFill="1" applyBorder="1" applyAlignment="1" applyProtection="1">
      <alignment horizontal="center"/>
    </xf>
    <xf numFmtId="0" fontId="39" fillId="30" borderId="72" xfId="232" applyFont="1" applyFill="1" applyBorder="1" applyAlignment="1" applyProtection="1">
      <alignment horizontal="center"/>
    </xf>
    <xf numFmtId="0" fontId="39" fillId="30" borderId="73" xfId="232" applyFont="1" applyFill="1" applyBorder="1" applyAlignment="1" applyProtection="1">
      <alignment horizontal="center"/>
    </xf>
    <xf numFmtId="0" fontId="39" fillId="30" borderId="62" xfId="232" applyFont="1" applyFill="1" applyBorder="1" applyProtection="1"/>
    <xf numFmtId="4" fontId="2" fillId="30" borderId="62" xfId="265" applyNumberFormat="1" applyFont="1" applyFill="1" applyBorder="1" applyAlignment="1" applyProtection="1">
      <alignment horizontal="right"/>
    </xf>
    <xf numFmtId="4" fontId="2" fillId="30" borderId="62" xfId="265" applyNumberFormat="1" applyFont="1" applyFill="1" applyBorder="1" applyProtection="1"/>
    <xf numFmtId="4" fontId="2" fillId="30" borderId="75" xfId="265" applyNumberFormat="1" applyFont="1" applyFill="1" applyBorder="1" applyProtection="1"/>
    <xf numFmtId="4" fontId="2" fillId="30" borderId="76" xfId="265" applyNumberFormat="1" applyFont="1" applyFill="1" applyBorder="1" applyAlignment="1" applyProtection="1">
      <alignment horizontal="right"/>
    </xf>
    <xf numFmtId="4" fontId="2" fillId="30" borderId="27" xfId="265" applyNumberFormat="1" applyFont="1" applyFill="1" applyBorder="1" applyAlignment="1" applyProtection="1">
      <alignment horizontal="right"/>
    </xf>
    <xf numFmtId="4" fontId="2" fillId="30" borderId="76" xfId="265" applyNumberFormat="1" applyFont="1" applyFill="1" applyBorder="1" applyProtection="1"/>
    <xf numFmtId="4" fontId="2" fillId="30" borderId="0" xfId="232" applyNumberFormat="1" applyFill="1" applyProtection="1"/>
    <xf numFmtId="3" fontId="12" fillId="30" borderId="0" xfId="232" applyNumberFormat="1" applyFont="1" applyFill="1" applyBorder="1" applyProtection="1"/>
    <xf numFmtId="0" fontId="39" fillId="30" borderId="77" xfId="232" applyFont="1" applyFill="1" applyBorder="1" applyAlignment="1" applyProtection="1">
      <alignment horizontal="right"/>
    </xf>
    <xf numFmtId="0" fontId="39" fillId="30" borderId="77" xfId="232" applyFont="1" applyFill="1" applyBorder="1" applyProtection="1"/>
    <xf numFmtId="4" fontId="2" fillId="30" borderId="77" xfId="265" applyNumberFormat="1" applyFont="1" applyFill="1" applyBorder="1" applyAlignment="1" applyProtection="1">
      <alignment horizontal="right"/>
    </xf>
    <xf numFmtId="4" fontId="2" fillId="30" borderId="25" xfId="265" applyNumberFormat="1" applyFont="1" applyFill="1" applyBorder="1" applyProtection="1"/>
    <xf numFmtId="4" fontId="2" fillId="30" borderId="78" xfId="265" applyNumberFormat="1" applyFont="1" applyFill="1" applyBorder="1" applyProtection="1"/>
    <xf numFmtId="4" fontId="2" fillId="30" borderId="79" xfId="265" applyNumberFormat="1" applyFont="1" applyFill="1" applyBorder="1" applyAlignment="1" applyProtection="1">
      <alignment horizontal="right"/>
    </xf>
    <xf numFmtId="4" fontId="2" fillId="30" borderId="24" xfId="265" applyNumberFormat="1" applyFont="1" applyFill="1" applyBorder="1" applyAlignment="1" applyProtection="1">
      <alignment horizontal="right"/>
    </xf>
    <xf numFmtId="4" fontId="2" fillId="30" borderId="79" xfId="265" applyNumberFormat="1" applyFont="1" applyFill="1" applyBorder="1" applyProtection="1"/>
    <xf numFmtId="4" fontId="12" fillId="30" borderId="0" xfId="232" applyNumberFormat="1" applyFont="1" applyFill="1" applyBorder="1" applyProtection="1"/>
    <xf numFmtId="4" fontId="3" fillId="30" borderId="0" xfId="232" applyNumberFormat="1" applyFont="1" applyFill="1" applyProtection="1"/>
    <xf numFmtId="0" fontId="39" fillId="30" borderId="62" xfId="232" applyFont="1" applyFill="1" applyBorder="1" applyAlignment="1" applyProtection="1">
      <alignment wrapText="1"/>
    </xf>
    <xf numFmtId="0" fontId="39" fillId="30" borderId="77" xfId="232" applyFont="1" applyFill="1" applyBorder="1" applyAlignment="1" applyProtection="1">
      <alignment horizontal="right" wrapText="1"/>
    </xf>
    <xf numFmtId="4" fontId="2" fillId="30" borderId="0" xfId="232" applyNumberFormat="1" applyFill="1" applyBorder="1" applyProtection="1"/>
    <xf numFmtId="0" fontId="3" fillId="30" borderId="0" xfId="232" applyFont="1" applyFill="1" applyBorder="1" applyProtection="1"/>
    <xf numFmtId="0" fontId="12" fillId="30" borderId="0" xfId="232" applyFont="1" applyFill="1" applyBorder="1" applyProtection="1"/>
    <xf numFmtId="0" fontId="2" fillId="30" borderId="0" xfId="232" applyFill="1" applyAlignment="1" applyProtection="1">
      <alignment horizontal="right"/>
    </xf>
    <xf numFmtId="4" fontId="2" fillId="30" borderId="0" xfId="232" applyNumberFormat="1" applyFill="1" applyBorder="1" applyAlignment="1" applyProtection="1">
      <alignment horizontal="right"/>
    </xf>
    <xf numFmtId="0" fontId="12" fillId="30" borderId="77" xfId="232" applyFont="1" applyFill="1" applyBorder="1" applyAlignment="1" applyProtection="1">
      <alignment horizontal="right"/>
    </xf>
    <xf numFmtId="4" fontId="2" fillId="30" borderId="0" xfId="232" applyNumberFormat="1" applyFill="1" applyAlignment="1" applyProtection="1">
      <alignment horizontal="right"/>
    </xf>
    <xf numFmtId="4" fontId="3" fillId="30" borderId="0" xfId="232" applyNumberFormat="1" applyFont="1" applyFill="1" applyAlignment="1" applyProtection="1">
      <alignment horizontal="right"/>
    </xf>
    <xf numFmtId="0" fontId="39" fillId="30" borderId="18" xfId="232" applyFont="1" applyFill="1" applyBorder="1" applyProtection="1"/>
    <xf numFmtId="4" fontId="39" fillId="30" borderId="0" xfId="232" applyNumberFormat="1" applyFont="1" applyFill="1" applyBorder="1" applyProtection="1"/>
    <xf numFmtId="0" fontId="78" fillId="30" borderId="0" xfId="0" applyFont="1" applyFill="1" applyProtection="1"/>
    <xf numFmtId="0" fontId="39" fillId="30" borderId="0" xfId="232" applyFont="1" applyFill="1" applyBorder="1" applyProtection="1"/>
    <xf numFmtId="3" fontId="55" fillId="30" borderId="0" xfId="232" applyNumberFormat="1" applyFont="1" applyFill="1" applyBorder="1" applyProtection="1"/>
    <xf numFmtId="3" fontId="39" fillId="30" borderId="0" xfId="232" applyNumberFormat="1" applyFont="1" applyFill="1" applyBorder="1" applyProtection="1"/>
    <xf numFmtId="10" fontId="39" fillId="30" borderId="0" xfId="160" applyNumberFormat="1" applyFont="1" applyFill="1" applyBorder="1" applyProtection="1"/>
    <xf numFmtId="0" fontId="55" fillId="30" borderId="0" xfId="232" applyFont="1" applyFill="1" applyBorder="1" applyProtection="1"/>
    <xf numFmtId="4" fontId="40" fillId="30" borderId="0" xfId="232" applyNumberFormat="1" applyFont="1" applyFill="1" applyBorder="1" applyProtection="1"/>
    <xf numFmtId="0" fontId="39" fillId="30" borderId="0" xfId="261" applyFont="1" applyFill="1" applyBorder="1" applyAlignment="1" applyProtection="1">
      <alignment horizontal="left" vertical="center"/>
    </xf>
    <xf numFmtId="172" fontId="39" fillId="30" borderId="0" xfId="261" applyNumberFormat="1" applyFont="1" applyFill="1" applyBorder="1" applyAlignment="1" applyProtection="1">
      <alignment vertical="center"/>
    </xf>
    <xf numFmtId="4" fontId="39" fillId="30" borderId="0" xfId="261" applyNumberFormat="1" applyFont="1" applyFill="1" applyBorder="1" applyAlignment="1" applyProtection="1">
      <alignment horizontal="right" vertical="center"/>
    </xf>
    <xf numFmtId="173" fontId="51" fillId="30" borderId="0" xfId="152" applyNumberFormat="1" applyFont="1" applyFill="1" applyBorder="1" applyAlignment="1" applyProtection="1">
      <alignment horizontal="center" vertical="center"/>
    </xf>
    <xf numFmtId="4" fontId="2" fillId="34" borderId="77" xfId="265" applyNumberFormat="1" applyFont="1" applyFill="1" applyBorder="1" applyAlignment="1" applyProtection="1">
      <alignment horizontal="right"/>
      <protection locked="0"/>
    </xf>
    <xf numFmtId="4" fontId="2" fillId="34" borderId="25" xfId="265" applyNumberFormat="1" applyFont="1" applyFill="1" applyBorder="1" applyProtection="1">
      <protection locked="0"/>
    </xf>
    <xf numFmtId="4" fontId="2" fillId="34" borderId="78" xfId="265" applyNumberFormat="1" applyFont="1" applyFill="1" applyBorder="1" applyProtection="1">
      <protection locked="0"/>
    </xf>
    <xf numFmtId="4" fontId="2" fillId="34" borderId="79" xfId="265" applyNumberFormat="1" applyFont="1" applyFill="1" applyBorder="1" applyAlignment="1" applyProtection="1">
      <alignment horizontal="right"/>
      <protection locked="0"/>
    </xf>
    <xf numFmtId="4" fontId="2" fillId="34" borderId="24" xfId="265" applyNumberFormat="1" applyFont="1" applyFill="1" applyBorder="1" applyAlignment="1" applyProtection="1">
      <alignment horizontal="right"/>
      <protection locked="0"/>
    </xf>
    <xf numFmtId="4" fontId="2" fillId="34" borderId="77" xfId="265" applyNumberFormat="1" applyFont="1" applyFill="1" applyBorder="1" applyProtection="1">
      <protection locked="0"/>
    </xf>
    <xf numFmtId="4" fontId="2" fillId="34" borderId="78" xfId="265" applyNumberFormat="1" applyFont="1" applyFill="1" applyBorder="1" applyAlignment="1" applyProtection="1">
      <alignment horizontal="left"/>
      <protection locked="0"/>
    </xf>
    <xf numFmtId="4" fontId="2" fillId="34" borderId="79" xfId="265" applyNumberFormat="1" applyFont="1" applyFill="1" applyBorder="1" applyProtection="1">
      <protection locked="0"/>
    </xf>
    <xf numFmtId="4" fontId="2" fillId="34" borderId="78" xfId="265" applyNumberFormat="1" applyFont="1" applyFill="1" applyBorder="1" applyAlignment="1" applyProtection="1">
      <alignment horizontal="right"/>
      <protection locked="0"/>
    </xf>
    <xf numFmtId="0" fontId="2" fillId="30" borderId="0" xfId="225" applyFill="1" applyProtection="1">
      <protection locked="0"/>
    </xf>
    <xf numFmtId="0" fontId="2" fillId="0" borderId="0" xfId="232" applyFont="1" applyFill="1" applyAlignment="1" applyProtection="1">
      <alignment horizontal="right"/>
      <protection locked="0"/>
    </xf>
    <xf numFmtId="0" fontId="36" fillId="30" borderId="0" xfId="236" applyFont="1" applyFill="1" applyProtection="1">
      <protection locked="0"/>
    </xf>
    <xf numFmtId="0" fontId="39" fillId="30" borderId="0" xfId="260" applyFont="1" applyFill="1" applyProtection="1">
      <protection locked="0"/>
    </xf>
    <xf numFmtId="0" fontId="12" fillId="30" borderId="0" xfId="236" applyFont="1" applyFill="1" applyAlignment="1" applyProtection="1">
      <alignment horizontal="right"/>
      <protection locked="0"/>
    </xf>
    <xf numFmtId="0" fontId="12" fillId="30" borderId="0" xfId="236" applyFont="1" applyFill="1" applyProtection="1">
      <protection locked="0"/>
    </xf>
    <xf numFmtId="0" fontId="35" fillId="30" borderId="0" xfId="254" applyFont="1" applyFill="1" applyProtection="1">
      <protection locked="0"/>
    </xf>
    <xf numFmtId="0" fontId="2" fillId="30" borderId="0" xfId="254" applyFont="1" applyFill="1" applyProtection="1">
      <protection locked="0"/>
    </xf>
    <xf numFmtId="0" fontId="2" fillId="30" borderId="0" xfId="254" applyFont="1" applyFill="1" applyAlignment="1" applyProtection="1">
      <alignment horizontal="right"/>
      <protection locked="0"/>
    </xf>
    <xf numFmtId="0" fontId="2" fillId="30" borderId="0" xfId="254" applyFill="1" applyProtection="1">
      <protection locked="0"/>
    </xf>
    <xf numFmtId="0" fontId="6" fillId="30" borderId="59" xfId="254" applyFont="1" applyFill="1" applyBorder="1" applyProtection="1">
      <protection locked="0"/>
    </xf>
    <xf numFmtId="0" fontId="3" fillId="30" borderId="60" xfId="254" applyFont="1" applyFill="1" applyBorder="1" applyProtection="1">
      <protection locked="0"/>
    </xf>
    <xf numFmtId="0" fontId="2" fillId="30" borderId="27" xfId="254" applyFont="1" applyFill="1" applyBorder="1" applyProtection="1">
      <protection locked="0"/>
    </xf>
    <xf numFmtId="0" fontId="2" fillId="30" borderId="61" xfId="254" applyFont="1" applyFill="1" applyBorder="1" applyAlignment="1" applyProtection="1">
      <alignment horizontal="right"/>
      <protection locked="0"/>
    </xf>
    <xf numFmtId="0" fontId="2" fillId="30" borderId="87" xfId="254" applyFont="1" applyFill="1" applyBorder="1" applyAlignment="1" applyProtection="1">
      <alignment horizontal="right"/>
      <protection locked="0"/>
    </xf>
    <xf numFmtId="0" fontId="2" fillId="30" borderId="62" xfId="254" applyFont="1" applyFill="1" applyBorder="1" applyAlignment="1" applyProtection="1">
      <alignment horizontal="right"/>
      <protection locked="0"/>
    </xf>
    <xf numFmtId="0" fontId="2" fillId="30" borderId="0" xfId="254" applyFont="1" applyFill="1" applyAlignment="1" applyProtection="1">
      <protection locked="0"/>
    </xf>
    <xf numFmtId="4" fontId="2" fillId="30" borderId="77" xfId="254" applyNumberFormat="1" applyFont="1" applyFill="1" applyBorder="1" applyAlignment="1" applyProtection="1">
      <protection locked="0"/>
    </xf>
    <xf numFmtId="4" fontId="2" fillId="30" borderId="0" xfId="254" applyNumberFormat="1" applyFont="1" applyFill="1" applyAlignment="1" applyProtection="1">
      <protection locked="0"/>
    </xf>
    <xf numFmtId="0" fontId="3" fillId="30" borderId="59" xfId="254" applyFont="1" applyFill="1" applyBorder="1" applyProtection="1">
      <protection locked="0"/>
    </xf>
    <xf numFmtId="0" fontId="3" fillId="30" borderId="24" xfId="254" applyFont="1" applyFill="1" applyBorder="1" applyProtection="1">
      <protection locked="0"/>
    </xf>
    <xf numFmtId="0" fontId="2" fillId="30" borderId="23" xfId="254" applyFont="1" applyFill="1" applyBorder="1" applyAlignment="1" applyProtection="1">
      <alignment horizontal="right"/>
      <protection locked="0"/>
    </xf>
    <xf numFmtId="0" fontId="2" fillId="30" borderId="77" xfId="254" applyFont="1" applyFill="1" applyBorder="1" applyAlignment="1" applyProtection="1">
      <alignment horizontal="right"/>
      <protection locked="0"/>
    </xf>
    <xf numFmtId="0" fontId="42" fillId="30" borderId="61" xfId="254" applyFont="1" applyFill="1" applyBorder="1" applyAlignment="1" applyProtection="1">
      <alignment horizontal="right"/>
      <protection locked="0"/>
    </xf>
    <xf numFmtId="0" fontId="2" fillId="30" borderId="0" xfId="254" applyFont="1" applyFill="1" applyBorder="1" applyProtection="1">
      <protection locked="0"/>
    </xf>
    <xf numFmtId="0" fontId="3" fillId="30" borderId="23" xfId="254" applyFont="1" applyFill="1" applyBorder="1" applyProtection="1">
      <protection locked="0"/>
    </xf>
    <xf numFmtId="0" fontId="2" fillId="30" borderId="24" xfId="254" applyFont="1" applyFill="1" applyBorder="1" applyProtection="1">
      <protection locked="0"/>
    </xf>
    <xf numFmtId="3" fontId="42" fillId="30" borderId="25" xfId="265" applyNumberFormat="1" applyFont="1" applyFill="1" applyBorder="1" applyAlignment="1" applyProtection="1">
      <alignment horizontal="left" indent="2"/>
      <protection locked="0"/>
    </xf>
    <xf numFmtId="4" fontId="2" fillId="30" borderId="77" xfId="265" applyNumberFormat="1" applyFont="1" applyFill="1" applyBorder="1" applyAlignment="1" applyProtection="1">
      <alignment horizontal="right"/>
      <protection locked="0"/>
    </xf>
    <xf numFmtId="0" fontId="3" fillId="30" borderId="23" xfId="254" applyFont="1" applyFill="1" applyBorder="1" applyAlignment="1" applyProtection="1">
      <alignment vertical="center"/>
      <protection locked="0"/>
    </xf>
    <xf numFmtId="0" fontId="2" fillId="30" borderId="0" xfId="254" applyFont="1" applyFill="1" applyAlignment="1" applyProtection="1">
      <alignment horizontal="center"/>
      <protection locked="0"/>
    </xf>
    <xf numFmtId="0" fontId="2" fillId="30" borderId="23" xfId="254" applyFont="1" applyFill="1" applyBorder="1" applyProtection="1">
      <protection locked="0"/>
    </xf>
    <xf numFmtId="0" fontId="2" fillId="0" borderId="24" xfId="225" applyFont="1" applyFill="1" applyBorder="1" applyAlignment="1" applyProtection="1">
      <alignment horizontal="left"/>
      <protection locked="0"/>
    </xf>
    <xf numFmtId="4" fontId="2" fillId="30" borderId="0" xfId="254" applyNumberFormat="1" applyFont="1" applyFill="1" applyProtection="1">
      <protection locked="0"/>
    </xf>
    <xf numFmtId="0" fontId="2" fillId="30" borderId="25" xfId="254" applyFont="1" applyFill="1" applyBorder="1" applyAlignment="1" applyProtection="1">
      <alignment horizontal="right"/>
      <protection locked="0"/>
    </xf>
    <xf numFmtId="0" fontId="42" fillId="30" borderId="61" xfId="254" applyFont="1" applyFill="1" applyBorder="1" applyAlignment="1" applyProtection="1">
      <alignment horizontal="right" vertical="center"/>
      <protection locked="0"/>
    </xf>
    <xf numFmtId="0" fontId="2" fillId="30" borderId="0" xfId="254" applyFont="1" applyFill="1" applyAlignment="1" applyProtection="1">
      <alignment vertical="center"/>
      <protection locked="0"/>
    </xf>
    <xf numFmtId="0" fontId="12" fillId="30" borderId="0" xfId="254" applyFont="1" applyFill="1" applyProtection="1">
      <protection locked="0"/>
    </xf>
    <xf numFmtId="0" fontId="12" fillId="30" borderId="0" xfId="254" applyFont="1" applyFill="1" applyAlignment="1" applyProtection="1">
      <alignment horizontal="right"/>
      <protection locked="0"/>
    </xf>
    <xf numFmtId="0" fontId="12" fillId="30" borderId="0" xfId="254" applyFont="1" applyFill="1" applyAlignment="1" applyProtection="1">
      <protection locked="0"/>
    </xf>
    <xf numFmtId="0" fontId="39" fillId="30" borderId="0" xfId="254" applyFont="1" applyFill="1" applyAlignment="1" applyProtection="1">
      <alignment horizontal="left"/>
      <protection locked="0"/>
    </xf>
    <xf numFmtId="0" fontId="2" fillId="30" borderId="0" xfId="254" applyFill="1" applyAlignment="1" applyProtection="1">
      <alignment horizontal="right"/>
      <protection locked="0"/>
    </xf>
    <xf numFmtId="0" fontId="56" fillId="30" borderId="0" xfId="0" applyFont="1" applyFill="1" applyProtection="1"/>
    <xf numFmtId="0" fontId="39" fillId="30" borderId="0" xfId="0" applyFont="1" applyFill="1" applyProtection="1"/>
    <xf numFmtId="0" fontId="0" fillId="30" borderId="53" xfId="0" applyFill="1" applyBorder="1" applyProtection="1"/>
    <xf numFmtId="4" fontId="0" fillId="30" borderId="88" xfId="0" applyNumberFormat="1" applyFill="1" applyBorder="1" applyProtection="1"/>
    <xf numFmtId="4" fontId="0" fillId="30" borderId="89" xfId="0" applyNumberFormat="1" applyFill="1" applyBorder="1" applyProtection="1"/>
    <xf numFmtId="4" fontId="0" fillId="30" borderId="22" xfId="0" applyNumberFormat="1" applyFill="1" applyBorder="1" applyProtection="1"/>
    <xf numFmtId="0" fontId="73" fillId="30" borderId="90" xfId="0" applyFont="1" applyFill="1" applyBorder="1" applyProtection="1"/>
    <xf numFmtId="4" fontId="0" fillId="30" borderId="32" xfId="0" applyNumberFormat="1" applyFill="1" applyBorder="1" applyProtection="1"/>
    <xf numFmtId="0" fontId="73" fillId="30" borderId="39" xfId="0" applyFont="1" applyFill="1" applyBorder="1" applyProtection="1"/>
    <xf numFmtId="4" fontId="3" fillId="30" borderId="91" xfId="0" applyNumberFormat="1" applyFont="1" applyFill="1" applyBorder="1" applyProtection="1"/>
    <xf numFmtId="4" fontId="3" fillId="30" borderId="92" xfId="0" applyNumberFormat="1" applyFont="1" applyFill="1" applyBorder="1" applyProtection="1"/>
    <xf numFmtId="4" fontId="3" fillId="30" borderId="37" xfId="0" applyNumberFormat="1" applyFont="1" applyFill="1" applyBorder="1" applyProtection="1"/>
    <xf numFmtId="4" fontId="73" fillId="30" borderId="92" xfId="0" applyNumberFormat="1" applyFont="1" applyFill="1" applyBorder="1" applyProtection="1"/>
    <xf numFmtId="0" fontId="73" fillId="30" borderId="0" xfId="0" applyFont="1" applyFill="1" applyProtection="1"/>
    <xf numFmtId="0" fontId="73" fillId="30" borderId="53" xfId="0" applyFont="1" applyFill="1" applyBorder="1" applyProtection="1"/>
    <xf numFmtId="0" fontId="3" fillId="30" borderId="38" xfId="0" applyFont="1" applyFill="1" applyBorder="1" applyProtection="1"/>
    <xf numFmtId="0" fontId="0" fillId="30" borderId="38" xfId="0" applyFill="1" applyBorder="1" applyProtection="1"/>
    <xf numFmtId="4" fontId="3" fillId="30" borderId="90" xfId="0" applyNumberFormat="1" applyFont="1" applyFill="1" applyBorder="1" applyProtection="1"/>
    <xf numFmtId="4" fontId="3" fillId="30" borderId="39" xfId="0" applyNumberFormat="1" applyFont="1" applyFill="1" applyBorder="1" applyProtection="1"/>
    <xf numFmtId="4" fontId="79" fillId="30" borderId="0" xfId="0" applyNumberFormat="1" applyFont="1" applyFill="1" applyProtection="1"/>
    <xf numFmtId="4" fontId="2" fillId="34" borderId="23" xfId="265" applyNumberFormat="1" applyFont="1" applyFill="1" applyBorder="1" applyProtection="1">
      <protection locked="0"/>
    </xf>
    <xf numFmtId="4" fontId="2" fillId="34" borderId="93" xfId="265" applyNumberFormat="1" applyFont="1" applyFill="1" applyBorder="1" applyProtection="1">
      <protection locked="0"/>
    </xf>
    <xf numFmtId="0" fontId="37" fillId="30" borderId="14" xfId="225" applyFont="1" applyFill="1" applyBorder="1" applyAlignment="1" applyProtection="1">
      <alignment horizontal="center" vertical="center"/>
    </xf>
    <xf numFmtId="0" fontId="37" fillId="30" borderId="15" xfId="225" applyFont="1" applyFill="1" applyBorder="1" applyAlignment="1" applyProtection="1">
      <alignment horizontal="center" vertical="center"/>
    </xf>
    <xf numFmtId="0" fontId="37" fillId="30" borderId="94" xfId="225" applyFont="1" applyFill="1" applyBorder="1" applyAlignment="1" applyProtection="1">
      <alignment horizontal="center" vertical="center"/>
    </xf>
    <xf numFmtId="0" fontId="37" fillId="30" borderId="16" xfId="225" applyFont="1" applyFill="1" applyBorder="1" applyAlignment="1" applyProtection="1">
      <alignment horizontal="center" vertical="center"/>
    </xf>
    <xf numFmtId="0" fontId="37" fillId="30" borderId="17" xfId="225" applyFont="1" applyFill="1" applyBorder="1" applyAlignment="1" applyProtection="1">
      <alignment horizontal="center" vertical="center"/>
    </xf>
    <xf numFmtId="0" fontId="37" fillId="30" borderId="95" xfId="225" applyFont="1" applyFill="1" applyBorder="1" applyAlignment="1" applyProtection="1">
      <alignment horizontal="center" vertical="center"/>
    </xf>
    <xf numFmtId="0" fontId="37" fillId="30" borderId="0" xfId="225" applyFont="1" applyFill="1" applyBorder="1" applyAlignment="1" applyProtection="1">
      <alignment horizontal="center" vertical="center"/>
    </xf>
    <xf numFmtId="0" fontId="37" fillId="30" borderId="22" xfId="225" applyFont="1" applyFill="1" applyBorder="1" applyAlignment="1" applyProtection="1">
      <alignment horizontal="center" vertical="center"/>
    </xf>
    <xf numFmtId="0" fontId="37" fillId="30" borderId="18" xfId="225" applyFont="1" applyFill="1" applyBorder="1" applyAlignment="1" applyProtection="1">
      <alignment horizontal="center" vertical="center"/>
    </xf>
    <xf numFmtId="0" fontId="37" fillId="30" borderId="19" xfId="225" applyFont="1" applyFill="1" applyBorder="1" applyAlignment="1" applyProtection="1">
      <alignment horizontal="center" vertical="center"/>
    </xf>
    <xf numFmtId="0" fontId="37" fillId="30" borderId="20" xfId="225" applyFont="1" applyFill="1" applyBorder="1" applyAlignment="1" applyProtection="1">
      <alignment horizontal="center" vertical="center"/>
    </xf>
    <xf numFmtId="0" fontId="37" fillId="30" borderId="37" xfId="225" applyFont="1" applyFill="1" applyBorder="1" applyAlignment="1" applyProtection="1">
      <alignment horizontal="center" vertical="center"/>
    </xf>
    <xf numFmtId="0" fontId="3" fillId="30" borderId="59" xfId="225" applyFont="1" applyFill="1" applyBorder="1" applyProtection="1"/>
    <xf numFmtId="0" fontId="2" fillId="30" borderId="60" xfId="225" applyFont="1" applyFill="1" applyBorder="1" applyProtection="1"/>
    <xf numFmtId="0" fontId="2" fillId="30" borderId="61" xfId="225" applyFont="1" applyFill="1" applyBorder="1" applyProtection="1"/>
    <xf numFmtId="0" fontId="2" fillId="30" borderId="14" xfId="225" applyFont="1" applyFill="1" applyBorder="1" applyProtection="1"/>
    <xf numFmtId="165" fontId="3" fillId="30" borderId="59" xfId="225" applyNumberFormat="1" applyFont="1" applyFill="1" applyBorder="1" applyProtection="1"/>
    <xf numFmtId="165" fontId="3" fillId="30" borderId="60" xfId="225" applyNumberFormat="1" applyFont="1" applyFill="1" applyBorder="1" applyProtection="1"/>
    <xf numFmtId="165" fontId="3" fillId="30" borderId="61" xfId="225" applyNumberFormat="1" applyFont="1" applyFill="1" applyBorder="1" applyProtection="1"/>
    <xf numFmtId="0" fontId="2" fillId="30" borderId="59" xfId="225" applyFont="1" applyFill="1" applyBorder="1" applyProtection="1"/>
    <xf numFmtId="10" fontId="2" fillId="30" borderId="26" xfId="159" applyNumberFormat="1" applyFont="1" applyFill="1" applyBorder="1" applyAlignment="1" applyProtection="1">
      <alignment horizontal="right"/>
    </xf>
    <xf numFmtId="0" fontId="3" fillId="30" borderId="59" xfId="225" applyFont="1" applyFill="1" applyBorder="1" applyAlignment="1" applyProtection="1">
      <alignment horizontal="right"/>
    </xf>
    <xf numFmtId="0" fontId="3" fillId="30" borderId="60" xfId="225" applyFont="1" applyFill="1" applyBorder="1" applyProtection="1"/>
    <xf numFmtId="0" fontId="3" fillId="30" borderId="61" xfId="225" applyFont="1" applyFill="1" applyBorder="1" applyProtection="1"/>
    <xf numFmtId="0" fontId="3" fillId="30" borderId="14" xfId="225" applyFont="1" applyFill="1" applyBorder="1" applyProtection="1"/>
    <xf numFmtId="165" fontId="2" fillId="30" borderId="61" xfId="225" applyNumberFormat="1" applyFont="1" applyFill="1" applyBorder="1" applyProtection="1"/>
    <xf numFmtId="0" fontId="2" fillId="30" borderId="60" xfId="225" applyFont="1" applyFill="1" applyBorder="1" applyAlignment="1" applyProtection="1">
      <alignment horizontal="right"/>
    </xf>
    <xf numFmtId="3" fontId="42" fillId="30" borderId="61" xfId="265" applyNumberFormat="1" applyFont="1" applyFill="1" applyBorder="1" applyAlignment="1" applyProtection="1">
      <alignment horizontal="right"/>
    </xf>
    <xf numFmtId="3" fontId="42" fillId="30" borderId="14" xfId="265" applyNumberFormat="1" applyFont="1" applyFill="1" applyBorder="1" applyAlignment="1" applyProtection="1">
      <alignment horizontal="right"/>
    </xf>
    <xf numFmtId="3" fontId="42" fillId="30" borderId="59" xfId="265" applyNumberFormat="1" applyFont="1" applyFill="1" applyBorder="1" applyAlignment="1" applyProtection="1">
      <alignment horizontal="right"/>
    </xf>
    <xf numFmtId="10" fontId="42" fillId="30" borderId="26" xfId="159" applyNumberFormat="1" applyFont="1" applyFill="1" applyBorder="1" applyAlignment="1" applyProtection="1">
      <alignment horizontal="right"/>
    </xf>
    <xf numFmtId="3" fontId="42" fillId="30" borderId="60" xfId="265" applyNumberFormat="1" applyFont="1" applyFill="1" applyBorder="1" applyAlignment="1" applyProtection="1">
      <alignment horizontal="right"/>
    </xf>
    <xf numFmtId="0" fontId="2" fillId="30" borderId="61" xfId="225" applyFont="1" applyFill="1" applyBorder="1" applyAlignment="1" applyProtection="1">
      <alignment horizontal="right"/>
    </xf>
    <xf numFmtId="0" fontId="2" fillId="30" borderId="14" xfId="225" applyFont="1" applyFill="1" applyBorder="1" applyAlignment="1" applyProtection="1">
      <alignment horizontal="right"/>
    </xf>
    <xf numFmtId="0" fontId="2" fillId="30" borderId="59" xfId="225" applyFont="1" applyFill="1" applyBorder="1" applyAlignment="1" applyProtection="1">
      <alignment horizontal="right"/>
    </xf>
    <xf numFmtId="0" fontId="3" fillId="30" borderId="60" xfId="225" applyFont="1" applyFill="1" applyBorder="1" applyAlignment="1" applyProtection="1">
      <alignment wrapText="1"/>
    </xf>
    <xf numFmtId="0" fontId="3" fillId="30" borderId="59" xfId="225" applyFont="1" applyFill="1" applyBorder="1" applyAlignment="1" applyProtection="1">
      <alignment vertical="center"/>
    </xf>
    <xf numFmtId="165" fontId="3" fillId="30" borderId="59" xfId="225" applyNumberFormat="1" applyFont="1" applyFill="1" applyBorder="1" applyAlignment="1" applyProtection="1">
      <alignment horizontal="right" vertical="center"/>
    </xf>
    <xf numFmtId="10" fontId="3" fillId="30" borderId="26" xfId="159" applyNumberFormat="1" applyFont="1" applyFill="1" applyBorder="1" applyAlignment="1" applyProtection="1">
      <alignment horizontal="right" vertical="center"/>
    </xf>
    <xf numFmtId="165" fontId="3" fillId="30" borderId="60" xfId="225" applyNumberFormat="1" applyFont="1" applyFill="1" applyBorder="1" applyAlignment="1" applyProtection="1">
      <alignment horizontal="right" vertical="center"/>
    </xf>
    <xf numFmtId="165" fontId="3" fillId="30" borderId="61" xfId="225" applyNumberFormat="1" applyFont="1" applyFill="1" applyBorder="1" applyAlignment="1" applyProtection="1">
      <alignment vertical="center"/>
    </xf>
    <xf numFmtId="0" fontId="3" fillId="30" borderId="59" xfId="225" applyFont="1" applyFill="1" applyBorder="1" applyAlignment="1" applyProtection="1">
      <alignment horizontal="right" vertical="center"/>
    </xf>
    <xf numFmtId="0" fontId="3" fillId="30" borderId="24" xfId="225" applyFont="1" applyFill="1" applyBorder="1" applyAlignment="1" applyProtection="1">
      <alignment vertical="center"/>
    </xf>
    <xf numFmtId="3" fontId="42" fillId="30" borderId="61" xfId="265" applyNumberFormat="1" applyFont="1" applyFill="1" applyBorder="1" applyAlignment="1" applyProtection="1">
      <alignment horizontal="right" vertical="center"/>
    </xf>
    <xf numFmtId="3" fontId="42" fillId="30" borderId="14" xfId="265" applyNumberFormat="1" applyFont="1" applyFill="1" applyBorder="1" applyAlignment="1" applyProtection="1">
      <alignment horizontal="right" vertical="center"/>
    </xf>
    <xf numFmtId="10" fontId="2" fillId="30" borderId="26" xfId="159" applyNumberFormat="1" applyFont="1" applyFill="1" applyBorder="1" applyAlignment="1" applyProtection="1">
      <alignment horizontal="right" vertical="center"/>
    </xf>
    <xf numFmtId="165" fontId="2" fillId="30" borderId="61" xfId="225" applyNumberFormat="1" applyFont="1" applyFill="1" applyBorder="1" applyAlignment="1" applyProtection="1">
      <alignment vertical="center"/>
    </xf>
    <xf numFmtId="0" fontId="3" fillId="30" borderId="60" xfId="225" applyFont="1" applyFill="1" applyBorder="1" applyAlignment="1" applyProtection="1">
      <alignment vertical="center"/>
    </xf>
    <xf numFmtId="0" fontId="3" fillId="30" borderId="33" xfId="225" applyFont="1" applyFill="1" applyBorder="1" applyAlignment="1" applyProtection="1">
      <alignment horizontal="right" vertical="center"/>
    </xf>
    <xf numFmtId="0" fontId="3" fillId="30" borderId="23" xfId="225" applyFont="1" applyFill="1" applyBorder="1" applyAlignment="1" applyProtection="1">
      <alignment horizontal="right" vertical="top"/>
    </xf>
    <xf numFmtId="0" fontId="3" fillId="30" borderId="60" xfId="225" applyFont="1" applyFill="1" applyBorder="1" applyAlignment="1" applyProtection="1">
      <alignment vertical="top" wrapText="1"/>
    </xf>
    <xf numFmtId="3" fontId="42" fillId="30" borderId="61" xfId="265" applyNumberFormat="1" applyFont="1" applyFill="1" applyBorder="1" applyAlignment="1" applyProtection="1">
      <alignment horizontal="right" vertical="top"/>
    </xf>
    <xf numFmtId="3" fontId="42" fillId="30" borderId="14" xfId="265" applyNumberFormat="1" applyFont="1" applyFill="1" applyBorder="1" applyAlignment="1" applyProtection="1">
      <alignment horizontal="right" vertical="top"/>
    </xf>
    <xf numFmtId="10" fontId="2" fillId="30" borderId="30" xfId="159" applyNumberFormat="1" applyFont="1" applyFill="1" applyBorder="1" applyAlignment="1" applyProtection="1">
      <alignment horizontal="right" vertical="top"/>
    </xf>
    <xf numFmtId="10" fontId="2" fillId="30" borderId="26" xfId="159" applyNumberFormat="1" applyFont="1" applyFill="1" applyBorder="1" applyAlignment="1" applyProtection="1">
      <alignment horizontal="right" vertical="top"/>
    </xf>
    <xf numFmtId="165" fontId="2" fillId="30" borderId="61" xfId="225" applyNumberFormat="1" applyFont="1" applyFill="1" applyBorder="1" applyAlignment="1" applyProtection="1">
      <alignment vertical="top"/>
    </xf>
    <xf numFmtId="0" fontId="3" fillId="30" borderId="33" xfId="225" applyFont="1" applyFill="1" applyBorder="1" applyAlignment="1" applyProtection="1">
      <alignment horizontal="right" vertical="top"/>
    </xf>
    <xf numFmtId="0" fontId="3" fillId="30" borderId="0" xfId="225" applyFont="1" applyFill="1" applyBorder="1" applyAlignment="1" applyProtection="1">
      <alignment vertical="top" wrapText="1"/>
    </xf>
    <xf numFmtId="3" fontId="42" fillId="30" borderId="22" xfId="265" applyNumberFormat="1" applyFont="1" applyFill="1" applyBorder="1" applyAlignment="1" applyProtection="1">
      <alignment horizontal="right" vertical="top"/>
    </xf>
    <xf numFmtId="10" fontId="42" fillId="30" borderId="95" xfId="159" applyNumberFormat="1" applyFont="1" applyFill="1" applyBorder="1" applyAlignment="1" applyProtection="1">
      <alignment horizontal="right" vertical="top"/>
    </xf>
    <xf numFmtId="3" fontId="42" fillId="30" borderId="0" xfId="265" applyNumberFormat="1" applyFont="1" applyFill="1" applyBorder="1" applyAlignment="1" applyProtection="1">
      <alignment horizontal="right" vertical="top"/>
    </xf>
    <xf numFmtId="0" fontId="3" fillId="30" borderId="18" xfId="225" applyFont="1" applyFill="1" applyBorder="1" applyAlignment="1" applyProtection="1">
      <alignment horizontal="right" vertical="center"/>
    </xf>
    <xf numFmtId="0" fontId="3" fillId="30" borderId="20" xfId="225" applyFont="1" applyFill="1" applyBorder="1" applyAlignment="1" applyProtection="1">
      <alignment vertical="center" wrapText="1"/>
    </xf>
    <xf numFmtId="3" fontId="42" fillId="30" borderId="37" xfId="265" applyNumberFormat="1" applyFont="1" applyFill="1" applyBorder="1" applyAlignment="1" applyProtection="1">
      <alignment horizontal="right" vertical="center"/>
    </xf>
    <xf numFmtId="165" fontId="3" fillId="30" borderId="18" xfId="265" applyNumberFormat="1" applyFont="1" applyFill="1" applyBorder="1" applyAlignment="1" applyProtection="1">
      <alignment horizontal="right" vertical="center"/>
    </xf>
    <xf numFmtId="10" fontId="3" fillId="30" borderId="19" xfId="159" applyNumberFormat="1" applyFont="1" applyFill="1" applyBorder="1" applyAlignment="1" applyProtection="1">
      <alignment horizontal="right" vertical="center"/>
    </xf>
    <xf numFmtId="165" fontId="3" fillId="30" borderId="20" xfId="265" applyNumberFormat="1" applyFont="1" applyFill="1" applyBorder="1" applyAlignment="1" applyProtection="1">
      <alignment horizontal="right" vertical="center"/>
    </xf>
    <xf numFmtId="165" fontId="3" fillId="30" borderId="37" xfId="265" applyNumberFormat="1" applyFont="1" applyFill="1" applyBorder="1" applyAlignment="1" applyProtection="1">
      <alignment horizontal="right" vertical="center"/>
    </xf>
    <xf numFmtId="0" fontId="2" fillId="30" borderId="0" xfId="225" applyFont="1" applyFill="1" applyAlignment="1" applyProtection="1">
      <alignment vertical="center"/>
    </xf>
    <xf numFmtId="0" fontId="42" fillId="30" borderId="0" xfId="225" applyFont="1" applyFill="1" applyProtection="1"/>
    <xf numFmtId="165" fontId="42" fillId="30" borderId="0" xfId="225" applyNumberFormat="1" applyFont="1" applyFill="1" applyProtection="1"/>
    <xf numFmtId="165" fontId="2" fillId="34" borderId="23" xfId="265" applyNumberFormat="1" applyFont="1" applyFill="1" applyBorder="1" applyAlignment="1" applyProtection="1">
      <alignment vertical="top"/>
      <protection locked="0"/>
    </xf>
    <xf numFmtId="165" fontId="2" fillId="34" borderId="24" xfId="265" applyNumberFormat="1" applyFont="1" applyFill="1" applyBorder="1" applyAlignment="1" applyProtection="1">
      <alignment vertical="top"/>
      <protection locked="0"/>
    </xf>
    <xf numFmtId="0" fontId="2" fillId="30" borderId="15" xfId="225" applyFont="1" applyFill="1" applyBorder="1" applyProtection="1"/>
    <xf numFmtId="0" fontId="2" fillId="30" borderId="16" xfId="225" applyFont="1" applyFill="1" applyBorder="1" applyProtection="1"/>
    <xf numFmtId="0" fontId="2" fillId="30" borderId="17" xfId="225" applyFont="1" applyFill="1" applyBorder="1" applyProtection="1"/>
    <xf numFmtId="0" fontId="2" fillId="30" borderId="40" xfId="225" applyFont="1" applyFill="1" applyBorder="1" applyProtection="1"/>
    <xf numFmtId="0" fontId="2" fillId="30" borderId="41" xfId="225" applyFont="1" applyFill="1" applyBorder="1" applyProtection="1"/>
    <xf numFmtId="0" fontId="2" fillId="30" borderId="42" xfId="225" applyFont="1" applyFill="1" applyBorder="1" applyProtection="1"/>
    <xf numFmtId="0" fontId="3" fillId="30" borderId="91" xfId="225" applyFont="1" applyFill="1" applyBorder="1" applyAlignment="1" applyProtection="1">
      <alignment horizontal="center" vertical="center"/>
    </xf>
    <xf numFmtId="0" fontId="3" fillId="30" borderId="96" xfId="225" applyFont="1" applyFill="1" applyBorder="1" applyAlignment="1" applyProtection="1">
      <alignment horizontal="center" vertical="center"/>
    </xf>
    <xf numFmtId="0" fontId="3" fillId="30" borderId="37" xfId="225" applyFont="1" applyFill="1" applyBorder="1" applyAlignment="1" applyProtection="1">
      <alignment horizontal="center" vertical="center"/>
    </xf>
    <xf numFmtId="0" fontId="3" fillId="30" borderId="18" xfId="225" applyFont="1" applyFill="1" applyBorder="1" applyAlignment="1" applyProtection="1">
      <alignment horizontal="center" vertical="center"/>
    </xf>
    <xf numFmtId="0" fontId="3" fillId="30" borderId="20" xfId="225" applyFont="1" applyFill="1" applyBorder="1" applyAlignment="1" applyProtection="1">
      <alignment horizontal="center" vertical="center"/>
    </xf>
    <xf numFmtId="165" fontId="3" fillId="30" borderId="97" xfId="225" applyNumberFormat="1" applyFont="1" applyFill="1" applyBorder="1" applyProtection="1"/>
    <xf numFmtId="165" fontId="3" fillId="30" borderId="98" xfId="225" applyNumberFormat="1" applyFont="1" applyFill="1" applyBorder="1" applyProtection="1"/>
    <xf numFmtId="165" fontId="3" fillId="30" borderId="99" xfId="225" applyNumberFormat="1" applyFont="1" applyFill="1" applyBorder="1" applyProtection="1"/>
    <xf numFmtId="165" fontId="3" fillId="30" borderId="100" xfId="225" applyNumberFormat="1" applyFont="1" applyFill="1" applyBorder="1" applyProtection="1"/>
    <xf numFmtId="165" fontId="3" fillId="30" borderId="101" xfId="225" applyNumberFormat="1" applyFont="1" applyFill="1" applyBorder="1" applyProtection="1"/>
    <xf numFmtId="165" fontId="3" fillId="30" borderId="76" xfId="225" applyNumberFormat="1" applyFont="1" applyFill="1" applyBorder="1" applyProtection="1"/>
    <xf numFmtId="165" fontId="3" fillId="30" borderId="87" xfId="225" applyNumberFormat="1" applyFont="1" applyFill="1" applyBorder="1" applyProtection="1"/>
    <xf numFmtId="10" fontId="3" fillId="30" borderId="100" xfId="159" applyNumberFormat="1" applyFont="1" applyFill="1" applyBorder="1" applyAlignment="1" applyProtection="1">
      <alignment horizontal="right"/>
    </xf>
    <xf numFmtId="165" fontId="3" fillId="30" borderId="27" xfId="225" applyNumberFormat="1" applyFont="1" applyFill="1" applyBorder="1" applyProtection="1"/>
    <xf numFmtId="4" fontId="2" fillId="30" borderId="97" xfId="225" applyNumberFormat="1" applyFont="1" applyFill="1" applyBorder="1" applyProtection="1"/>
    <xf numFmtId="4" fontId="2" fillId="30" borderId="98" xfId="225" applyNumberFormat="1" applyFont="1" applyFill="1" applyBorder="1" applyProtection="1"/>
    <xf numFmtId="4" fontId="3" fillId="30" borderId="61" xfId="225" applyNumberFormat="1" applyFont="1" applyFill="1" applyBorder="1" applyProtection="1"/>
    <xf numFmtId="4" fontId="2" fillId="30" borderId="99" xfId="225" applyNumberFormat="1" applyFont="1" applyFill="1" applyBorder="1" applyProtection="1"/>
    <xf numFmtId="4" fontId="3" fillId="30" borderId="60" xfId="225" applyNumberFormat="1" applyFont="1" applyFill="1" applyBorder="1" applyProtection="1"/>
    <xf numFmtId="4" fontId="3" fillId="30" borderId="59" xfId="225" applyNumberFormat="1" applyFont="1" applyFill="1" applyBorder="1" applyProtection="1"/>
    <xf numFmtId="10" fontId="3" fillId="30" borderId="98" xfId="159" applyNumberFormat="1" applyFont="1" applyFill="1" applyBorder="1" applyAlignment="1" applyProtection="1">
      <alignment horizontal="right"/>
    </xf>
    <xf numFmtId="165" fontId="3" fillId="30" borderId="25" xfId="265" applyNumberFormat="1" applyFont="1" applyFill="1" applyBorder="1" applyProtection="1"/>
    <xf numFmtId="10" fontId="3" fillId="30" borderId="93" xfId="159" applyNumberFormat="1" applyFont="1" applyFill="1" applyBorder="1" applyAlignment="1" applyProtection="1">
      <alignment horizontal="right"/>
    </xf>
    <xf numFmtId="4" fontId="42" fillId="30" borderId="93" xfId="265" applyNumberFormat="1" applyFont="1" applyFill="1" applyBorder="1" applyAlignment="1" applyProtection="1">
      <alignment horizontal="right"/>
    </xf>
    <xf numFmtId="4" fontId="48" fillId="30" borderId="25" xfId="265" applyNumberFormat="1" applyFont="1" applyFill="1" applyBorder="1" applyAlignment="1" applyProtection="1">
      <alignment horizontal="right"/>
    </xf>
    <xf numFmtId="4" fontId="42" fillId="30" borderId="79" xfId="265" applyNumberFormat="1" applyFont="1" applyFill="1" applyBorder="1" applyAlignment="1" applyProtection="1">
      <alignment horizontal="right"/>
    </xf>
    <xf numFmtId="4" fontId="42" fillId="30" borderId="99" xfId="265" applyNumberFormat="1" applyFont="1" applyFill="1" applyBorder="1" applyAlignment="1" applyProtection="1">
      <alignment horizontal="right"/>
    </xf>
    <xf numFmtId="4" fontId="48" fillId="30" borderId="99" xfId="265" applyNumberFormat="1" applyFont="1" applyFill="1" applyBorder="1" applyAlignment="1" applyProtection="1">
      <alignment horizontal="right"/>
    </xf>
    <xf numFmtId="4" fontId="48" fillId="30" borderId="79" xfId="265" applyNumberFormat="1" applyFont="1" applyFill="1" applyBorder="1" applyAlignment="1" applyProtection="1">
      <alignment horizontal="right"/>
    </xf>
    <xf numFmtId="4" fontId="48" fillId="30" borderId="23" xfId="265" applyNumberFormat="1" applyFont="1" applyFill="1" applyBorder="1" applyAlignment="1" applyProtection="1">
      <alignment horizontal="right"/>
    </xf>
    <xf numFmtId="10" fontId="48" fillId="30" borderId="93" xfId="159" applyNumberFormat="1" applyFont="1" applyFill="1" applyBorder="1" applyAlignment="1" applyProtection="1">
      <alignment horizontal="right"/>
    </xf>
    <xf numFmtId="4" fontId="48" fillId="30" borderId="24" xfId="265" applyNumberFormat="1" applyFont="1" applyFill="1" applyBorder="1" applyAlignment="1" applyProtection="1">
      <alignment horizontal="right"/>
    </xf>
    <xf numFmtId="165" fontId="3" fillId="30" borderId="33" xfId="265" applyNumberFormat="1" applyFont="1" applyFill="1" applyBorder="1" applyProtection="1"/>
    <xf numFmtId="10" fontId="3" fillId="30" borderId="102" xfId="159" applyNumberFormat="1" applyFont="1" applyFill="1" applyBorder="1" applyAlignment="1" applyProtection="1">
      <alignment horizontal="right"/>
    </xf>
    <xf numFmtId="165" fontId="3" fillId="30" borderId="34" xfId="265" applyNumberFormat="1" applyFont="1" applyFill="1" applyBorder="1" applyProtection="1"/>
    <xf numFmtId="165" fontId="3" fillId="30" borderId="32" xfId="265" applyNumberFormat="1" applyFont="1" applyFill="1" applyBorder="1" applyProtection="1"/>
    <xf numFmtId="4" fontId="42" fillId="30" borderId="78" xfId="265" applyNumberFormat="1" applyFont="1" applyFill="1" applyBorder="1" applyAlignment="1" applyProtection="1"/>
    <xf numFmtId="4" fontId="42" fillId="30" borderId="79" xfId="265" applyNumberFormat="1" applyFont="1" applyFill="1" applyBorder="1" applyAlignment="1" applyProtection="1"/>
    <xf numFmtId="4" fontId="42" fillId="30" borderId="103" xfId="265" applyNumberFormat="1" applyFont="1" applyFill="1" applyBorder="1" applyAlignment="1" applyProtection="1"/>
    <xf numFmtId="4" fontId="42" fillId="30" borderId="25" xfId="265" applyNumberFormat="1" applyFont="1" applyFill="1" applyBorder="1" applyAlignment="1" applyProtection="1"/>
    <xf numFmtId="0" fontId="3" fillId="30" borderId="23" xfId="225" applyFont="1" applyFill="1" applyBorder="1" applyProtection="1"/>
    <xf numFmtId="0" fontId="3" fillId="30" borderId="24" xfId="225" applyFont="1" applyFill="1" applyBorder="1" applyProtection="1"/>
    <xf numFmtId="0" fontId="3" fillId="30" borderId="25" xfId="225" applyFont="1" applyFill="1" applyBorder="1" applyProtection="1"/>
    <xf numFmtId="0" fontId="2" fillId="30" borderId="23" xfId="225" applyFont="1" applyFill="1" applyBorder="1" applyProtection="1"/>
    <xf numFmtId="10" fontId="2" fillId="30" borderId="93" xfId="159" applyNumberFormat="1" applyFont="1" applyFill="1" applyBorder="1" applyAlignment="1" applyProtection="1">
      <alignment horizontal="right"/>
    </xf>
    <xf numFmtId="0" fontId="2" fillId="30" borderId="24" xfId="225" applyFont="1" applyFill="1" applyBorder="1" applyProtection="1"/>
    <xf numFmtId="0" fontId="2" fillId="30" borderId="25" xfId="225" applyFont="1" applyFill="1" applyBorder="1" applyProtection="1"/>
    <xf numFmtId="4" fontId="2" fillId="30" borderId="78" xfId="225" applyNumberFormat="1" applyFont="1" applyFill="1" applyBorder="1" applyAlignment="1" applyProtection="1"/>
    <xf numFmtId="4" fontId="2" fillId="30" borderId="79" xfId="225" applyNumberFormat="1" applyFont="1" applyFill="1" applyBorder="1" applyAlignment="1" applyProtection="1"/>
    <xf numFmtId="4" fontId="2" fillId="30" borderId="103" xfId="225" applyNumberFormat="1" applyFont="1" applyFill="1" applyBorder="1" applyAlignment="1" applyProtection="1"/>
    <xf numFmtId="4" fontId="2" fillId="30" borderId="99" xfId="225" applyNumberFormat="1" applyFont="1" applyFill="1" applyBorder="1" applyAlignment="1" applyProtection="1">
      <alignment horizontal="center"/>
    </xf>
    <xf numFmtId="4" fontId="2" fillId="30" borderId="60" xfId="225" applyNumberFormat="1" applyFont="1" applyFill="1" applyBorder="1" applyAlignment="1" applyProtection="1">
      <alignment horizontal="center"/>
    </xf>
    <xf numFmtId="4" fontId="2" fillId="30" borderId="104" xfId="225" applyNumberFormat="1" applyFont="1" applyFill="1" applyBorder="1" applyProtection="1"/>
    <xf numFmtId="4" fontId="2" fillId="30" borderId="103" xfId="225" applyNumberFormat="1" applyFont="1" applyFill="1" applyBorder="1" applyProtection="1"/>
    <xf numFmtId="4" fontId="2" fillId="30" borderId="79" xfId="225" applyNumberFormat="1" applyFont="1" applyFill="1" applyBorder="1" applyProtection="1"/>
    <xf numFmtId="4" fontId="2" fillId="30" borderId="60" xfId="225" applyNumberFormat="1" applyFont="1" applyFill="1" applyBorder="1" applyProtection="1"/>
    <xf numFmtId="3" fontId="48" fillId="30" borderId="61" xfId="265" applyNumberFormat="1" applyFont="1" applyFill="1" applyBorder="1" applyAlignment="1" applyProtection="1">
      <alignment horizontal="right"/>
    </xf>
    <xf numFmtId="0" fontId="3" fillId="30" borderId="61" xfId="225" applyFont="1" applyFill="1" applyBorder="1" applyAlignment="1" applyProtection="1">
      <alignment horizontal="right"/>
    </xf>
    <xf numFmtId="165" fontId="3" fillId="30" borderId="93" xfId="265" applyNumberFormat="1" applyFont="1" applyFill="1" applyBorder="1" applyProtection="1"/>
    <xf numFmtId="0" fontId="3" fillId="30" borderId="33" xfId="225" applyFont="1" applyFill="1" applyBorder="1" applyAlignment="1" applyProtection="1">
      <alignment horizontal="right"/>
    </xf>
    <xf numFmtId="165" fontId="3" fillId="30" borderId="25" xfId="265" applyNumberFormat="1" applyFont="1" applyFill="1" applyBorder="1" applyAlignment="1" applyProtection="1">
      <alignment vertical="top"/>
    </xf>
    <xf numFmtId="165" fontId="3" fillId="30" borderId="23" xfId="265" applyNumberFormat="1" applyFont="1" applyFill="1" applyBorder="1" applyAlignment="1" applyProtection="1">
      <alignment vertical="top"/>
    </xf>
    <xf numFmtId="10" fontId="3" fillId="30" borderId="93" xfId="159" applyNumberFormat="1" applyFont="1" applyFill="1" applyBorder="1" applyAlignment="1" applyProtection="1">
      <alignment horizontal="right" vertical="top"/>
    </xf>
    <xf numFmtId="165" fontId="3" fillId="30" borderId="24" xfId="265" applyNumberFormat="1" applyFont="1" applyFill="1" applyBorder="1" applyAlignment="1" applyProtection="1">
      <alignment vertical="top"/>
    </xf>
    <xf numFmtId="0" fontId="3" fillId="30" borderId="14" xfId="225" applyFont="1" applyFill="1" applyBorder="1" applyAlignment="1" applyProtection="1">
      <alignment horizontal="right" vertical="top"/>
    </xf>
    <xf numFmtId="165" fontId="2" fillId="30" borderId="14" xfId="265" applyNumberFormat="1" applyFont="1" applyFill="1" applyBorder="1" applyProtection="1"/>
    <xf numFmtId="165" fontId="2" fillId="30" borderId="105" xfId="265" applyNumberFormat="1" applyFont="1" applyFill="1" applyBorder="1" applyProtection="1"/>
    <xf numFmtId="165" fontId="2" fillId="30" borderId="22" xfId="265" applyNumberFormat="1" applyFont="1" applyFill="1" applyBorder="1" applyProtection="1"/>
    <xf numFmtId="165" fontId="2" fillId="30" borderId="0" xfId="265" applyNumberFormat="1" applyFont="1" applyFill="1" applyBorder="1" applyProtection="1"/>
    <xf numFmtId="165" fontId="3" fillId="30" borderId="22" xfId="265" applyNumberFormat="1" applyFont="1" applyFill="1" applyBorder="1" applyProtection="1"/>
    <xf numFmtId="165" fontId="2" fillId="30" borderId="89" xfId="265" applyNumberFormat="1" applyFont="1" applyFill="1" applyBorder="1" applyProtection="1"/>
    <xf numFmtId="165" fontId="3" fillId="30" borderId="0" xfId="265" applyNumberFormat="1" applyFont="1" applyFill="1" applyBorder="1" applyProtection="1"/>
    <xf numFmtId="10" fontId="2" fillId="30" borderId="105" xfId="159" applyNumberFormat="1" applyFont="1" applyFill="1" applyBorder="1" applyAlignment="1" applyProtection="1">
      <alignment horizontal="right"/>
    </xf>
    <xf numFmtId="0" fontId="2" fillId="30" borderId="18" xfId="225" applyFill="1" applyBorder="1" applyProtection="1"/>
    <xf numFmtId="0" fontId="50" fillId="30" borderId="20" xfId="225" applyFont="1" applyFill="1" applyBorder="1" applyProtection="1"/>
    <xf numFmtId="0" fontId="2" fillId="30" borderId="37" xfId="225" applyFill="1" applyBorder="1" applyAlignment="1" applyProtection="1">
      <alignment horizontal="right"/>
    </xf>
    <xf numFmtId="165" fontId="50" fillId="30" borderId="91" xfId="225" applyNumberFormat="1" applyFont="1" applyFill="1" applyBorder="1" applyProtection="1"/>
    <xf numFmtId="165" fontId="50" fillId="30" borderId="96" xfId="225" applyNumberFormat="1" applyFont="1" applyFill="1" applyBorder="1" applyProtection="1"/>
    <xf numFmtId="165" fontId="50" fillId="30" borderId="37" xfId="225" applyNumberFormat="1" applyFont="1" applyFill="1" applyBorder="1" applyProtection="1"/>
    <xf numFmtId="165" fontId="50" fillId="30" borderId="92" xfId="225" applyNumberFormat="1" applyFont="1" applyFill="1" applyBorder="1" applyProtection="1"/>
    <xf numFmtId="165" fontId="50" fillId="30" borderId="18" xfId="225" applyNumberFormat="1" applyFont="1" applyFill="1" applyBorder="1" applyProtection="1"/>
    <xf numFmtId="10" fontId="50" fillId="30" borderId="96" xfId="159" applyNumberFormat="1" applyFont="1" applyFill="1" applyBorder="1" applyAlignment="1" applyProtection="1">
      <alignment horizontal="right"/>
    </xf>
    <xf numFmtId="0" fontId="2" fillId="30" borderId="0" xfId="225" applyFill="1" applyAlignment="1" applyProtection="1">
      <alignment horizontal="right"/>
    </xf>
    <xf numFmtId="165" fontId="2" fillId="34" borderId="93" xfId="265" applyNumberFormat="1" applyFont="1" applyFill="1" applyBorder="1" applyProtection="1">
      <protection locked="0"/>
    </xf>
    <xf numFmtId="165" fontId="3" fillId="34" borderId="93" xfId="265" applyNumberFormat="1" applyFont="1" applyFill="1" applyBorder="1" applyProtection="1">
      <protection locked="0"/>
    </xf>
    <xf numFmtId="165" fontId="2" fillId="34" borderId="93" xfId="265" applyNumberFormat="1" applyFont="1" applyFill="1" applyBorder="1" applyAlignment="1" applyProtection="1">
      <alignment vertical="top"/>
      <protection locked="0"/>
    </xf>
    <xf numFmtId="0" fontId="2" fillId="30" borderId="16" xfId="225" applyFill="1" applyBorder="1" applyProtection="1">
      <protection locked="0"/>
    </xf>
    <xf numFmtId="0" fontId="2" fillId="30" borderId="41" xfId="225" applyFill="1" applyBorder="1" applyProtection="1">
      <protection locked="0"/>
    </xf>
    <xf numFmtId="0" fontId="3" fillId="30" borderId="18" xfId="225" applyFont="1" applyFill="1" applyBorder="1" applyAlignment="1" applyProtection="1">
      <alignment horizontal="center"/>
      <protection locked="0"/>
    </xf>
    <xf numFmtId="0" fontId="3" fillId="30" borderId="106" xfId="225" applyFont="1" applyFill="1" applyBorder="1" applyAlignment="1" applyProtection="1">
      <alignment horizontal="center"/>
      <protection locked="0"/>
    </xf>
    <xf numFmtId="0" fontId="3" fillId="30" borderId="96" xfId="225" applyFont="1" applyFill="1" applyBorder="1" applyAlignment="1" applyProtection="1">
      <alignment horizontal="center"/>
      <protection locked="0"/>
    </xf>
    <xf numFmtId="0" fontId="3" fillId="30" borderId="20" xfId="225" applyFont="1" applyFill="1" applyBorder="1" applyAlignment="1" applyProtection="1">
      <alignment horizontal="center"/>
      <protection locked="0"/>
    </xf>
    <xf numFmtId="0" fontId="3" fillId="30" borderId="107" xfId="225" applyFont="1" applyFill="1" applyBorder="1" applyAlignment="1" applyProtection="1">
      <alignment horizontal="center"/>
      <protection locked="0"/>
    </xf>
    <xf numFmtId="0" fontId="3" fillId="30" borderId="91" xfId="225" applyFont="1" applyFill="1" applyBorder="1" applyAlignment="1" applyProtection="1">
      <alignment horizontal="center"/>
      <protection locked="0"/>
    </xf>
    <xf numFmtId="0" fontId="3" fillId="30" borderId="37" xfId="225" applyFont="1" applyFill="1" applyBorder="1" applyAlignment="1" applyProtection="1">
      <alignment horizontal="center"/>
      <protection locked="0"/>
    </xf>
    <xf numFmtId="0" fontId="2" fillId="30" borderId="0" xfId="225" applyFont="1" applyFill="1" applyProtection="1">
      <protection locked="0"/>
    </xf>
    <xf numFmtId="0" fontId="3" fillId="30" borderId="15" xfId="225" applyFont="1" applyFill="1" applyBorder="1" applyAlignment="1" applyProtection="1">
      <alignment horizontal="center" vertical="center"/>
      <protection locked="0"/>
    </xf>
    <xf numFmtId="0" fontId="3" fillId="30" borderId="108" xfId="225" applyFont="1" applyFill="1" applyBorder="1" applyAlignment="1" applyProtection="1">
      <alignment horizontal="center" vertical="center"/>
      <protection locked="0"/>
    </xf>
    <xf numFmtId="0" fontId="3" fillId="30" borderId="109" xfId="225" applyFont="1" applyFill="1" applyBorder="1" applyAlignment="1" applyProtection="1">
      <alignment horizontal="center" vertical="center"/>
      <protection locked="0"/>
    </xf>
    <xf numFmtId="0" fontId="3" fillId="30" borderId="16" xfId="225" applyFont="1" applyFill="1" applyBorder="1" applyAlignment="1" applyProtection="1">
      <alignment horizontal="center" vertical="center"/>
      <protection locked="0"/>
    </xf>
    <xf numFmtId="0" fontId="3" fillId="30" borderId="110" xfId="225" applyFont="1" applyFill="1" applyBorder="1" applyAlignment="1" applyProtection="1">
      <alignment horizontal="center" vertical="center"/>
      <protection locked="0"/>
    </xf>
    <xf numFmtId="0" fontId="37" fillId="30" borderId="40" xfId="225" applyFont="1" applyFill="1" applyBorder="1" applyAlignment="1" applyProtection="1">
      <alignment horizontal="center" vertical="center"/>
      <protection locked="0"/>
    </xf>
    <xf numFmtId="0" fontId="37" fillId="30" borderId="41" xfId="225" applyFont="1" applyFill="1" applyBorder="1" applyAlignment="1" applyProtection="1">
      <alignment horizontal="center" vertical="center"/>
      <protection locked="0"/>
    </xf>
    <xf numFmtId="0" fontId="37" fillId="30" borderId="42" xfId="225" applyFont="1" applyFill="1" applyBorder="1" applyAlignment="1" applyProtection="1">
      <alignment horizontal="center" vertical="center"/>
      <protection locked="0"/>
    </xf>
    <xf numFmtId="0" fontId="3" fillId="30" borderId="40" xfId="225" applyFont="1" applyFill="1" applyBorder="1" applyAlignment="1" applyProtection="1">
      <alignment horizontal="center" vertical="center"/>
      <protection locked="0"/>
    </xf>
    <xf numFmtId="0" fontId="3" fillId="30" borderId="111" xfId="225" applyFont="1" applyFill="1" applyBorder="1" applyAlignment="1" applyProtection="1">
      <alignment horizontal="center" vertical="center"/>
      <protection locked="0"/>
    </xf>
    <xf numFmtId="0" fontId="3" fillId="30" borderId="112" xfId="225" applyFont="1" applyFill="1" applyBorder="1" applyAlignment="1" applyProtection="1">
      <alignment horizontal="center" vertical="center"/>
      <protection locked="0"/>
    </xf>
    <xf numFmtId="0" fontId="3" fillId="30" borderId="113" xfId="225" applyFont="1" applyFill="1" applyBorder="1" applyAlignment="1" applyProtection="1">
      <alignment horizontal="center" vertical="center"/>
      <protection locked="0"/>
    </xf>
    <xf numFmtId="0" fontId="3" fillId="30" borderId="114" xfId="225" applyFont="1" applyFill="1" applyBorder="1" applyAlignment="1" applyProtection="1">
      <alignment horizontal="center" vertical="center"/>
      <protection locked="0"/>
    </xf>
    <xf numFmtId="0" fontId="3" fillId="30" borderId="42" xfId="225" applyFont="1" applyFill="1" applyBorder="1" applyAlignment="1" applyProtection="1">
      <alignment horizontal="center" vertical="center"/>
      <protection locked="0"/>
    </xf>
    <xf numFmtId="0" fontId="3" fillId="30" borderId="59" xfId="225" applyFont="1" applyFill="1" applyBorder="1" applyProtection="1">
      <protection locked="0"/>
    </xf>
    <xf numFmtId="0" fontId="2" fillId="30" borderId="60" xfId="225" applyFont="1" applyFill="1" applyBorder="1" applyProtection="1">
      <protection locked="0"/>
    </xf>
    <xf numFmtId="0" fontId="2" fillId="30" borderId="61" xfId="225" applyFont="1" applyFill="1" applyBorder="1" applyProtection="1">
      <protection locked="0"/>
    </xf>
    <xf numFmtId="0" fontId="2" fillId="30" borderId="97" xfId="225" applyFont="1" applyFill="1" applyBorder="1" applyProtection="1">
      <protection locked="0"/>
    </xf>
    <xf numFmtId="0" fontId="2" fillId="30" borderId="99" xfId="225" applyFont="1" applyFill="1" applyBorder="1" applyProtection="1">
      <protection locked="0"/>
    </xf>
    <xf numFmtId="0" fontId="2" fillId="30" borderId="76" xfId="225" applyFont="1" applyFill="1" applyBorder="1" applyProtection="1">
      <protection locked="0"/>
    </xf>
    <xf numFmtId="0" fontId="2" fillId="30" borderId="59" xfId="225" applyFont="1" applyFill="1" applyBorder="1" applyProtection="1">
      <protection locked="0"/>
    </xf>
    <xf numFmtId="4" fontId="2" fillId="30" borderId="97" xfId="225" applyNumberFormat="1" applyFont="1" applyFill="1" applyBorder="1" applyProtection="1">
      <protection locked="0"/>
    </xf>
    <xf numFmtId="4" fontId="2" fillId="30" borderId="99" xfId="225" applyNumberFormat="1" applyFont="1" applyFill="1" applyBorder="1" applyProtection="1">
      <protection locked="0"/>
    </xf>
    <xf numFmtId="4" fontId="2" fillId="30" borderId="60" xfId="225" applyNumberFormat="1" applyFont="1" applyFill="1" applyBorder="1" applyProtection="1">
      <protection locked="0"/>
    </xf>
    <xf numFmtId="4" fontId="2" fillId="30" borderId="61" xfId="225" applyNumberFormat="1" applyFont="1" applyFill="1" applyBorder="1" applyProtection="1">
      <protection locked="0"/>
    </xf>
    <xf numFmtId="0" fontId="3" fillId="30" borderId="0" xfId="225" applyFont="1" applyFill="1" applyProtection="1">
      <protection locked="0"/>
    </xf>
    <xf numFmtId="0" fontId="3" fillId="30" borderId="59" xfId="225" applyFont="1" applyFill="1" applyBorder="1" applyAlignment="1" applyProtection="1">
      <alignment horizontal="right"/>
      <protection locked="0"/>
    </xf>
    <xf numFmtId="0" fontId="3" fillId="30" borderId="60" xfId="225" applyFont="1" applyFill="1" applyBorder="1" applyProtection="1">
      <protection locked="0"/>
    </xf>
    <xf numFmtId="0" fontId="3" fillId="30" borderId="61" xfId="225" applyFont="1" applyFill="1" applyBorder="1" applyProtection="1">
      <protection locked="0"/>
    </xf>
    <xf numFmtId="4" fontId="3" fillId="30" borderId="88" xfId="225" applyNumberFormat="1" applyFont="1" applyFill="1" applyBorder="1" applyProtection="1">
      <protection locked="0"/>
    </xf>
    <xf numFmtId="4" fontId="3" fillId="30" borderId="99" xfId="225" applyNumberFormat="1" applyFont="1" applyFill="1" applyBorder="1" applyProtection="1">
      <protection locked="0"/>
    </xf>
    <xf numFmtId="4" fontId="3" fillId="30" borderId="97" xfId="225" applyNumberFormat="1" applyFont="1" applyFill="1" applyBorder="1" applyProtection="1">
      <protection locked="0"/>
    </xf>
    <xf numFmtId="4" fontId="3" fillId="30" borderId="60" xfId="225" applyNumberFormat="1" applyFont="1" applyFill="1" applyBorder="1" applyProtection="1">
      <protection locked="0"/>
    </xf>
    <xf numFmtId="4" fontId="3" fillId="30" borderId="61" xfId="225" applyNumberFormat="1" applyFont="1" applyFill="1" applyBorder="1" applyProtection="1">
      <protection locked="0"/>
    </xf>
    <xf numFmtId="0" fontId="2" fillId="30" borderId="60" xfId="225" applyFont="1" applyFill="1" applyBorder="1" applyAlignment="1" applyProtection="1">
      <alignment horizontal="right"/>
      <protection locked="0"/>
    </xf>
    <xf numFmtId="3" fontId="42" fillId="30" borderId="61" xfId="265" applyNumberFormat="1" applyFont="1" applyFill="1" applyBorder="1" applyAlignment="1" applyProtection="1">
      <alignment horizontal="right"/>
      <protection locked="0"/>
    </xf>
    <xf numFmtId="4" fontId="2" fillId="34" borderId="103" xfId="265" applyNumberFormat="1" applyFont="1" applyFill="1" applyBorder="1" applyProtection="1">
      <protection locked="0"/>
    </xf>
    <xf numFmtId="0" fontId="2" fillId="30" borderId="61" xfId="225" applyFont="1" applyFill="1" applyBorder="1" applyAlignment="1" applyProtection="1">
      <alignment horizontal="right"/>
      <protection locked="0"/>
    </xf>
    <xf numFmtId="4" fontId="2" fillId="30" borderId="104" xfId="225" applyNumberFormat="1" applyFont="1" applyFill="1" applyBorder="1" applyProtection="1">
      <protection locked="0"/>
    </xf>
    <xf numFmtId="0" fontId="3" fillId="30" borderId="60" xfId="225" applyFont="1" applyFill="1" applyBorder="1" applyAlignment="1" applyProtection="1">
      <alignment wrapText="1"/>
      <protection locked="0"/>
    </xf>
    <xf numFmtId="4" fontId="2" fillId="30" borderId="79" xfId="225" applyNumberFormat="1" applyFont="1" applyFill="1" applyBorder="1" applyProtection="1">
      <protection locked="0"/>
    </xf>
    <xf numFmtId="0" fontId="3" fillId="30" borderId="59" xfId="225" applyFont="1" applyFill="1" applyBorder="1" applyAlignment="1" applyProtection="1">
      <alignment horizontal="right" vertical="center"/>
      <protection locked="0"/>
    </xf>
    <xf numFmtId="0" fontId="3" fillId="30" borderId="24" xfId="225" applyFont="1" applyFill="1" applyBorder="1" applyAlignment="1" applyProtection="1">
      <alignment vertical="center"/>
      <protection locked="0"/>
    </xf>
    <xf numFmtId="3" fontId="42" fillId="30" borderId="61" xfId="265" applyNumberFormat="1" applyFont="1" applyFill="1" applyBorder="1" applyAlignment="1" applyProtection="1">
      <alignment horizontal="right" vertical="center"/>
      <protection locked="0"/>
    </xf>
    <xf numFmtId="0" fontId="3" fillId="30" borderId="60" xfId="225" applyFont="1" applyFill="1" applyBorder="1" applyAlignment="1" applyProtection="1">
      <alignment vertical="center"/>
      <protection locked="0"/>
    </xf>
    <xf numFmtId="0" fontId="3" fillId="30" borderId="33" xfId="225" applyFont="1" applyFill="1" applyBorder="1" applyAlignment="1" applyProtection="1">
      <alignment horizontal="right" vertical="center"/>
      <protection locked="0"/>
    </xf>
    <xf numFmtId="0" fontId="3" fillId="30" borderId="23" xfId="225" applyFont="1" applyFill="1" applyBorder="1" applyAlignment="1" applyProtection="1">
      <alignment horizontal="right" vertical="center"/>
      <protection locked="0"/>
    </xf>
    <xf numFmtId="0" fontId="3" fillId="30" borderId="60" xfId="225" applyFont="1" applyFill="1" applyBorder="1" applyAlignment="1" applyProtection="1">
      <alignment vertical="center" wrapText="1"/>
      <protection locked="0"/>
    </xf>
    <xf numFmtId="0" fontId="2" fillId="30" borderId="0" xfId="225" applyFont="1" applyFill="1" applyAlignment="1" applyProtection="1">
      <alignment vertical="top"/>
      <protection locked="0"/>
    </xf>
    <xf numFmtId="0" fontId="2" fillId="30" borderId="40" xfId="225" applyFill="1" applyBorder="1" applyProtection="1">
      <protection locked="0"/>
    </xf>
    <xf numFmtId="0" fontId="2" fillId="30" borderId="42" xfId="225" applyFill="1" applyBorder="1" applyAlignment="1" applyProtection="1">
      <alignment horizontal="right"/>
      <protection locked="0"/>
    </xf>
    <xf numFmtId="4" fontId="51" fillId="30" borderId="115" xfId="225" applyNumberFormat="1" applyFont="1" applyFill="1" applyBorder="1" applyProtection="1">
      <protection locked="0"/>
    </xf>
    <xf numFmtId="4" fontId="51" fillId="30" borderId="113" xfId="225" applyNumberFormat="1" applyFont="1" applyFill="1" applyBorder="1" applyProtection="1">
      <protection locked="0"/>
    </xf>
    <xf numFmtId="4" fontId="51" fillId="30" borderId="41" xfId="225" applyNumberFormat="1" applyFont="1" applyFill="1" applyBorder="1" applyProtection="1">
      <protection locked="0"/>
    </xf>
    <xf numFmtId="4" fontId="51" fillId="30" borderId="42" xfId="225" applyNumberFormat="1" applyFont="1" applyFill="1" applyBorder="1" applyProtection="1">
      <protection locked="0"/>
    </xf>
    <xf numFmtId="0" fontId="80" fillId="30" borderId="0" xfId="0" applyFont="1" applyFill="1" applyProtection="1"/>
    <xf numFmtId="0" fontId="37" fillId="30" borderId="0" xfId="152" applyFont="1" applyFill="1" applyBorder="1" applyAlignment="1" applyProtection="1">
      <alignment vertical="center"/>
    </xf>
    <xf numFmtId="0" fontId="12" fillId="30" borderId="0" xfId="152" applyFont="1" applyFill="1" applyBorder="1" applyAlignment="1" applyProtection="1">
      <alignment vertical="center"/>
    </xf>
    <xf numFmtId="0" fontId="39" fillId="30" borderId="14" xfId="152" applyFont="1" applyFill="1" applyBorder="1" applyAlignment="1" applyProtection="1">
      <alignment horizontal="center" vertical="center"/>
    </xf>
    <xf numFmtId="0" fontId="39" fillId="30" borderId="18" xfId="152" applyFont="1" applyFill="1" applyBorder="1" applyAlignment="1" applyProtection="1">
      <alignment vertical="center"/>
    </xf>
    <xf numFmtId="0" fontId="39" fillId="30" borderId="37" xfId="152" applyFont="1" applyFill="1" applyBorder="1" applyAlignment="1" applyProtection="1">
      <alignment vertical="center"/>
    </xf>
    <xf numFmtId="0" fontId="39" fillId="30" borderId="116" xfId="152" applyFont="1" applyFill="1" applyBorder="1" applyAlignment="1" applyProtection="1">
      <alignment horizontal="center" vertical="center"/>
    </xf>
    <xf numFmtId="0" fontId="39" fillId="30" borderId="117" xfId="152" applyFont="1" applyFill="1" applyBorder="1" applyAlignment="1" applyProtection="1">
      <alignment horizontal="center" vertical="center"/>
    </xf>
    <xf numFmtId="0" fontId="39" fillId="30" borderId="17" xfId="152" applyFont="1" applyFill="1" applyBorder="1" applyAlignment="1" applyProtection="1">
      <alignment horizontal="center" vertical="center"/>
    </xf>
    <xf numFmtId="0" fontId="39" fillId="30" borderId="16" xfId="152" applyFont="1" applyFill="1" applyBorder="1" applyAlignment="1" applyProtection="1">
      <alignment horizontal="center" vertical="center"/>
    </xf>
    <xf numFmtId="0" fontId="39" fillId="30" borderId="110" xfId="152" applyFont="1" applyFill="1" applyBorder="1" applyAlignment="1" applyProtection="1">
      <alignment horizontal="center" vertical="center"/>
    </xf>
    <xf numFmtId="0" fontId="12" fillId="30" borderId="14" xfId="152" applyFont="1" applyFill="1" applyBorder="1" applyAlignment="1" applyProtection="1">
      <alignment vertical="center"/>
    </xf>
    <xf numFmtId="0" fontId="39" fillId="30" borderId="0" xfId="261" applyFont="1" applyFill="1" applyBorder="1" applyAlignment="1" applyProtection="1">
      <alignment horizontal="center" vertical="center"/>
    </xf>
    <xf numFmtId="0" fontId="39" fillId="30" borderId="118" xfId="152" applyFont="1" applyFill="1" applyBorder="1" applyAlignment="1" applyProtection="1">
      <alignment horizontal="center" vertical="center"/>
    </xf>
    <xf numFmtId="0" fontId="39" fillId="30" borderId="119" xfId="152" applyFont="1" applyFill="1" applyBorder="1" applyAlignment="1" applyProtection="1">
      <alignment horizontal="center" vertical="center"/>
    </xf>
    <xf numFmtId="0" fontId="39" fillId="30" borderId="120" xfId="152" applyFont="1" applyFill="1" applyBorder="1" applyAlignment="1" applyProtection="1">
      <alignment horizontal="center" vertical="center"/>
    </xf>
    <xf numFmtId="0" fontId="39" fillId="30" borderId="44" xfId="152" applyFont="1" applyFill="1" applyBorder="1" applyAlignment="1" applyProtection="1">
      <alignment horizontal="center" vertical="center"/>
    </xf>
    <xf numFmtId="0" fontId="39" fillId="30" borderId="121" xfId="152" applyFont="1" applyFill="1" applyBorder="1" applyAlignment="1" applyProtection="1">
      <alignment horizontal="center" vertical="center"/>
    </xf>
    <xf numFmtId="0" fontId="39" fillId="30" borderId="122" xfId="152" applyFont="1" applyFill="1" applyBorder="1" applyAlignment="1" applyProtection="1">
      <alignment horizontal="center" vertical="center"/>
    </xf>
    <xf numFmtId="0" fontId="12" fillId="30" borderId="14" xfId="152" applyFont="1" applyFill="1" applyBorder="1" applyAlignment="1" applyProtection="1">
      <alignment horizontal="center" vertical="center"/>
    </xf>
    <xf numFmtId="0" fontId="12" fillId="30" borderId="0" xfId="152" applyFont="1" applyFill="1" applyBorder="1" applyAlignment="1" applyProtection="1">
      <alignment horizontal="center" vertical="center"/>
    </xf>
    <xf numFmtId="0" fontId="39" fillId="30" borderId="59" xfId="152" applyFont="1" applyFill="1" applyBorder="1" applyAlignment="1" applyProtection="1"/>
    <xf numFmtId="0" fontId="12" fillId="30" borderId="60" xfId="152" applyFont="1" applyFill="1" applyBorder="1" applyAlignment="1" applyProtection="1">
      <alignment horizontal="center"/>
    </xf>
    <xf numFmtId="173" fontId="12" fillId="30" borderId="61" xfId="152" applyNumberFormat="1" applyFont="1" applyFill="1" applyBorder="1" applyAlignment="1" applyProtection="1">
      <alignment horizontal="right"/>
    </xf>
    <xf numFmtId="173" fontId="12" fillId="33" borderId="99" xfId="152" applyNumberFormat="1" applyFont="1" applyFill="1" applyBorder="1" applyAlignment="1" applyProtection="1">
      <alignment horizontal="right"/>
    </xf>
    <xf numFmtId="173" fontId="12" fillId="33" borderId="99" xfId="152" applyNumberFormat="1" applyFont="1" applyFill="1" applyBorder="1" applyAlignment="1" applyProtection="1">
      <alignment horizontal="center"/>
    </xf>
    <xf numFmtId="173" fontId="12" fillId="33" borderId="60" xfId="152" applyNumberFormat="1" applyFont="1" applyFill="1" applyBorder="1" applyAlignment="1" applyProtection="1">
      <alignment horizontal="right"/>
    </xf>
    <xf numFmtId="169" fontId="2" fillId="33" borderId="123" xfId="265" applyNumberFormat="1" applyFont="1" applyFill="1" applyBorder="1" applyAlignment="1" applyProtection="1">
      <alignment horizontal="right"/>
    </xf>
    <xf numFmtId="169" fontId="2" fillId="33" borderId="124" xfId="265" applyNumberFormat="1" applyFont="1" applyFill="1" applyBorder="1" applyAlignment="1" applyProtection="1">
      <alignment horizontal="right"/>
    </xf>
    <xf numFmtId="173" fontId="12" fillId="30" borderId="125" xfId="152" applyNumberFormat="1" applyFont="1" applyFill="1" applyBorder="1" applyAlignment="1" applyProtection="1">
      <alignment horizontal="right"/>
    </xf>
    <xf numFmtId="173" fontId="12" fillId="30" borderId="14" xfId="152" applyNumberFormat="1" applyFont="1" applyFill="1" applyBorder="1" applyAlignment="1" applyProtection="1"/>
    <xf numFmtId="0" fontId="12" fillId="30" borderId="0" xfId="152" applyFont="1" applyFill="1" applyBorder="1" applyAlignment="1" applyProtection="1"/>
    <xf numFmtId="169" fontId="2" fillId="33" borderId="93" xfId="265" applyNumberFormat="1" applyFont="1" applyFill="1" applyBorder="1" applyAlignment="1" applyProtection="1">
      <alignment horizontal="right"/>
    </xf>
    <xf numFmtId="169" fontId="2" fillId="33" borderId="126" xfId="265" applyNumberFormat="1" applyFont="1" applyFill="1" applyBorder="1" applyAlignment="1" applyProtection="1">
      <alignment horizontal="right"/>
    </xf>
    <xf numFmtId="0" fontId="39" fillId="30" borderId="43" xfId="152" applyFont="1" applyFill="1" applyBorder="1" applyAlignment="1" applyProtection="1"/>
    <xf numFmtId="0" fontId="12" fillId="30" borderId="44" xfId="152" applyFont="1" applyFill="1" applyBorder="1" applyAlignment="1" applyProtection="1">
      <alignment horizontal="center"/>
    </xf>
    <xf numFmtId="173" fontId="12" fillId="30" borderId="120" xfId="152" applyNumberFormat="1" applyFont="1" applyFill="1" applyBorder="1" applyAlignment="1" applyProtection="1">
      <alignment horizontal="right"/>
    </xf>
    <xf numFmtId="173" fontId="12" fillId="33" borderId="119" xfId="152" applyNumberFormat="1" applyFont="1" applyFill="1" applyBorder="1" applyAlignment="1" applyProtection="1">
      <alignment horizontal="right"/>
    </xf>
    <xf numFmtId="173" fontId="12" fillId="33" borderId="119" xfId="152" applyNumberFormat="1" applyFont="1" applyFill="1" applyBorder="1" applyAlignment="1" applyProtection="1">
      <alignment horizontal="center"/>
    </xf>
    <xf numFmtId="173" fontId="12" fillId="33" borderId="44" xfId="152" applyNumberFormat="1" applyFont="1" applyFill="1" applyBorder="1" applyAlignment="1" applyProtection="1">
      <alignment horizontal="right"/>
    </xf>
    <xf numFmtId="169" fontId="2" fillId="33" borderId="127" xfId="265" applyNumberFormat="1" applyFont="1" applyFill="1" applyBorder="1" applyAlignment="1" applyProtection="1">
      <alignment horizontal="right"/>
    </xf>
    <xf numFmtId="169" fontId="2" fillId="33" borderId="128" xfId="265" applyNumberFormat="1" applyFont="1" applyFill="1" applyBorder="1" applyAlignment="1" applyProtection="1">
      <alignment horizontal="right"/>
    </xf>
    <xf numFmtId="0" fontId="39" fillId="30" borderId="40" xfId="152" applyFont="1" applyFill="1" applyBorder="1" applyAlignment="1" applyProtection="1">
      <alignment horizontal="left" vertical="center"/>
    </xf>
    <xf numFmtId="0" fontId="39" fillId="30" borderId="41" xfId="152" applyFont="1" applyFill="1" applyBorder="1" applyAlignment="1" applyProtection="1">
      <alignment horizontal="center" vertical="center"/>
    </xf>
    <xf numFmtId="172" fontId="39" fillId="30" borderId="115" xfId="152" applyNumberFormat="1" applyFont="1" applyFill="1" applyBorder="1" applyAlignment="1" applyProtection="1">
      <alignment horizontal="right" vertical="center"/>
    </xf>
    <xf numFmtId="173" fontId="39" fillId="30" borderId="113" xfId="152" applyNumberFormat="1" applyFont="1" applyFill="1" applyBorder="1" applyAlignment="1" applyProtection="1">
      <alignment horizontal="right" vertical="center"/>
    </xf>
    <xf numFmtId="173" fontId="39" fillId="30" borderId="42" xfId="152" applyNumberFormat="1" applyFont="1" applyFill="1" applyBorder="1" applyAlignment="1" applyProtection="1">
      <alignment horizontal="right" vertical="center"/>
    </xf>
    <xf numFmtId="173" fontId="39" fillId="33" borderId="113" xfId="152" applyNumberFormat="1" applyFont="1" applyFill="1" applyBorder="1" applyAlignment="1" applyProtection="1">
      <alignment horizontal="right" vertical="center"/>
    </xf>
    <xf numFmtId="173" fontId="39" fillId="33" borderId="113" xfId="152" applyNumberFormat="1" applyFont="1" applyFill="1" applyBorder="1" applyAlignment="1" applyProtection="1">
      <alignment horizontal="center" vertical="center"/>
    </xf>
    <xf numFmtId="173" fontId="39" fillId="33" borderId="41" xfId="152" applyNumberFormat="1" applyFont="1" applyFill="1" applyBorder="1" applyAlignment="1" applyProtection="1">
      <alignment horizontal="right" vertical="center"/>
    </xf>
    <xf numFmtId="3" fontId="39" fillId="30" borderId="115" xfId="152" applyNumberFormat="1" applyFont="1" applyFill="1" applyBorder="1" applyAlignment="1" applyProtection="1">
      <alignment horizontal="right" vertical="center"/>
    </xf>
    <xf numFmtId="172" fontId="39" fillId="30" borderId="113" xfId="152" applyNumberFormat="1" applyFont="1" applyFill="1" applyBorder="1" applyAlignment="1" applyProtection="1">
      <alignment horizontal="right" vertical="center"/>
    </xf>
    <xf numFmtId="172" fontId="39" fillId="33" borderId="129" xfId="152" applyNumberFormat="1" applyFont="1" applyFill="1" applyBorder="1" applyAlignment="1" applyProtection="1">
      <alignment horizontal="right" vertical="center"/>
    </xf>
    <xf numFmtId="175" fontId="12" fillId="30" borderId="113" xfId="152" applyNumberFormat="1" applyFont="1" applyFill="1" applyBorder="1" applyAlignment="1" applyProtection="1">
      <alignment horizontal="right" vertical="center"/>
    </xf>
    <xf numFmtId="175" fontId="12" fillId="33" borderId="129" xfId="152" applyNumberFormat="1" applyFont="1" applyFill="1" applyBorder="1" applyAlignment="1" applyProtection="1">
      <alignment horizontal="right" vertical="center"/>
    </xf>
    <xf numFmtId="3" fontId="39" fillId="30" borderId="113" xfId="152" applyNumberFormat="1" applyFont="1" applyFill="1" applyBorder="1" applyAlignment="1" applyProtection="1">
      <alignment horizontal="right" vertical="center"/>
    </xf>
    <xf numFmtId="175" fontId="12" fillId="30" borderId="112" xfId="152" applyNumberFormat="1" applyFont="1" applyFill="1" applyBorder="1" applyAlignment="1" applyProtection="1">
      <alignment horizontal="right" vertical="center"/>
    </xf>
    <xf numFmtId="173" fontId="39" fillId="30" borderId="52" xfId="152" applyNumberFormat="1" applyFont="1" applyFill="1" applyBorder="1" applyAlignment="1" applyProtection="1">
      <alignment horizontal="right" vertical="center"/>
    </xf>
    <xf numFmtId="173" fontId="39" fillId="30" borderId="0" xfId="152" applyNumberFormat="1" applyFont="1" applyFill="1" applyBorder="1" applyAlignment="1" applyProtection="1">
      <alignment vertical="center"/>
    </xf>
    <xf numFmtId="0" fontId="12" fillId="30" borderId="0" xfId="152" applyFont="1" applyFill="1" applyBorder="1" applyProtection="1">
      <alignment vertical="top"/>
    </xf>
    <xf numFmtId="0" fontId="39" fillId="30" borderId="0" xfId="152" applyFont="1" applyFill="1" applyBorder="1" applyProtection="1">
      <alignment vertical="top"/>
    </xf>
    <xf numFmtId="0" fontId="39" fillId="30" borderId="0" xfId="152" applyFont="1" applyFill="1" applyBorder="1" applyAlignment="1" applyProtection="1">
      <alignment vertical="center"/>
    </xf>
    <xf numFmtId="0" fontId="39" fillId="30" borderId="14" xfId="152" applyFont="1" applyFill="1" applyBorder="1" applyAlignment="1" applyProtection="1">
      <alignment vertical="center"/>
    </xf>
    <xf numFmtId="173" fontId="12" fillId="33" borderId="97" xfId="152" applyNumberFormat="1" applyFont="1" applyFill="1" applyBorder="1" applyAlignment="1" applyProtection="1">
      <alignment horizontal="right"/>
    </xf>
    <xf numFmtId="173" fontId="12" fillId="33" borderId="61" xfId="152" applyNumberFormat="1" applyFont="1" applyFill="1" applyBorder="1" applyAlignment="1" applyProtection="1">
      <alignment horizontal="right"/>
    </xf>
    <xf numFmtId="3" fontId="2" fillId="33" borderId="124" xfId="265" applyNumberFormat="1" applyFont="1" applyFill="1" applyBorder="1" applyAlignment="1" applyProtection="1">
      <alignment horizontal="right"/>
    </xf>
    <xf numFmtId="4" fontId="2" fillId="33" borderId="124" xfId="265" applyNumberFormat="1" applyFont="1" applyFill="1" applyBorder="1" applyAlignment="1" applyProtection="1">
      <alignment horizontal="right"/>
    </xf>
    <xf numFmtId="3" fontId="2" fillId="33" borderId="130" xfId="265" applyNumberFormat="1" applyFont="1" applyFill="1" applyBorder="1" applyAlignment="1" applyProtection="1">
      <alignment horizontal="right"/>
    </xf>
    <xf numFmtId="4" fontId="2" fillId="33" borderId="127" xfId="265" applyNumberFormat="1" applyFont="1" applyFill="1" applyBorder="1" applyAlignment="1" applyProtection="1">
      <alignment horizontal="right"/>
    </xf>
    <xf numFmtId="173" fontId="12" fillId="33" borderId="120" xfId="152" applyNumberFormat="1" applyFont="1" applyFill="1" applyBorder="1" applyAlignment="1" applyProtection="1">
      <alignment horizontal="right"/>
    </xf>
    <xf numFmtId="3" fontId="12" fillId="33" borderId="131" xfId="152" applyNumberFormat="1" applyFont="1" applyFill="1" applyBorder="1" applyAlignment="1" applyProtection="1">
      <alignment horizontal="right"/>
    </xf>
    <xf numFmtId="3" fontId="2" fillId="33" borderId="127" xfId="265" applyNumberFormat="1" applyFont="1" applyFill="1" applyBorder="1" applyAlignment="1" applyProtection="1">
      <alignment horizontal="right"/>
    </xf>
    <xf numFmtId="4" fontId="12" fillId="33" borderId="119" xfId="152" applyNumberFormat="1" applyFont="1" applyFill="1" applyBorder="1" applyAlignment="1" applyProtection="1">
      <alignment horizontal="right"/>
    </xf>
    <xf numFmtId="0" fontId="39" fillId="30" borderId="41" xfId="152" quotePrefix="1" applyFont="1" applyFill="1" applyBorder="1" applyAlignment="1" applyProtection="1">
      <alignment horizontal="center" vertical="center"/>
    </xf>
    <xf numFmtId="173" fontId="39" fillId="30" borderId="115" xfId="152" applyNumberFormat="1" applyFont="1" applyFill="1" applyBorder="1" applyAlignment="1" applyProtection="1">
      <alignment horizontal="right" vertical="center"/>
    </xf>
    <xf numFmtId="173" fontId="39" fillId="30" borderId="113" xfId="152" applyNumberFormat="1" applyFont="1" applyFill="1" applyBorder="1" applyAlignment="1" applyProtection="1">
      <alignment horizontal="center" vertical="center"/>
    </xf>
    <xf numFmtId="3" fontId="39" fillId="30" borderId="129" xfId="152" applyNumberFormat="1" applyFont="1" applyFill="1" applyBorder="1" applyAlignment="1" applyProtection="1">
      <alignment horizontal="right" vertical="center"/>
    </xf>
    <xf numFmtId="175" fontId="12" fillId="30" borderId="129" xfId="152" applyNumberFormat="1" applyFont="1" applyFill="1" applyBorder="1" applyAlignment="1" applyProtection="1">
      <alignment horizontal="right" vertical="center"/>
    </xf>
    <xf numFmtId="4" fontId="39" fillId="30" borderId="113" xfId="152" applyNumberFormat="1" applyFont="1" applyFill="1" applyBorder="1" applyAlignment="1" applyProtection="1">
      <alignment horizontal="right" vertical="center"/>
    </xf>
    <xf numFmtId="0" fontId="39" fillId="30" borderId="0" xfId="152" applyFont="1" applyFill="1" applyBorder="1" applyAlignment="1" applyProtection="1">
      <alignment horizontal="left" vertical="center"/>
    </xf>
    <xf numFmtId="0" fontId="39" fillId="30" borderId="0" xfId="152" quotePrefix="1" applyFont="1" applyFill="1" applyBorder="1" applyAlignment="1" applyProtection="1">
      <alignment horizontal="center" vertical="center"/>
    </xf>
    <xf numFmtId="175" fontId="12" fillId="30" borderId="0" xfId="152" applyNumberFormat="1" applyFont="1" applyFill="1" applyBorder="1" applyAlignment="1" applyProtection="1">
      <alignment vertical="center"/>
    </xf>
    <xf numFmtId="0" fontId="39" fillId="30" borderId="22" xfId="152" applyFont="1" applyFill="1" applyBorder="1" applyAlignment="1" applyProtection="1">
      <alignment horizontal="center" vertical="center"/>
    </xf>
    <xf numFmtId="173" fontId="12" fillId="33" borderId="118" xfId="152" applyNumberFormat="1" applyFont="1" applyFill="1" applyBorder="1" applyAlignment="1" applyProtection="1">
      <alignment horizontal="right"/>
    </xf>
    <xf numFmtId="173" fontId="12" fillId="30" borderId="132" xfId="152" applyNumberFormat="1" applyFont="1" applyFill="1" applyBorder="1" applyAlignment="1" applyProtection="1">
      <alignment horizontal="right"/>
    </xf>
    <xf numFmtId="3" fontId="12" fillId="33" borderId="118" xfId="152" applyNumberFormat="1" applyFont="1" applyFill="1" applyBorder="1" applyAlignment="1" applyProtection="1">
      <alignment horizontal="right"/>
    </xf>
    <xf numFmtId="173" fontId="39" fillId="33" borderId="115" xfId="152" applyNumberFormat="1" applyFont="1" applyFill="1" applyBorder="1" applyAlignment="1" applyProtection="1">
      <alignment horizontal="right" vertical="center"/>
    </xf>
    <xf numFmtId="173" fontId="39" fillId="33" borderId="42" xfId="152" applyNumberFormat="1" applyFont="1" applyFill="1" applyBorder="1" applyAlignment="1" applyProtection="1">
      <alignment horizontal="right" vertical="center"/>
    </xf>
    <xf numFmtId="175" fontId="12" fillId="30" borderId="115" xfId="152" applyNumberFormat="1" applyFont="1" applyFill="1" applyBorder="1" applyAlignment="1" applyProtection="1">
      <alignment horizontal="right"/>
    </xf>
    <xf numFmtId="175" fontId="12" fillId="30" borderId="113" xfId="152" applyNumberFormat="1" applyFont="1" applyFill="1" applyBorder="1" applyAlignment="1" applyProtection="1">
      <alignment horizontal="right"/>
    </xf>
    <xf numFmtId="3" fontId="39" fillId="30" borderId="41" xfId="152" applyNumberFormat="1" applyFont="1" applyFill="1" applyBorder="1" applyAlignment="1" applyProtection="1">
      <alignment horizontal="right"/>
    </xf>
    <xf numFmtId="175" fontId="12" fillId="30" borderId="133" xfId="152" applyNumberFormat="1" applyFont="1" applyFill="1" applyBorder="1" applyAlignment="1" applyProtection="1">
      <alignment horizontal="right"/>
    </xf>
    <xf numFmtId="175" fontId="12" fillId="30" borderId="129" xfId="152" applyNumberFormat="1" applyFont="1" applyFill="1" applyBorder="1" applyAlignment="1" applyProtection="1">
      <alignment horizontal="right"/>
    </xf>
    <xf numFmtId="0" fontId="12" fillId="30" borderId="0" xfId="152" applyFont="1" applyFill="1" applyProtection="1">
      <alignment vertical="top"/>
    </xf>
    <xf numFmtId="0" fontId="39" fillId="30" borderId="0" xfId="152" applyFont="1" applyFill="1" applyProtection="1">
      <alignment vertical="top"/>
    </xf>
    <xf numFmtId="3" fontId="2" fillId="33" borderId="49" xfId="265" applyNumberFormat="1" applyFont="1" applyFill="1" applyBorder="1" applyAlignment="1" applyProtection="1">
      <alignment horizontal="right"/>
    </xf>
    <xf numFmtId="4" fontId="2" fillId="33" borderId="123" xfId="265" applyNumberFormat="1" applyFont="1" applyFill="1" applyBorder="1" applyAlignment="1" applyProtection="1">
      <alignment horizontal="right"/>
    </xf>
    <xf numFmtId="3" fontId="2" fillId="33" borderId="134" xfId="265" applyNumberFormat="1" applyFont="1" applyFill="1" applyBorder="1" applyAlignment="1" applyProtection="1">
      <alignment horizontal="right"/>
    </xf>
    <xf numFmtId="3" fontId="2" fillId="33" borderId="123" xfId="265" applyNumberFormat="1" applyFont="1" applyFill="1" applyBorder="1" applyAlignment="1" applyProtection="1">
      <alignment horizontal="right"/>
    </xf>
    <xf numFmtId="4" fontId="2" fillId="33" borderId="135" xfId="265" applyNumberFormat="1" applyFont="1" applyFill="1" applyBorder="1" applyAlignment="1" applyProtection="1">
      <alignment horizontal="right"/>
    </xf>
    <xf numFmtId="4" fontId="2" fillId="33" borderId="134" xfId="265" applyNumberFormat="1" applyFont="1" applyFill="1" applyBorder="1" applyAlignment="1" applyProtection="1">
      <alignment horizontal="right"/>
    </xf>
    <xf numFmtId="4" fontId="2" fillId="33" borderId="131" xfId="265" applyNumberFormat="1" applyFont="1" applyFill="1" applyBorder="1" applyAlignment="1" applyProtection="1">
      <alignment horizontal="right"/>
    </xf>
    <xf numFmtId="3" fontId="2" fillId="33" borderId="128" xfId="265" applyNumberFormat="1" applyFont="1" applyFill="1" applyBorder="1" applyAlignment="1" applyProtection="1">
      <alignment horizontal="right"/>
    </xf>
    <xf numFmtId="4" fontId="2" fillId="33" borderId="128" xfId="265" applyNumberFormat="1" applyFont="1" applyFill="1" applyBorder="1" applyAlignment="1" applyProtection="1">
      <alignment horizontal="right"/>
    </xf>
    <xf numFmtId="3" fontId="2" fillId="33" borderId="131" xfId="265" applyNumberFormat="1" applyFont="1" applyFill="1" applyBorder="1" applyAlignment="1" applyProtection="1">
      <alignment horizontal="right"/>
    </xf>
    <xf numFmtId="172" fontId="39" fillId="33" borderId="115" xfId="152" applyNumberFormat="1" applyFont="1" applyFill="1" applyBorder="1" applyAlignment="1" applyProtection="1">
      <alignment horizontal="right" vertical="center"/>
    </xf>
    <xf numFmtId="3" fontId="39" fillId="33" borderId="115" xfId="152" applyNumberFormat="1" applyFont="1" applyFill="1" applyBorder="1" applyAlignment="1" applyProtection="1">
      <alignment horizontal="right" vertical="center"/>
    </xf>
    <xf numFmtId="3" fontId="39" fillId="33" borderId="113" xfId="152" applyNumberFormat="1" applyFont="1" applyFill="1" applyBorder="1" applyAlignment="1" applyProtection="1">
      <alignment horizontal="right" vertical="center"/>
    </xf>
    <xf numFmtId="3" fontId="39" fillId="33" borderId="129" xfId="152" applyNumberFormat="1" applyFont="1" applyFill="1" applyBorder="1" applyAlignment="1" applyProtection="1">
      <alignment horizontal="right" vertical="center"/>
    </xf>
    <xf numFmtId="175" fontId="12" fillId="33" borderId="113" xfId="152" applyNumberFormat="1" applyFont="1" applyFill="1" applyBorder="1" applyAlignment="1" applyProtection="1">
      <alignment horizontal="right" vertical="center"/>
    </xf>
    <xf numFmtId="4" fontId="39" fillId="33" borderId="113" xfId="152" applyNumberFormat="1" applyFont="1" applyFill="1" applyBorder="1" applyAlignment="1" applyProtection="1">
      <alignment horizontal="right" vertical="center"/>
    </xf>
    <xf numFmtId="0" fontId="57" fillId="30" borderId="0" xfId="152" applyFont="1" applyFill="1" applyBorder="1" applyAlignment="1" applyProtection="1">
      <alignment vertical="center"/>
    </xf>
    <xf numFmtId="0" fontId="58" fillId="30" borderId="14" xfId="152" applyFont="1" applyFill="1" applyBorder="1" applyAlignment="1" applyProtection="1">
      <alignment horizontal="center" vertical="center"/>
    </xf>
    <xf numFmtId="0" fontId="57" fillId="30" borderId="15" xfId="152" applyFont="1" applyFill="1" applyBorder="1" applyAlignment="1" applyProtection="1">
      <alignment vertical="center"/>
    </xf>
    <xf numFmtId="0" fontId="57" fillId="30" borderId="16" xfId="152" applyFont="1" applyFill="1" applyBorder="1" applyAlignment="1" applyProtection="1">
      <alignment vertical="center"/>
    </xf>
    <xf numFmtId="0" fontId="57" fillId="30" borderId="14" xfId="152" applyFont="1" applyFill="1" applyBorder="1" applyAlignment="1" applyProtection="1">
      <alignment horizontal="center" vertical="center"/>
    </xf>
    <xf numFmtId="172" fontId="58" fillId="30" borderId="115" xfId="152" applyNumberFormat="1" applyFont="1" applyFill="1" applyBorder="1" applyAlignment="1" applyProtection="1">
      <alignment horizontal="right" vertical="center"/>
    </xf>
    <xf numFmtId="176" fontId="58" fillId="30" borderId="113" xfId="152" applyNumberFormat="1" applyFont="1" applyFill="1" applyBorder="1" applyAlignment="1" applyProtection="1">
      <alignment horizontal="right" vertical="center"/>
    </xf>
    <xf numFmtId="173" fontId="58" fillId="30" borderId="42" xfId="152" applyNumberFormat="1" applyFont="1" applyFill="1" applyBorder="1" applyAlignment="1" applyProtection="1">
      <alignment horizontal="right" vertical="center"/>
    </xf>
    <xf numFmtId="173" fontId="58" fillId="30" borderId="113" xfId="152" applyNumberFormat="1" applyFont="1" applyFill="1" applyBorder="1" applyAlignment="1" applyProtection="1">
      <alignment horizontal="right" vertical="center"/>
    </xf>
    <xf numFmtId="176" fontId="58" fillId="30" borderId="113" xfId="152" applyNumberFormat="1" applyFont="1" applyFill="1" applyBorder="1" applyAlignment="1" applyProtection="1">
      <alignment vertical="center"/>
    </xf>
    <xf numFmtId="173" fontId="58" fillId="30" borderId="42" xfId="152" applyNumberFormat="1" applyFont="1" applyFill="1" applyBorder="1" applyAlignment="1" applyProtection="1">
      <alignment vertical="center"/>
    </xf>
    <xf numFmtId="172" fontId="58" fillId="30" borderId="113" xfId="152" applyNumberFormat="1" applyFont="1" applyFill="1" applyBorder="1" applyAlignment="1" applyProtection="1">
      <alignment horizontal="right" vertical="center"/>
    </xf>
    <xf numFmtId="172" fontId="58" fillId="30" borderId="136" xfId="152" applyNumberFormat="1" applyFont="1" applyFill="1" applyBorder="1" applyAlignment="1" applyProtection="1">
      <alignment horizontal="right" vertical="center"/>
    </xf>
    <xf numFmtId="169" fontId="58" fillId="30" borderId="113" xfId="152" applyNumberFormat="1" applyFont="1" applyFill="1" applyBorder="1" applyAlignment="1" applyProtection="1">
      <alignment horizontal="right" vertical="center"/>
    </xf>
    <xf numFmtId="169" fontId="58" fillId="30" borderId="136" xfId="152" applyNumberFormat="1" applyFont="1" applyFill="1" applyBorder="1" applyAlignment="1" applyProtection="1">
      <alignment horizontal="right" vertical="center"/>
    </xf>
    <xf numFmtId="175" fontId="57" fillId="30" borderId="113" xfId="152" applyNumberFormat="1" applyFont="1" applyFill="1" applyBorder="1" applyAlignment="1" applyProtection="1">
      <alignment horizontal="right" vertical="center"/>
    </xf>
    <xf numFmtId="175" fontId="57" fillId="30" borderId="113" xfId="152" applyNumberFormat="1" applyFont="1" applyFill="1" applyBorder="1" applyAlignment="1" applyProtection="1">
      <alignment vertical="center"/>
    </xf>
    <xf numFmtId="175" fontId="12" fillId="30" borderId="113" xfId="152" applyNumberFormat="1" applyFont="1" applyFill="1" applyBorder="1" applyAlignment="1" applyProtection="1"/>
    <xf numFmtId="175" fontId="57" fillId="30" borderId="115" xfId="152" applyNumberFormat="1" applyFont="1" applyFill="1" applyBorder="1" applyAlignment="1" applyProtection="1">
      <alignment vertical="center"/>
    </xf>
    <xf numFmtId="4" fontId="58" fillId="30" borderId="42" xfId="152" applyNumberFormat="1" applyFont="1" applyFill="1" applyBorder="1" applyAlignment="1" applyProtection="1">
      <alignment vertical="center"/>
    </xf>
    <xf numFmtId="0" fontId="57" fillId="30" borderId="0" xfId="152" applyFont="1" applyFill="1" applyAlignment="1" applyProtection="1">
      <alignment vertical="center"/>
    </xf>
    <xf numFmtId="0" fontId="12" fillId="30" borderId="16" xfId="152" applyFont="1" applyFill="1" applyBorder="1" applyProtection="1">
      <alignment vertical="top"/>
    </xf>
    <xf numFmtId="2" fontId="12" fillId="30" borderId="0" xfId="152" applyNumberFormat="1" applyFont="1" applyFill="1" applyBorder="1" applyProtection="1">
      <alignment vertical="top"/>
    </xf>
    <xf numFmtId="0" fontId="12" fillId="30" borderId="0" xfId="261" applyFont="1" applyFill="1" applyBorder="1" applyAlignment="1" applyProtection="1">
      <alignment vertical="center"/>
    </xf>
    <xf numFmtId="0" fontId="12" fillId="30" borderId="0" xfId="261" applyFont="1" applyFill="1" applyBorder="1" applyProtection="1">
      <alignment vertical="top"/>
    </xf>
    <xf numFmtId="0" fontId="12" fillId="30" borderId="0" xfId="261" applyFont="1" applyFill="1" applyBorder="1" applyAlignment="1" applyProtection="1"/>
    <xf numFmtId="0" fontId="12" fillId="30" borderId="0" xfId="261" applyFont="1" applyFill="1" applyBorder="1" applyAlignment="1" applyProtection="1">
      <alignment horizontal="center" vertical="top"/>
    </xf>
    <xf numFmtId="0" fontId="2" fillId="30" borderId="0" xfId="261" applyFont="1" applyFill="1" applyBorder="1" applyAlignment="1" applyProtection="1">
      <alignment horizontal="right" vertical="top"/>
    </xf>
    <xf numFmtId="0" fontId="2" fillId="30" borderId="0" xfId="232" applyFont="1" applyFill="1" applyBorder="1" applyProtection="1"/>
    <xf numFmtId="0" fontId="2" fillId="30" borderId="0" xfId="232" applyFont="1" applyFill="1" applyBorder="1" applyAlignment="1" applyProtection="1">
      <alignment horizontal="right"/>
    </xf>
    <xf numFmtId="0" fontId="80" fillId="30" borderId="0" xfId="0" applyFont="1" applyFill="1" applyBorder="1" applyProtection="1"/>
    <xf numFmtId="3" fontId="2" fillId="34" borderId="49" xfId="265" applyNumberFormat="1" applyFont="1" applyFill="1" applyBorder="1" applyAlignment="1" applyProtection="1">
      <alignment horizontal="right"/>
      <protection locked="0"/>
    </xf>
    <xf numFmtId="4" fontId="2" fillId="34" borderId="123" xfId="265" applyNumberFormat="1" applyFont="1" applyFill="1" applyBorder="1" applyAlignment="1" applyProtection="1">
      <alignment horizontal="right"/>
      <protection locked="0"/>
    </xf>
    <xf numFmtId="3" fontId="2" fillId="34" borderId="23" xfId="265" applyNumberFormat="1" applyFont="1" applyFill="1" applyBorder="1" applyAlignment="1" applyProtection="1">
      <alignment horizontal="right"/>
      <protection locked="0"/>
    </xf>
    <xf numFmtId="4" fontId="2" fillId="34" borderId="93" xfId="265" applyNumberFormat="1" applyFont="1" applyFill="1" applyBorder="1" applyAlignment="1" applyProtection="1">
      <alignment horizontal="right"/>
      <protection locked="0"/>
    </xf>
    <xf numFmtId="3" fontId="2" fillId="34" borderId="130" xfId="265" applyNumberFormat="1" applyFont="1" applyFill="1" applyBorder="1" applyAlignment="1" applyProtection="1">
      <alignment horizontal="right"/>
      <protection locked="0"/>
    </xf>
    <xf numFmtId="4" fontId="2" fillId="34" borderId="127" xfId="265" applyNumberFormat="1" applyFont="1" applyFill="1" applyBorder="1" applyAlignment="1" applyProtection="1">
      <alignment horizontal="right"/>
      <protection locked="0"/>
    </xf>
    <xf numFmtId="3" fontId="2" fillId="34" borderId="134" xfId="265" applyNumberFormat="1" applyFont="1" applyFill="1" applyBorder="1" applyAlignment="1" applyProtection="1">
      <alignment horizontal="right"/>
      <protection locked="0"/>
    </xf>
    <xf numFmtId="3" fontId="2" fillId="34" borderId="78" xfId="265" applyNumberFormat="1" applyFont="1" applyFill="1" applyBorder="1" applyAlignment="1" applyProtection="1">
      <alignment horizontal="right"/>
      <protection locked="0"/>
    </xf>
    <xf numFmtId="3" fontId="2" fillId="34" borderId="131" xfId="265" applyNumberFormat="1" applyFont="1" applyFill="1" applyBorder="1" applyAlignment="1" applyProtection="1">
      <alignment horizontal="right"/>
      <protection locked="0"/>
    </xf>
    <xf numFmtId="169" fontId="2" fillId="34" borderId="123" xfId="265" applyNumberFormat="1" applyFont="1" applyFill="1" applyBorder="1" applyAlignment="1" applyProtection="1">
      <alignment horizontal="right"/>
      <protection locked="0"/>
    </xf>
    <xf numFmtId="169" fontId="2" fillId="34" borderId="93" xfId="265" applyNumberFormat="1" applyFont="1" applyFill="1" applyBorder="1" applyAlignment="1" applyProtection="1">
      <alignment horizontal="right"/>
      <protection locked="0"/>
    </xf>
    <xf numFmtId="169" fontId="2" fillId="34" borderId="127" xfId="265" applyNumberFormat="1" applyFont="1" applyFill="1" applyBorder="1" applyAlignment="1" applyProtection="1">
      <alignment horizontal="right"/>
      <protection locked="0"/>
    </xf>
    <xf numFmtId="4" fontId="2" fillId="34" borderId="131" xfId="265" applyNumberFormat="1" applyFont="1" applyFill="1" applyBorder="1" applyAlignment="1" applyProtection="1">
      <alignment horizontal="right"/>
      <protection locked="0"/>
    </xf>
    <xf numFmtId="3" fontId="2" fillId="34" borderId="137" xfId="265" applyNumberFormat="1" applyFont="1" applyFill="1" applyBorder="1" applyAlignment="1" applyProtection="1">
      <alignment horizontal="right"/>
      <protection locked="0"/>
    </xf>
    <xf numFmtId="4" fontId="2" fillId="34" borderId="138" xfId="265" applyNumberFormat="1" applyFont="1" applyFill="1" applyBorder="1" applyAlignment="1" applyProtection="1">
      <alignment horizontal="right"/>
      <protection locked="0"/>
    </xf>
    <xf numFmtId="4" fontId="2" fillId="34" borderId="139" xfId="265" applyNumberFormat="1" applyFont="1" applyFill="1" applyBorder="1" applyAlignment="1" applyProtection="1">
      <alignment horizontal="right"/>
      <protection locked="0"/>
    </xf>
    <xf numFmtId="4" fontId="2" fillId="34" borderId="140" xfId="265" applyNumberFormat="1" applyFont="1" applyFill="1" applyBorder="1" applyAlignment="1" applyProtection="1">
      <alignment horizontal="right"/>
      <protection locked="0"/>
    </xf>
    <xf numFmtId="3" fontId="2" fillId="34" borderId="123" xfId="265" applyNumberFormat="1" applyFont="1" applyFill="1" applyBorder="1" applyAlignment="1" applyProtection="1">
      <alignment horizontal="right"/>
      <protection locked="0"/>
    </xf>
    <xf numFmtId="3" fontId="2" fillId="34" borderId="128" xfId="265" applyNumberFormat="1" applyFont="1" applyFill="1" applyBorder="1" applyAlignment="1" applyProtection="1">
      <alignment horizontal="right"/>
      <protection locked="0"/>
    </xf>
    <xf numFmtId="4" fontId="2" fillId="34" borderId="141" xfId="265" applyNumberFormat="1" applyFont="1" applyFill="1" applyBorder="1" applyAlignment="1" applyProtection="1">
      <alignment horizontal="right"/>
      <protection locked="0"/>
    </xf>
    <xf numFmtId="4" fontId="2" fillId="34" borderId="128" xfId="265" applyNumberFormat="1" applyFont="1" applyFill="1" applyBorder="1" applyAlignment="1" applyProtection="1">
      <alignment horizontal="right"/>
      <protection locked="0"/>
    </xf>
    <xf numFmtId="4" fontId="2" fillId="34" borderId="134" xfId="265" applyNumberFormat="1" applyFont="1" applyFill="1" applyBorder="1" applyAlignment="1" applyProtection="1">
      <alignment horizontal="right"/>
      <protection locked="0"/>
    </xf>
    <xf numFmtId="0" fontId="2" fillId="34" borderId="37" xfId="265" applyNumberFormat="1" applyFont="1" applyFill="1" applyBorder="1" applyProtection="1">
      <protection locked="0"/>
    </xf>
    <xf numFmtId="0" fontId="3" fillId="0" borderId="20" xfId="232" applyFont="1" applyFill="1" applyBorder="1" applyAlignment="1" applyProtection="1">
      <alignment horizontal="center" vertical="center"/>
      <protection locked="0"/>
    </xf>
    <xf numFmtId="169" fontId="2" fillId="0" borderId="60" xfId="232" applyNumberFormat="1" applyFont="1" applyFill="1" applyBorder="1" applyAlignment="1" applyProtection="1">
      <protection locked="0"/>
    </xf>
    <xf numFmtId="169" fontId="2" fillId="0" borderId="24" xfId="232" applyNumberFormat="1" applyFont="1" applyFill="1" applyBorder="1" applyAlignment="1" applyProtection="1">
      <protection locked="0"/>
    </xf>
    <xf numFmtId="169" fontId="2" fillId="34" borderId="24" xfId="265" applyNumberFormat="1" applyFont="1" applyFill="1" applyBorder="1" applyProtection="1">
      <protection locked="0"/>
    </xf>
    <xf numFmtId="169" fontId="42" fillId="30" borderId="24" xfId="265" applyNumberFormat="1" applyFont="1" applyFill="1" applyBorder="1" applyAlignment="1" applyProtection="1">
      <alignment horizontal="right"/>
      <protection locked="0"/>
    </xf>
    <xf numFmtId="169" fontId="2" fillId="30" borderId="24" xfId="232" applyNumberFormat="1" applyFont="1" applyFill="1" applyBorder="1" applyAlignment="1" applyProtection="1">
      <alignment horizontal="right"/>
      <protection locked="0"/>
    </xf>
    <xf numFmtId="0" fontId="2" fillId="34" borderId="20" xfId="265" applyNumberFormat="1" applyFont="1" applyFill="1" applyBorder="1" applyProtection="1">
      <protection locked="0"/>
    </xf>
    <xf numFmtId="169" fontId="2" fillId="0" borderId="142" xfId="232" applyNumberFormat="1" applyFont="1" applyFill="1" applyBorder="1" applyAlignment="1" applyProtection="1">
      <protection locked="0"/>
    </xf>
    <xf numFmtId="4" fontId="2" fillId="30" borderId="78" xfId="265" applyNumberFormat="1" applyFont="1" applyFill="1" applyBorder="1" applyAlignment="1" applyProtection="1">
      <alignment horizontal="left"/>
      <protection locked="0"/>
    </xf>
    <xf numFmtId="4" fontId="2" fillId="30" borderId="79" xfId="265" applyNumberFormat="1" applyFont="1" applyFill="1" applyBorder="1" applyAlignment="1" applyProtection="1">
      <alignment horizontal="right"/>
      <protection locked="0"/>
    </xf>
    <xf numFmtId="4" fontId="2" fillId="30" borderId="24" xfId="265" applyNumberFormat="1" applyFont="1" applyFill="1" applyBorder="1" applyAlignment="1" applyProtection="1">
      <alignment horizontal="right"/>
      <protection locked="0"/>
    </xf>
    <xf numFmtId="4" fontId="2" fillId="30" borderId="78" xfId="265" applyNumberFormat="1" applyFont="1" applyFill="1" applyBorder="1" applyAlignment="1" applyProtection="1">
      <alignment horizontal="right"/>
      <protection locked="0"/>
    </xf>
    <xf numFmtId="165" fontId="2" fillId="30" borderId="48" xfId="265" applyNumberFormat="1" applyFont="1" applyFill="1" applyBorder="1" applyProtection="1">
      <protection locked="0"/>
    </xf>
    <xf numFmtId="0" fontId="2" fillId="30" borderId="24" xfId="232" applyFont="1" applyFill="1" applyBorder="1" applyAlignment="1" applyProtection="1">
      <alignment horizontal="center"/>
      <protection locked="0"/>
    </xf>
    <xf numFmtId="169" fontId="2" fillId="30" borderId="66" xfId="265" applyNumberFormat="1" applyFont="1" applyFill="1" applyBorder="1" applyProtection="1">
      <protection locked="0"/>
    </xf>
    <xf numFmtId="169" fontId="2" fillId="30" borderId="31" xfId="265" applyNumberFormat="1" applyFont="1" applyFill="1" applyBorder="1" applyProtection="1">
      <protection locked="0"/>
    </xf>
    <xf numFmtId="169" fontId="2" fillId="30" borderId="64" xfId="265" applyNumberFormat="1" applyFont="1" applyFill="1" applyBorder="1" applyProtection="1">
      <protection locked="0"/>
    </xf>
    <xf numFmtId="169" fontId="2" fillId="30" borderId="143" xfId="265" applyNumberFormat="1" applyFont="1" applyFill="1" applyBorder="1" applyProtection="1">
      <protection locked="0"/>
    </xf>
    <xf numFmtId="169" fontId="2" fillId="30" borderId="68" xfId="265" applyNumberFormat="1" applyFont="1" applyFill="1" applyBorder="1" applyProtection="1">
      <protection locked="0"/>
    </xf>
    <xf numFmtId="169" fontId="2" fillId="30" borderId="25" xfId="265" applyNumberFormat="1" applyFont="1" applyFill="1" applyBorder="1" applyProtection="1">
      <protection locked="0"/>
    </xf>
    <xf numFmtId="169" fontId="2" fillId="30" borderId="24" xfId="265" applyNumberFormat="1" applyFont="1" applyFill="1" applyBorder="1" applyProtection="1">
      <protection locked="0"/>
    </xf>
    <xf numFmtId="14" fontId="3" fillId="0" borderId="0" xfId="225" applyNumberFormat="1" applyFont="1" applyFill="1" applyProtection="1"/>
    <xf numFmtId="0" fontId="3" fillId="0" borderId="55" xfId="232" applyFont="1" applyFill="1" applyBorder="1" applyAlignment="1" applyProtection="1">
      <alignment horizontal="center" vertical="center"/>
      <protection locked="0"/>
    </xf>
    <xf numFmtId="0" fontId="2" fillId="34" borderId="55" xfId="265" applyNumberFormat="1" applyFont="1" applyFill="1" applyBorder="1" applyProtection="1">
      <protection locked="0"/>
    </xf>
    <xf numFmtId="169" fontId="2" fillId="0" borderId="144" xfId="232" applyNumberFormat="1" applyFont="1" applyFill="1" applyBorder="1" applyAlignment="1" applyProtection="1">
      <protection locked="0"/>
    </xf>
    <xf numFmtId="0" fontId="6" fillId="0" borderId="23" xfId="232" applyFont="1" applyFill="1" applyBorder="1" applyAlignment="1" applyProtection="1">
      <alignment vertical="center"/>
    </xf>
    <xf numFmtId="0" fontId="2" fillId="30" borderId="0" xfId="232" applyFont="1" applyFill="1" applyAlignment="1" applyProtection="1">
      <alignment vertical="center"/>
    </xf>
    <xf numFmtId="165" fontId="3" fillId="34" borderId="24" xfId="265" applyNumberFormat="1" applyFont="1" applyFill="1" applyBorder="1" applyAlignment="1" applyProtection="1">
      <protection locked="0"/>
    </xf>
    <xf numFmtId="165" fontId="3" fillId="30" borderId="31" xfId="265" applyNumberFormat="1" applyFont="1" applyFill="1" applyBorder="1" applyAlignment="1" applyProtection="1"/>
    <xf numFmtId="0" fontId="3" fillId="30" borderId="50" xfId="0" applyFont="1" applyFill="1" applyBorder="1" applyAlignment="1" applyProtection="1">
      <alignment horizontal="left" vertical="center"/>
    </xf>
    <xf numFmtId="165" fontId="3" fillId="35" borderId="48" xfId="265" applyNumberFormat="1" applyFont="1" applyFill="1" applyBorder="1" applyProtection="1">
      <protection locked="0"/>
    </xf>
    <xf numFmtId="165" fontId="3" fillId="33" borderId="48" xfId="0" applyNumberFormat="1" applyFont="1" applyFill="1" applyBorder="1" applyAlignment="1" applyProtection="1">
      <alignment horizontal="right"/>
    </xf>
    <xf numFmtId="3" fontId="49" fillId="33" borderId="45" xfId="0" applyNumberFormat="1" applyFont="1" applyFill="1" applyBorder="1" applyAlignment="1" applyProtection="1">
      <alignment horizontal="right"/>
    </xf>
    <xf numFmtId="3" fontId="49" fillId="33" borderId="48" xfId="0" applyNumberFormat="1" applyFont="1" applyFill="1" applyBorder="1" applyAlignment="1" applyProtection="1">
      <alignment horizontal="right"/>
    </xf>
    <xf numFmtId="165" fontId="2" fillId="35" borderId="48" xfId="265" applyNumberFormat="1" applyFont="1" applyFill="1" applyBorder="1" applyProtection="1">
      <protection locked="0"/>
    </xf>
    <xf numFmtId="3" fontId="3" fillId="33" borderId="48" xfId="0" applyNumberFormat="1" applyFont="1" applyFill="1" applyBorder="1" applyAlignment="1" applyProtection="1">
      <alignment horizontal="right"/>
    </xf>
    <xf numFmtId="165" fontId="2" fillId="33" borderId="48" xfId="265" applyNumberFormat="1" applyFont="1" applyFill="1" applyBorder="1" applyProtection="1">
      <protection locked="0"/>
    </xf>
    <xf numFmtId="165" fontId="2" fillId="35" borderId="48" xfId="265" applyNumberFormat="1" applyFont="1" applyFill="1" applyBorder="1" applyAlignment="1" applyProtection="1">
      <alignment vertical="center"/>
      <protection locked="0"/>
    </xf>
    <xf numFmtId="3" fontId="3" fillId="33" borderId="51" xfId="0" applyNumberFormat="1" applyFont="1" applyFill="1" applyBorder="1" applyAlignment="1" applyProtection="1">
      <alignment horizontal="right"/>
    </xf>
    <xf numFmtId="3" fontId="3" fillId="33" borderId="18" xfId="0" applyNumberFormat="1" applyFont="1" applyFill="1" applyBorder="1" applyAlignment="1" applyProtection="1">
      <alignment horizontal="right"/>
    </xf>
    <xf numFmtId="3" fontId="3" fillId="33" borderId="14" xfId="0" applyNumberFormat="1" applyFont="1" applyFill="1" applyBorder="1" applyAlignment="1" applyProtection="1">
      <alignment horizontal="right"/>
    </xf>
    <xf numFmtId="165" fontId="37" fillId="33" borderId="38" xfId="0" applyNumberFormat="1" applyFont="1" applyFill="1" applyBorder="1" applyAlignment="1" applyProtection="1">
      <alignment horizontal="right"/>
    </xf>
    <xf numFmtId="3" fontId="3" fillId="33" borderId="40" xfId="0" applyNumberFormat="1" applyFont="1" applyFill="1" applyBorder="1" applyAlignment="1" applyProtection="1">
      <alignment horizontal="right"/>
    </xf>
    <xf numFmtId="3" fontId="42" fillId="33" borderId="0" xfId="0" applyNumberFormat="1" applyFont="1" applyFill="1" applyBorder="1" applyAlignment="1" applyProtection="1">
      <alignment horizontal="right"/>
    </xf>
    <xf numFmtId="3" fontId="48" fillId="33" borderId="0" xfId="0" applyNumberFormat="1" applyFont="1" applyFill="1" applyBorder="1" applyAlignment="1" applyProtection="1">
      <alignment horizontal="right"/>
    </xf>
    <xf numFmtId="4" fontId="0" fillId="33" borderId="0" xfId="0" applyNumberFormat="1" applyFill="1" applyProtection="1"/>
    <xf numFmtId="3" fontId="3" fillId="33" borderId="15" xfId="0" applyNumberFormat="1" applyFont="1" applyFill="1" applyBorder="1" applyAlignment="1" applyProtection="1">
      <alignment horizontal="right"/>
    </xf>
    <xf numFmtId="0" fontId="6" fillId="0" borderId="23" xfId="232" applyFont="1" applyFill="1" applyBorder="1" applyAlignment="1" applyProtection="1">
      <alignment vertical="center"/>
      <protection locked="0"/>
    </xf>
    <xf numFmtId="4" fontId="2" fillId="30" borderId="0" xfId="265" applyNumberFormat="1" applyFont="1" applyFill="1" applyBorder="1" applyProtection="1"/>
    <xf numFmtId="4" fontId="2" fillId="30" borderId="0" xfId="265" applyNumberFormat="1" applyFont="1" applyFill="1" applyBorder="1" applyProtection="1">
      <protection locked="0"/>
    </xf>
    <xf numFmtId="4" fontId="2" fillId="30" borderId="0" xfId="265" applyNumberFormat="1" applyFont="1" applyFill="1" applyBorder="1" applyAlignment="1" applyProtection="1">
      <alignment horizontal="right"/>
      <protection locked="0"/>
    </xf>
    <xf numFmtId="10" fontId="3" fillId="33" borderId="48" xfId="159" applyNumberFormat="1" applyFont="1" applyFill="1" applyBorder="1" applyAlignment="1" applyProtection="1">
      <alignment horizontal="right"/>
    </xf>
    <xf numFmtId="0" fontId="2" fillId="30" borderId="24" xfId="232" applyFont="1" applyFill="1" applyBorder="1" applyAlignment="1" applyProtection="1">
      <alignment vertical="center"/>
      <protection locked="0"/>
    </xf>
    <xf numFmtId="0" fontId="2" fillId="30" borderId="24" xfId="232" applyFont="1" applyFill="1" applyBorder="1" applyAlignment="1" applyProtection="1">
      <alignment horizontal="left" vertical="center" wrapText="1"/>
      <protection locked="0"/>
    </xf>
    <xf numFmtId="0" fontId="2" fillId="30" borderId="24" xfId="232" applyFont="1" applyFill="1" applyBorder="1" applyAlignment="1" applyProtection="1">
      <alignment vertical="center" wrapText="1"/>
      <protection locked="0"/>
    </xf>
    <xf numFmtId="0" fontId="2" fillId="30" borderId="34" xfId="232" applyFont="1" applyFill="1" applyBorder="1" applyAlignment="1" applyProtection="1">
      <alignment vertical="center" wrapText="1"/>
      <protection locked="0"/>
    </xf>
    <xf numFmtId="0" fontId="2" fillId="30" borderId="34" xfId="232" applyFont="1" applyFill="1" applyBorder="1" applyAlignment="1" applyProtection="1">
      <alignment vertical="center"/>
      <protection locked="0"/>
    </xf>
    <xf numFmtId="0" fontId="3" fillId="30" borderId="24" xfId="232" applyFont="1" applyFill="1" applyBorder="1" applyProtection="1">
      <protection locked="0"/>
    </xf>
    <xf numFmtId="0" fontId="6" fillId="30" borderId="24" xfId="232" applyFont="1" applyFill="1" applyBorder="1" applyProtection="1">
      <protection locked="0"/>
    </xf>
    <xf numFmtId="10" fontId="48" fillId="30" borderId="0" xfId="159" applyNumberFormat="1" applyFont="1" applyFill="1" applyAlignment="1" applyProtection="1">
      <alignment horizontal="right"/>
    </xf>
    <xf numFmtId="10" fontId="2" fillId="30" borderId="0" xfId="159" applyNumberFormat="1" applyFont="1" applyFill="1" applyProtection="1"/>
    <xf numFmtId="10" fontId="2" fillId="30" borderId="0" xfId="159" applyNumberFormat="1" applyFont="1" applyFill="1" applyAlignment="1" applyProtection="1">
      <alignment horizontal="right"/>
    </xf>
    <xf numFmtId="10" fontId="48" fillId="30" borderId="0" xfId="159" applyNumberFormat="1" applyFont="1" applyFill="1" applyBorder="1" applyAlignment="1" applyProtection="1">
      <alignment horizontal="right"/>
    </xf>
    <xf numFmtId="10" fontId="48" fillId="33" borderId="0" xfId="159" applyNumberFormat="1" applyFont="1" applyFill="1" applyBorder="1" applyAlignment="1" applyProtection="1">
      <alignment horizontal="right"/>
    </xf>
    <xf numFmtId="10" fontId="70" fillId="30" borderId="0" xfId="159" applyNumberFormat="1" applyFont="1" applyFill="1" applyProtection="1"/>
    <xf numFmtId="10" fontId="70" fillId="33" borderId="0" xfId="159" applyNumberFormat="1" applyFont="1" applyFill="1" applyProtection="1"/>
    <xf numFmtId="0" fontId="2" fillId="34" borderId="21" xfId="265" applyNumberFormat="1" applyFont="1" applyFill="1" applyBorder="1" applyProtection="1">
      <protection locked="0"/>
    </xf>
    <xf numFmtId="169" fontId="2" fillId="0" borderId="145" xfId="232" applyNumberFormat="1" applyFont="1" applyFill="1" applyBorder="1" applyAlignment="1" applyProtection="1">
      <protection locked="0"/>
    </xf>
    <xf numFmtId="0" fontId="54" fillId="0" borderId="24" xfId="232" applyFont="1" applyFill="1" applyBorder="1" applyAlignment="1" applyProtection="1">
      <alignment vertical="top"/>
    </xf>
    <xf numFmtId="166" fontId="2" fillId="30" borderId="24" xfId="232" applyNumberFormat="1" applyFont="1" applyFill="1" applyBorder="1" applyAlignment="1" applyProtection="1">
      <alignment horizontal="right"/>
    </xf>
    <xf numFmtId="0" fontId="2" fillId="0" borderId="25" xfId="232" applyFont="1" applyFill="1" applyBorder="1" applyAlignment="1" applyProtection="1">
      <alignment horizontal="right" vertical="center" wrapText="1"/>
    </xf>
    <xf numFmtId="0" fontId="3" fillId="30" borderId="37" xfId="225" applyFont="1" applyFill="1" applyBorder="1" applyAlignment="1" applyProtection="1">
      <alignment horizontal="center" vertical="center"/>
    </xf>
    <xf numFmtId="0" fontId="3" fillId="34" borderId="39" xfId="265" applyNumberFormat="1" applyFont="1" applyFill="1" applyBorder="1" applyAlignment="1" applyProtection="1">
      <alignment horizontal="center"/>
      <protection locked="0"/>
    </xf>
    <xf numFmtId="0" fontId="3" fillId="30" borderId="39" xfId="221" applyFont="1" applyFill="1" applyBorder="1" applyProtection="1"/>
    <xf numFmtId="0" fontId="0" fillId="30" borderId="146" xfId="0" applyFill="1" applyBorder="1"/>
    <xf numFmtId="165" fontId="80" fillId="34" borderId="11" xfId="265" applyNumberFormat="1" applyFont="1" applyFill="1" applyBorder="1" applyProtection="1">
      <protection locked="0"/>
    </xf>
    <xf numFmtId="165" fontId="3" fillId="30" borderId="48" xfId="159" applyNumberFormat="1" applyFont="1" applyFill="1" applyBorder="1" applyAlignment="1" applyProtection="1">
      <alignment horizontal="right"/>
    </xf>
    <xf numFmtId="0" fontId="37" fillId="30" borderId="38" xfId="159" applyNumberFormat="1" applyFont="1" applyFill="1" applyBorder="1" applyAlignment="1" applyProtection="1">
      <alignment horizontal="right"/>
    </xf>
    <xf numFmtId="0" fontId="48" fillId="30" borderId="0" xfId="159" applyNumberFormat="1" applyFont="1" applyFill="1" applyBorder="1" applyAlignment="1" applyProtection="1">
      <alignment horizontal="right"/>
    </xf>
    <xf numFmtId="4" fontId="81" fillId="30" borderId="0" xfId="0" applyNumberFormat="1" applyFont="1" applyFill="1" applyProtection="1"/>
    <xf numFmtId="4" fontId="52" fillId="36" borderId="53" xfId="0" applyNumberFormat="1" applyFont="1" applyFill="1" applyBorder="1" applyAlignment="1" applyProtection="1">
      <alignment horizontal="right"/>
    </xf>
    <xf numFmtId="165" fontId="59" fillId="36" borderId="38" xfId="0" applyNumberFormat="1" applyFont="1" applyFill="1" applyBorder="1" applyAlignment="1" applyProtection="1">
      <alignment horizontal="right"/>
    </xf>
    <xf numFmtId="4" fontId="52" fillId="36" borderId="52" xfId="0" applyNumberFormat="1" applyFont="1" applyFill="1" applyBorder="1" applyAlignment="1" applyProtection="1">
      <alignment horizontal="right"/>
    </xf>
    <xf numFmtId="0" fontId="48" fillId="36" borderId="39" xfId="0" applyFont="1" applyFill="1" applyBorder="1" applyAlignment="1" applyProtection="1">
      <alignment horizontal="center" vertical="center"/>
    </xf>
    <xf numFmtId="4" fontId="52" fillId="36" borderId="45" xfId="0" applyNumberFormat="1" applyFont="1" applyFill="1" applyBorder="1" applyAlignment="1" applyProtection="1">
      <alignment horizontal="right"/>
    </xf>
    <xf numFmtId="165" fontId="48" fillId="36" borderId="48" xfId="0" applyNumberFormat="1" applyFont="1" applyFill="1" applyBorder="1" applyAlignment="1" applyProtection="1">
      <alignment horizontal="right"/>
    </xf>
    <xf numFmtId="4" fontId="52" fillId="36" borderId="48" xfId="0" applyNumberFormat="1" applyFont="1" applyFill="1" applyBorder="1" applyAlignment="1" applyProtection="1">
      <alignment horizontal="right"/>
    </xf>
    <xf numFmtId="4" fontId="48" fillId="36" borderId="48" xfId="0" applyNumberFormat="1" applyFont="1" applyFill="1" applyBorder="1" applyAlignment="1" applyProtection="1">
      <alignment horizontal="right"/>
    </xf>
    <xf numFmtId="3" fontId="48" fillId="36" borderId="48" xfId="0" applyNumberFormat="1" applyFont="1" applyFill="1" applyBorder="1" applyAlignment="1" applyProtection="1">
      <alignment horizontal="right"/>
    </xf>
    <xf numFmtId="3" fontId="48" fillId="36" borderId="51" xfId="0" applyNumberFormat="1" applyFont="1" applyFill="1" applyBorder="1" applyAlignment="1" applyProtection="1">
      <alignment horizontal="right"/>
    </xf>
    <xf numFmtId="4" fontId="52" fillId="36" borderId="51" xfId="0" applyNumberFormat="1" applyFont="1" applyFill="1" applyBorder="1" applyAlignment="1" applyProtection="1">
      <alignment horizontal="right"/>
    </xf>
    <xf numFmtId="3" fontId="48" fillId="36" borderId="39" xfId="0" applyNumberFormat="1" applyFont="1" applyFill="1" applyBorder="1" applyAlignment="1" applyProtection="1">
      <alignment horizontal="right"/>
    </xf>
    <xf numFmtId="4" fontId="52" fillId="36" borderId="38" xfId="0" applyNumberFormat="1" applyFont="1" applyFill="1" applyBorder="1" applyAlignment="1" applyProtection="1">
      <alignment horizontal="right"/>
    </xf>
    <xf numFmtId="169" fontId="11" fillId="34" borderId="24" xfId="265" applyNumberFormat="1" applyFont="1" applyFill="1" applyBorder="1" applyProtection="1">
      <protection locked="0"/>
    </xf>
    <xf numFmtId="169" fontId="2" fillId="34" borderId="25" xfId="265" applyNumberFormat="1" applyFont="1" applyFill="1" applyBorder="1" applyAlignment="1" applyProtection="1">
      <alignment horizontal="right"/>
      <protection locked="0"/>
    </xf>
    <xf numFmtId="169" fontId="3" fillId="34" borderId="24" xfId="265" applyNumberFormat="1" applyFont="1" applyFill="1" applyBorder="1" applyAlignment="1" applyProtection="1">
      <alignment horizontal="left"/>
      <protection locked="0"/>
    </xf>
    <xf numFmtId="169" fontId="6" fillId="34" borderId="24" xfId="265" applyNumberFormat="1" applyFont="1" applyFill="1" applyBorder="1" applyAlignment="1" applyProtection="1">
      <alignment horizontal="left" vertical="top"/>
      <protection locked="0"/>
    </xf>
    <xf numFmtId="169" fontId="6" fillId="34" borderId="25" xfId="265" applyNumberFormat="1" applyFont="1" applyFill="1" applyBorder="1" applyAlignment="1" applyProtection="1">
      <alignment horizontal="left" vertical="top"/>
      <protection locked="0"/>
    </xf>
    <xf numFmtId="177" fontId="2" fillId="34" borderId="66" xfId="265" applyNumberFormat="1" applyFont="1" applyFill="1" applyBorder="1" applyAlignment="1" applyProtection="1">
      <alignment vertical="center"/>
      <protection locked="0"/>
    </xf>
    <xf numFmtId="177" fontId="2" fillId="34" borderId="31" xfId="265" applyNumberFormat="1" applyFont="1" applyFill="1" applyBorder="1" applyAlignment="1" applyProtection="1">
      <alignment vertical="center"/>
      <protection locked="0"/>
    </xf>
    <xf numFmtId="177" fontId="2" fillId="34" borderId="64" xfId="265" applyNumberFormat="1" applyFont="1" applyFill="1" applyBorder="1" applyAlignment="1" applyProtection="1">
      <alignment vertical="center"/>
      <protection locked="0"/>
    </xf>
    <xf numFmtId="177" fontId="2" fillId="34" borderId="143" xfId="265" applyNumberFormat="1" applyFont="1" applyFill="1" applyBorder="1" applyAlignment="1" applyProtection="1">
      <alignment vertical="center"/>
      <protection locked="0"/>
    </xf>
    <xf numFmtId="177" fontId="2" fillId="34" borderId="68" xfId="265" applyNumberFormat="1" applyFont="1" applyFill="1" applyBorder="1" applyAlignment="1" applyProtection="1">
      <alignment vertical="center"/>
      <protection locked="0"/>
    </xf>
    <xf numFmtId="177" fontId="2" fillId="34" borderId="25" xfId="265" applyNumberFormat="1" applyFont="1" applyFill="1" applyBorder="1" applyAlignment="1" applyProtection="1">
      <alignment vertical="center"/>
      <protection locked="0"/>
    </xf>
    <xf numFmtId="177" fontId="2" fillId="34" borderId="24" xfId="265" applyNumberFormat="1" applyFont="1" applyFill="1" applyBorder="1" applyAlignment="1" applyProtection="1">
      <alignment vertical="center"/>
      <protection locked="0"/>
    </xf>
    <xf numFmtId="169" fontId="2" fillId="0" borderId="70" xfId="232" applyNumberFormat="1" applyFont="1" applyFill="1" applyBorder="1" applyAlignment="1" applyProtection="1">
      <alignment vertical="center"/>
      <protection locked="0"/>
    </xf>
    <xf numFmtId="169" fontId="2" fillId="0" borderId="31" xfId="232" applyNumberFormat="1" applyFont="1" applyFill="1" applyBorder="1" applyAlignment="1" applyProtection="1">
      <alignment vertical="center"/>
      <protection locked="0"/>
    </xf>
    <xf numFmtId="169" fontId="2" fillId="0" borderId="64" xfId="232" applyNumberFormat="1" applyFont="1" applyFill="1" applyBorder="1" applyAlignment="1" applyProtection="1">
      <alignment vertical="center"/>
      <protection locked="0"/>
    </xf>
    <xf numFmtId="169" fontId="2" fillId="0" borderId="65" xfId="232" applyNumberFormat="1" applyFont="1" applyFill="1" applyBorder="1" applyAlignment="1" applyProtection="1">
      <alignment vertical="center"/>
      <protection locked="0"/>
    </xf>
    <xf numFmtId="169" fontId="2" fillId="0" borderId="66" xfId="232" applyNumberFormat="1" applyFont="1" applyFill="1" applyBorder="1" applyAlignment="1" applyProtection="1">
      <alignment vertical="center"/>
      <protection locked="0"/>
    </xf>
    <xf numFmtId="169" fontId="2" fillId="0" borderId="67" xfId="232" applyNumberFormat="1" applyFont="1" applyFill="1" applyBorder="1" applyAlignment="1" applyProtection="1">
      <alignment vertical="center"/>
      <protection locked="0"/>
    </xf>
    <xf numFmtId="169" fontId="2" fillId="0" borderId="68" xfId="232" applyNumberFormat="1" applyFont="1" applyFill="1" applyBorder="1" applyAlignment="1" applyProtection="1">
      <alignment vertical="center"/>
      <protection locked="0"/>
    </xf>
    <xf numFmtId="169" fontId="2" fillId="0" borderId="25" xfId="232" applyNumberFormat="1" applyFont="1" applyFill="1" applyBorder="1" applyAlignment="1" applyProtection="1">
      <alignment vertical="center"/>
      <protection locked="0"/>
    </xf>
    <xf numFmtId="169" fontId="2" fillId="0" borderId="24" xfId="232" applyNumberFormat="1" applyFont="1" applyFill="1" applyBorder="1" applyAlignment="1" applyProtection="1">
      <alignment vertical="center"/>
      <protection locked="0"/>
    </xf>
    <xf numFmtId="169" fontId="2" fillId="30" borderId="70" xfId="232" applyNumberFormat="1" applyFont="1" applyFill="1" applyBorder="1" applyAlignment="1" applyProtection="1">
      <alignment vertical="center"/>
      <protection locked="0"/>
    </xf>
    <xf numFmtId="169" fontId="2" fillId="30" borderId="31" xfId="232" applyNumberFormat="1" applyFont="1" applyFill="1" applyBorder="1" applyAlignment="1" applyProtection="1">
      <alignment vertical="center"/>
      <protection locked="0"/>
    </xf>
    <xf numFmtId="169" fontId="2" fillId="30" borderId="0" xfId="232" applyNumberFormat="1" applyFont="1" applyFill="1" applyAlignment="1" applyProtection="1">
      <alignment vertical="center"/>
      <protection locked="0"/>
    </xf>
    <xf numFmtId="169" fontId="2" fillId="30" borderId="64" xfId="232" applyNumberFormat="1" applyFont="1" applyFill="1" applyBorder="1" applyAlignment="1" applyProtection="1">
      <alignment vertical="center"/>
      <protection locked="0"/>
    </xf>
    <xf numFmtId="169" fontId="2" fillId="30" borderId="65" xfId="232" applyNumberFormat="1" applyFont="1" applyFill="1" applyBorder="1" applyAlignment="1" applyProtection="1">
      <alignment vertical="center"/>
      <protection locked="0"/>
    </xf>
    <xf numFmtId="169" fontId="2" fillId="30" borderId="66" xfId="232" applyNumberFormat="1" applyFont="1" applyFill="1" applyBorder="1" applyAlignment="1" applyProtection="1">
      <alignment vertical="center"/>
      <protection locked="0"/>
    </xf>
    <xf numFmtId="169" fontId="2" fillId="30" borderId="67" xfId="232" applyNumberFormat="1" applyFont="1" applyFill="1" applyBorder="1" applyAlignment="1" applyProtection="1">
      <alignment vertical="center"/>
      <protection locked="0"/>
    </xf>
    <xf numFmtId="169" fontId="2" fillId="30" borderId="68" xfId="232" applyNumberFormat="1" applyFont="1" applyFill="1" applyBorder="1" applyAlignment="1" applyProtection="1">
      <alignment vertical="center"/>
      <protection locked="0"/>
    </xf>
    <xf numFmtId="169" fontId="2" fillId="30" borderId="25" xfId="232" applyNumberFormat="1" applyFont="1" applyFill="1" applyBorder="1" applyAlignment="1" applyProtection="1">
      <alignment vertical="center"/>
      <protection locked="0"/>
    </xf>
    <xf numFmtId="169" fontId="2" fillId="30" borderId="24" xfId="232" applyNumberFormat="1" applyFont="1" applyFill="1" applyBorder="1" applyAlignment="1" applyProtection="1">
      <alignment vertical="center"/>
      <protection locked="0"/>
    </xf>
    <xf numFmtId="169" fontId="42" fillId="30" borderId="66" xfId="265" applyNumberFormat="1" applyFont="1" applyFill="1" applyBorder="1" applyAlignment="1" applyProtection="1">
      <alignment horizontal="right" vertical="center"/>
      <protection locked="0"/>
    </xf>
    <xf numFmtId="169" fontId="42" fillId="30" borderId="25" xfId="265" applyNumberFormat="1" applyFont="1" applyFill="1" applyBorder="1" applyAlignment="1" applyProtection="1">
      <alignment horizontal="right" vertical="center"/>
      <protection locked="0"/>
    </xf>
    <xf numFmtId="169" fontId="42" fillId="30" borderId="70" xfId="265" applyNumberFormat="1" applyFont="1" applyFill="1" applyBorder="1" applyAlignment="1" applyProtection="1">
      <alignment horizontal="right" vertical="center"/>
      <protection locked="0"/>
    </xf>
    <xf numFmtId="169" fontId="42" fillId="30" borderId="64" xfId="265" applyNumberFormat="1" applyFont="1" applyFill="1" applyBorder="1" applyAlignment="1" applyProtection="1">
      <alignment horizontal="right" vertical="center"/>
      <protection locked="0"/>
    </xf>
    <xf numFmtId="169" fontId="2" fillId="30" borderId="65" xfId="232" applyNumberFormat="1" applyFont="1" applyFill="1" applyBorder="1" applyAlignment="1" applyProtection="1">
      <alignment horizontal="right" vertical="center"/>
      <protection locked="0"/>
    </xf>
    <xf numFmtId="169" fontId="2" fillId="30" borderId="31" xfId="232" applyNumberFormat="1" applyFont="1" applyFill="1" applyBorder="1" applyAlignment="1" applyProtection="1">
      <alignment horizontal="right" vertical="center"/>
      <protection locked="0"/>
    </xf>
    <xf numFmtId="169" fontId="2" fillId="30" borderId="66" xfId="232" applyNumberFormat="1" applyFont="1" applyFill="1" applyBorder="1" applyAlignment="1" applyProtection="1">
      <alignment horizontal="right" vertical="center"/>
      <protection locked="0"/>
    </xf>
    <xf numFmtId="169" fontId="2" fillId="30" borderId="67" xfId="232" applyNumberFormat="1" applyFont="1" applyFill="1" applyBorder="1" applyAlignment="1" applyProtection="1">
      <alignment horizontal="right" vertical="center"/>
      <protection locked="0"/>
    </xf>
    <xf numFmtId="169" fontId="2" fillId="30" borderId="68" xfId="232" applyNumberFormat="1" applyFont="1" applyFill="1" applyBorder="1" applyAlignment="1" applyProtection="1">
      <alignment horizontal="right" vertical="center"/>
      <protection locked="0"/>
    </xf>
    <xf numFmtId="169" fontId="2" fillId="30" borderId="25" xfId="232" applyNumberFormat="1" applyFont="1" applyFill="1" applyBorder="1" applyAlignment="1" applyProtection="1">
      <alignment horizontal="right" vertical="center"/>
      <protection locked="0"/>
    </xf>
    <xf numFmtId="169" fontId="42" fillId="30" borderId="31" xfId="265" applyNumberFormat="1" applyFont="1" applyFill="1" applyBorder="1" applyAlignment="1" applyProtection="1">
      <alignment horizontal="right" vertical="center"/>
      <protection locked="0"/>
    </xf>
    <xf numFmtId="169" fontId="42" fillId="30" borderId="24" xfId="265" applyNumberFormat="1" applyFont="1" applyFill="1" applyBorder="1" applyAlignment="1" applyProtection="1">
      <alignment horizontal="right" vertical="center"/>
      <protection locked="0"/>
    </xf>
    <xf numFmtId="169" fontId="2" fillId="30" borderId="0" xfId="232" applyNumberFormat="1" applyFont="1" applyFill="1" applyAlignment="1" applyProtection="1">
      <alignment horizontal="right" vertical="center"/>
      <protection locked="0"/>
    </xf>
    <xf numFmtId="0" fontId="2" fillId="30" borderId="0" xfId="232" applyFont="1" applyFill="1" applyAlignment="1" applyProtection="1">
      <alignment vertical="center"/>
      <protection locked="0"/>
    </xf>
    <xf numFmtId="169" fontId="42" fillId="30" borderId="65" xfId="265" applyNumberFormat="1" applyFont="1" applyFill="1" applyBorder="1" applyAlignment="1" applyProtection="1">
      <alignment horizontal="right" vertical="center"/>
      <protection locked="0"/>
    </xf>
    <xf numFmtId="169" fontId="42" fillId="30" borderId="67" xfId="265" applyNumberFormat="1" applyFont="1" applyFill="1" applyBorder="1" applyAlignment="1" applyProtection="1">
      <alignment horizontal="right" vertical="center"/>
      <protection locked="0"/>
    </xf>
    <xf numFmtId="169" fontId="42" fillId="30" borderId="68" xfId="265" applyNumberFormat="1" applyFont="1" applyFill="1" applyBorder="1" applyAlignment="1" applyProtection="1">
      <alignment horizontal="right" vertical="center"/>
      <protection locked="0"/>
    </xf>
    <xf numFmtId="4" fontId="2" fillId="34" borderId="66" xfId="265" applyNumberFormat="1" applyFont="1" applyFill="1" applyBorder="1" applyAlignment="1" applyProtection="1">
      <alignment vertical="center"/>
      <protection locked="0"/>
    </xf>
    <xf numFmtId="4" fontId="2" fillId="34" borderId="31" xfId="265" applyNumberFormat="1" applyFont="1" applyFill="1" applyBorder="1" applyAlignment="1" applyProtection="1">
      <alignment vertical="center"/>
      <protection locked="0"/>
    </xf>
    <xf numFmtId="4" fontId="2" fillId="34" borderId="64" xfId="265" applyNumberFormat="1" applyFont="1" applyFill="1" applyBorder="1" applyAlignment="1" applyProtection="1">
      <alignment vertical="center"/>
      <protection locked="0"/>
    </xf>
    <xf numFmtId="4" fontId="2" fillId="34" borderId="143" xfId="265" applyNumberFormat="1" applyFont="1" applyFill="1" applyBorder="1" applyAlignment="1" applyProtection="1">
      <alignment vertical="center"/>
      <protection locked="0"/>
    </xf>
    <xf numFmtId="4" fontId="2" fillId="34" borderId="68" xfId="265" applyNumberFormat="1" applyFont="1" applyFill="1" applyBorder="1" applyAlignment="1" applyProtection="1">
      <alignment vertical="center"/>
      <protection locked="0"/>
    </xf>
    <xf numFmtId="4" fontId="2" fillId="34" borderId="25" xfId="265" applyNumberFormat="1" applyFont="1" applyFill="1" applyBorder="1" applyAlignment="1" applyProtection="1">
      <alignment vertical="center"/>
      <protection locked="0"/>
    </xf>
    <xf numFmtId="4" fontId="2" fillId="34" borderId="24" xfId="265" applyNumberFormat="1" applyFont="1" applyFill="1" applyBorder="1" applyAlignment="1" applyProtection="1">
      <alignment vertical="center"/>
      <protection locked="0"/>
    </xf>
    <xf numFmtId="0" fontId="43" fillId="0" borderId="0" xfId="232" applyFont="1" applyFill="1" applyAlignment="1" applyProtection="1">
      <alignment vertical="center"/>
      <protection locked="0"/>
    </xf>
    <xf numFmtId="169" fontId="43" fillId="30" borderId="70" xfId="232" applyNumberFormat="1" applyFont="1" applyFill="1" applyBorder="1" applyAlignment="1" applyProtection="1">
      <alignment horizontal="right" vertical="center"/>
      <protection locked="0"/>
    </xf>
    <xf numFmtId="169" fontId="43" fillId="30" borderId="31" xfId="232" applyNumberFormat="1" applyFont="1" applyFill="1" applyBorder="1" applyAlignment="1" applyProtection="1">
      <alignment horizontal="right" vertical="center"/>
      <protection locked="0"/>
    </xf>
    <xf numFmtId="169" fontId="2" fillId="30" borderId="70" xfId="232" applyNumberFormat="1" applyFont="1" applyFill="1" applyBorder="1" applyAlignment="1" applyProtection="1">
      <alignment horizontal="right" vertical="center"/>
      <protection locked="0"/>
    </xf>
    <xf numFmtId="169" fontId="2" fillId="30" borderId="64" xfId="232" applyNumberFormat="1" applyFont="1" applyFill="1" applyBorder="1" applyAlignment="1" applyProtection="1">
      <alignment horizontal="right" vertical="center"/>
      <protection locked="0"/>
    </xf>
    <xf numFmtId="169" fontId="43" fillId="30" borderId="25" xfId="232" applyNumberFormat="1" applyFont="1" applyFill="1" applyBorder="1" applyAlignment="1" applyProtection="1">
      <alignment horizontal="right" vertical="center"/>
      <protection locked="0"/>
    </xf>
    <xf numFmtId="169" fontId="2" fillId="30" borderId="24" xfId="232" applyNumberFormat="1" applyFont="1" applyFill="1" applyBorder="1" applyAlignment="1" applyProtection="1">
      <alignment horizontal="right" vertical="center"/>
      <protection locked="0"/>
    </xf>
    <xf numFmtId="169" fontId="2" fillId="30" borderId="66" xfId="265" applyNumberFormat="1" applyFont="1" applyFill="1" applyBorder="1" applyAlignment="1" applyProtection="1">
      <alignment vertical="center"/>
      <protection locked="0"/>
    </xf>
    <xf numFmtId="169" fontId="2" fillId="30" borderId="31" xfId="265" applyNumberFormat="1" applyFont="1" applyFill="1" applyBorder="1" applyAlignment="1" applyProtection="1">
      <alignment vertical="center"/>
      <protection locked="0"/>
    </xf>
    <xf numFmtId="169" fontId="2" fillId="30" borderId="64" xfId="265" applyNumberFormat="1" applyFont="1" applyFill="1" applyBorder="1" applyAlignment="1" applyProtection="1">
      <alignment vertical="center"/>
      <protection locked="0"/>
    </xf>
    <xf numFmtId="169" fontId="2" fillId="30" borderId="143" xfId="265" applyNumberFormat="1" applyFont="1" applyFill="1" applyBorder="1" applyAlignment="1" applyProtection="1">
      <alignment vertical="center"/>
      <protection locked="0"/>
    </xf>
    <xf numFmtId="169" fontId="2" fillId="30" borderId="68" xfId="265" applyNumberFormat="1" applyFont="1" applyFill="1" applyBorder="1" applyAlignment="1" applyProtection="1">
      <alignment vertical="center"/>
      <protection locked="0"/>
    </xf>
    <xf numFmtId="169" fontId="2" fillId="30" borderId="25" xfId="265" applyNumberFormat="1" applyFont="1" applyFill="1" applyBorder="1" applyAlignment="1" applyProtection="1">
      <alignment vertical="center"/>
      <protection locked="0"/>
    </xf>
    <xf numFmtId="169" fontId="2" fillId="30" borderId="24" xfId="265" applyNumberFormat="1" applyFont="1" applyFill="1" applyBorder="1" applyAlignment="1" applyProtection="1">
      <alignment vertical="center"/>
      <protection locked="0"/>
    </xf>
    <xf numFmtId="4" fontId="12" fillId="30" borderId="0" xfId="225" applyNumberFormat="1" applyFont="1" applyFill="1" applyProtection="1"/>
    <xf numFmtId="4" fontId="2" fillId="30" borderId="0" xfId="225" applyNumberFormat="1" applyFont="1" applyFill="1" applyProtection="1"/>
    <xf numFmtId="4" fontId="36" fillId="30" borderId="0" xfId="225" applyNumberFormat="1" applyFont="1" applyFill="1" applyProtection="1"/>
    <xf numFmtId="4" fontId="55" fillId="30" borderId="0" xfId="232" applyNumberFormat="1" applyFont="1" applyFill="1" applyBorder="1" applyProtection="1"/>
    <xf numFmtId="4" fontId="39" fillId="30" borderId="0" xfId="261" applyNumberFormat="1" applyFont="1" applyFill="1" applyBorder="1" applyAlignment="1" applyProtection="1">
      <alignment vertical="center"/>
    </xf>
    <xf numFmtId="177" fontId="2" fillId="34" borderId="79" xfId="265" applyNumberFormat="1" applyFont="1" applyFill="1" applyBorder="1" applyProtection="1">
      <protection locked="0"/>
    </xf>
    <xf numFmtId="177" fontId="2" fillId="34" borderId="79" xfId="265" applyNumberFormat="1" applyFont="1" applyFill="1" applyBorder="1" applyAlignment="1" applyProtection="1">
      <alignment horizontal="right"/>
      <protection locked="0"/>
    </xf>
    <xf numFmtId="177" fontId="2" fillId="30" borderId="76" xfId="265" applyNumberFormat="1" applyFont="1" applyFill="1" applyBorder="1" applyProtection="1"/>
    <xf numFmtId="177" fontId="2" fillId="30" borderId="79" xfId="265" applyNumberFormat="1" applyFont="1" applyFill="1" applyBorder="1" applyProtection="1"/>
    <xf numFmtId="177" fontId="2" fillId="30" borderId="79" xfId="265" applyNumberFormat="1" applyFont="1" applyFill="1" applyBorder="1" applyAlignment="1" applyProtection="1">
      <alignment horizontal="right"/>
      <protection locked="0"/>
    </xf>
    <xf numFmtId="4" fontId="3" fillId="30" borderId="39" xfId="232" applyNumberFormat="1" applyFont="1" applyFill="1" applyBorder="1" applyProtection="1"/>
    <xf numFmtId="0" fontId="3" fillId="30" borderId="53" xfId="232" applyFont="1" applyFill="1" applyBorder="1" applyAlignment="1" applyProtection="1">
      <alignment horizontal="center" vertical="center"/>
    </xf>
    <xf numFmtId="0" fontId="3" fillId="30" borderId="52" xfId="232" applyFont="1" applyFill="1" applyBorder="1" applyAlignment="1" applyProtection="1">
      <alignment horizontal="center"/>
    </xf>
    <xf numFmtId="4" fontId="2" fillId="30" borderId="62" xfId="232" applyNumberFormat="1" applyFont="1" applyFill="1" applyBorder="1" applyProtection="1"/>
    <xf numFmtId="4" fontId="2" fillId="30" borderId="77" xfId="232" applyNumberFormat="1" applyFont="1" applyFill="1" applyBorder="1" applyProtection="1"/>
    <xf numFmtId="4" fontId="30" fillId="30" borderId="77" xfId="232" applyNumberFormat="1" applyFont="1" applyFill="1" applyBorder="1" applyProtection="1"/>
    <xf numFmtId="4" fontId="3" fillId="30" borderId="74" xfId="232" applyNumberFormat="1" applyFont="1" applyFill="1" applyBorder="1" applyProtection="1"/>
    <xf numFmtId="0" fontId="2" fillId="30" borderId="62" xfId="232" applyFont="1" applyFill="1" applyBorder="1" applyAlignment="1" applyProtection="1">
      <alignment horizontal="right"/>
    </xf>
    <xf numFmtId="4" fontId="2" fillId="30" borderId="62" xfId="232" applyNumberFormat="1" applyFont="1" applyFill="1" applyBorder="1" applyAlignment="1" applyProtection="1">
      <alignment horizontal="right"/>
    </xf>
    <xf numFmtId="4" fontId="2" fillId="30" borderId="77" xfId="232" applyNumberFormat="1" applyFont="1" applyFill="1" applyBorder="1" applyAlignment="1" applyProtection="1">
      <alignment horizontal="right"/>
    </xf>
    <xf numFmtId="4" fontId="3" fillId="30" borderId="77" xfId="232" applyNumberFormat="1" applyFont="1" applyFill="1" applyBorder="1" applyAlignment="1" applyProtection="1">
      <alignment horizontal="right"/>
    </xf>
    <xf numFmtId="4" fontId="3" fillId="30" borderId="74" xfId="232" applyNumberFormat="1" applyFont="1" applyFill="1" applyBorder="1" applyAlignment="1" applyProtection="1">
      <alignment horizontal="right"/>
    </xf>
    <xf numFmtId="4" fontId="2" fillId="30" borderId="0" xfId="232" applyNumberFormat="1" applyFont="1" applyFill="1" applyBorder="1" applyProtection="1"/>
    <xf numFmtId="4" fontId="3" fillId="34" borderId="79" xfId="265" applyNumberFormat="1" applyFont="1" applyFill="1" applyBorder="1" applyProtection="1">
      <protection locked="0"/>
    </xf>
    <xf numFmtId="10" fontId="2" fillId="30" borderId="62" xfId="159" applyNumberFormat="1" applyFont="1" applyFill="1" applyBorder="1" applyAlignment="1" applyProtection="1">
      <alignment horizontal="right"/>
    </xf>
    <xf numFmtId="4" fontId="2" fillId="30" borderId="101" xfId="232" applyNumberFormat="1" applyFont="1" applyFill="1" applyBorder="1" applyAlignment="1" applyProtection="1">
      <alignment horizontal="right"/>
    </xf>
    <xf numFmtId="4" fontId="3" fillId="30" borderId="62" xfId="232" applyNumberFormat="1" applyFont="1" applyFill="1" applyBorder="1" applyAlignment="1" applyProtection="1">
      <alignment horizontal="right"/>
    </xf>
    <xf numFmtId="4" fontId="2" fillId="30" borderId="101" xfId="232" applyNumberFormat="1" applyFont="1" applyFill="1" applyBorder="1" applyProtection="1"/>
    <xf numFmtId="10" fontId="2" fillId="30" borderId="77" xfId="159" applyNumberFormat="1" applyFont="1" applyFill="1" applyBorder="1" applyAlignment="1" applyProtection="1">
      <alignment horizontal="right"/>
    </xf>
    <xf numFmtId="4" fontId="2" fillId="30" borderId="25" xfId="232" applyNumberFormat="1" applyFont="1" applyFill="1" applyBorder="1" applyAlignment="1" applyProtection="1">
      <alignment horizontal="right"/>
    </xf>
    <xf numFmtId="4" fontId="2" fillId="30" borderId="25" xfId="232" applyNumberFormat="1" applyFont="1" applyFill="1" applyBorder="1" applyProtection="1"/>
    <xf numFmtId="4" fontId="3" fillId="30" borderId="25" xfId="232" applyNumberFormat="1" applyFont="1" applyFill="1" applyBorder="1" applyAlignment="1" applyProtection="1">
      <alignment horizontal="right"/>
    </xf>
    <xf numFmtId="4" fontId="3" fillId="30" borderId="78" xfId="232" applyNumberFormat="1" applyFont="1" applyFill="1" applyBorder="1" applyAlignment="1" applyProtection="1">
      <alignment horizontal="left"/>
    </xf>
    <xf numFmtId="4" fontId="3" fillId="30" borderId="79" xfId="232" applyNumberFormat="1" applyFont="1" applyFill="1" applyBorder="1" applyAlignment="1" applyProtection="1">
      <alignment horizontal="right"/>
    </xf>
    <xf numFmtId="10" fontId="3" fillId="30" borderId="77" xfId="159" applyNumberFormat="1" applyFont="1" applyFill="1" applyBorder="1" applyAlignment="1" applyProtection="1">
      <alignment horizontal="right"/>
    </xf>
    <xf numFmtId="4" fontId="2" fillId="30" borderId="78" xfId="232" applyNumberFormat="1" applyFont="1" applyFill="1" applyBorder="1" applyAlignment="1" applyProtection="1">
      <alignment horizontal="right"/>
    </xf>
    <xf numFmtId="4" fontId="2" fillId="30" borderId="79" xfId="232" applyNumberFormat="1" applyFont="1" applyFill="1" applyBorder="1" applyAlignment="1" applyProtection="1">
      <alignment horizontal="right"/>
    </xf>
    <xf numFmtId="177" fontId="2" fillId="30" borderId="79" xfId="232" applyNumberFormat="1" applyFont="1" applyFill="1" applyBorder="1" applyAlignment="1" applyProtection="1">
      <alignment horizontal="right"/>
    </xf>
    <xf numFmtId="4" fontId="43" fillId="30" borderId="79" xfId="232" applyNumberFormat="1" applyFont="1" applyFill="1" applyBorder="1" applyAlignment="1" applyProtection="1">
      <alignment horizontal="right"/>
    </xf>
    <xf numFmtId="4" fontId="2" fillId="30" borderId="78" xfId="232" applyNumberFormat="1" applyFont="1" applyFill="1" applyBorder="1" applyProtection="1"/>
    <xf numFmtId="177" fontId="2" fillId="30" borderId="79" xfId="232" applyNumberFormat="1" applyFont="1" applyFill="1" applyBorder="1" applyProtection="1"/>
    <xf numFmtId="4" fontId="3" fillId="30" borderId="25" xfId="232" applyNumberFormat="1" applyFont="1" applyFill="1" applyBorder="1" applyProtection="1"/>
    <xf numFmtId="4" fontId="3" fillId="30" borderId="73" xfId="232" applyNumberFormat="1" applyFont="1" applyFill="1" applyBorder="1" applyAlignment="1" applyProtection="1">
      <alignment horizontal="right"/>
    </xf>
    <xf numFmtId="4" fontId="3" fillId="30" borderId="71" xfId="232" applyNumberFormat="1" applyFont="1" applyFill="1" applyBorder="1" applyAlignment="1" applyProtection="1">
      <alignment horizontal="right"/>
    </xf>
    <xf numFmtId="4" fontId="3" fillId="30" borderId="72" xfId="232" applyNumberFormat="1" applyFont="1" applyFill="1" applyBorder="1" applyAlignment="1" applyProtection="1">
      <alignment horizontal="right"/>
    </xf>
    <xf numFmtId="4" fontId="3" fillId="30" borderId="72" xfId="160" applyNumberFormat="1" applyFont="1" applyFill="1" applyBorder="1" applyAlignment="1" applyProtection="1">
      <alignment horizontal="right"/>
    </xf>
    <xf numFmtId="10" fontId="3" fillId="30" borderId="74" xfId="159" applyNumberFormat="1" applyFont="1" applyFill="1" applyBorder="1" applyAlignment="1" applyProtection="1">
      <alignment horizontal="right"/>
    </xf>
    <xf numFmtId="177" fontId="3" fillId="30" borderId="72" xfId="232" applyNumberFormat="1" applyFont="1" applyFill="1" applyBorder="1" applyAlignment="1" applyProtection="1">
      <alignment horizontal="right"/>
    </xf>
    <xf numFmtId="4" fontId="3" fillId="30" borderId="71" xfId="232" applyNumberFormat="1" applyFont="1" applyFill="1" applyBorder="1" applyProtection="1"/>
    <xf numFmtId="177" fontId="3" fillId="30" borderId="72" xfId="232" applyNumberFormat="1" applyFont="1" applyFill="1" applyBorder="1" applyProtection="1"/>
    <xf numFmtId="4" fontId="3" fillId="30" borderId="73" xfId="232" applyNumberFormat="1" applyFont="1" applyFill="1" applyBorder="1" applyProtection="1"/>
    <xf numFmtId="4" fontId="3" fillId="30" borderId="0" xfId="232" applyNumberFormat="1" applyFont="1" applyFill="1" applyBorder="1" applyProtection="1"/>
    <xf numFmtId="3" fontId="3" fillId="30" borderId="77" xfId="232" applyNumberFormat="1" applyFont="1" applyFill="1" applyBorder="1" applyAlignment="1" applyProtection="1">
      <alignment horizontal="right"/>
    </xf>
    <xf numFmtId="3" fontId="3" fillId="30" borderId="25" xfId="232" applyNumberFormat="1" applyFont="1" applyFill="1" applyBorder="1" applyProtection="1"/>
    <xf numFmtId="3" fontId="3" fillId="30" borderId="78" xfId="232" applyNumberFormat="1" applyFont="1" applyFill="1" applyBorder="1" applyAlignment="1" applyProtection="1">
      <alignment horizontal="left"/>
    </xf>
    <xf numFmtId="3" fontId="3" fillId="30" borderId="79" xfId="232" applyNumberFormat="1" applyFont="1" applyFill="1" applyBorder="1" applyAlignment="1" applyProtection="1">
      <alignment horizontal="right"/>
    </xf>
    <xf numFmtId="3" fontId="3" fillId="30" borderId="25" xfId="232" applyNumberFormat="1" applyFont="1" applyFill="1" applyBorder="1" applyAlignment="1" applyProtection="1">
      <alignment horizontal="right"/>
    </xf>
    <xf numFmtId="0" fontId="2" fillId="30" borderId="78" xfId="232" applyFont="1" applyFill="1" applyBorder="1" applyProtection="1"/>
    <xf numFmtId="4" fontId="2" fillId="30" borderId="79" xfId="232" applyNumberFormat="1" applyFont="1" applyFill="1" applyBorder="1" applyProtection="1"/>
    <xf numFmtId="0" fontId="2" fillId="30" borderId="79" xfId="232" applyFont="1" applyFill="1" applyBorder="1" applyProtection="1"/>
    <xf numFmtId="168" fontId="2" fillId="30" borderId="79" xfId="232" applyNumberFormat="1" applyFont="1" applyFill="1" applyBorder="1" applyProtection="1"/>
    <xf numFmtId="4" fontId="43" fillId="30" borderId="79" xfId="232" applyNumberFormat="1" applyFont="1" applyFill="1" applyBorder="1" applyProtection="1"/>
    <xf numFmtId="3" fontId="2" fillId="30" borderId="0" xfId="232" applyNumberFormat="1" applyFont="1" applyFill="1" applyBorder="1" applyProtection="1"/>
    <xf numFmtId="168" fontId="2" fillId="30" borderId="0" xfId="232" applyNumberFormat="1" applyFont="1" applyFill="1" applyBorder="1" applyProtection="1"/>
    <xf numFmtId="0" fontId="3" fillId="30" borderId="53" xfId="232" applyFont="1" applyFill="1" applyBorder="1" applyAlignment="1" applyProtection="1">
      <alignment horizontal="right"/>
    </xf>
    <xf numFmtId="0" fontId="3" fillId="30" borderId="17" xfId="232" applyFont="1" applyFill="1" applyBorder="1" applyAlignment="1" applyProtection="1">
      <alignment horizontal="center"/>
    </xf>
    <xf numFmtId="0" fontId="2" fillId="30" borderId="52" xfId="232" applyFont="1" applyFill="1" applyBorder="1" applyAlignment="1" applyProtection="1">
      <alignment horizontal="right"/>
    </xf>
    <xf numFmtId="0" fontId="2" fillId="30" borderId="101" xfId="232" applyFont="1" applyFill="1" applyBorder="1" applyAlignment="1" applyProtection="1">
      <alignment horizontal="right"/>
    </xf>
    <xf numFmtId="0" fontId="2" fillId="30" borderId="75" xfId="232" applyFont="1" applyFill="1" applyBorder="1" applyAlignment="1" applyProtection="1">
      <alignment horizontal="left"/>
    </xf>
    <xf numFmtId="0" fontId="2" fillId="30" borderId="76" xfId="232" applyFont="1" applyFill="1" applyBorder="1" applyAlignment="1" applyProtection="1">
      <alignment horizontal="right"/>
    </xf>
    <xf numFmtId="0" fontId="2" fillId="30" borderId="27" xfId="232" applyFont="1" applyFill="1" applyBorder="1" applyAlignment="1" applyProtection="1">
      <alignment horizontal="right"/>
    </xf>
    <xf numFmtId="0" fontId="2" fillId="30" borderId="75" xfId="232" applyFont="1" applyFill="1" applyBorder="1" applyAlignment="1" applyProtection="1">
      <alignment horizontal="right"/>
    </xf>
    <xf numFmtId="4" fontId="2" fillId="30" borderId="76" xfId="232" applyNumberFormat="1" applyFont="1" applyFill="1" applyBorder="1" applyAlignment="1" applyProtection="1">
      <alignment horizontal="right"/>
    </xf>
    <xf numFmtId="4" fontId="2" fillId="30" borderId="75" xfId="232" applyNumberFormat="1" applyFont="1" applyFill="1" applyBorder="1" applyAlignment="1" applyProtection="1">
      <alignment horizontal="right"/>
    </xf>
    <xf numFmtId="177" fontId="2" fillId="30" borderId="76" xfId="232" applyNumberFormat="1" applyFont="1" applyFill="1" applyBorder="1" applyAlignment="1" applyProtection="1">
      <alignment horizontal="right"/>
    </xf>
    <xf numFmtId="4" fontId="43" fillId="30" borderId="77" xfId="232" applyNumberFormat="1" applyFont="1" applyFill="1" applyBorder="1" applyAlignment="1" applyProtection="1">
      <alignment horizontal="right"/>
    </xf>
    <xf numFmtId="4" fontId="43" fillId="30" borderId="25" xfId="232" applyNumberFormat="1" applyFont="1" applyFill="1" applyBorder="1" applyAlignment="1" applyProtection="1">
      <alignment horizontal="right"/>
    </xf>
    <xf numFmtId="4" fontId="2" fillId="30" borderId="78" xfId="232" applyNumberFormat="1" applyFont="1" applyFill="1" applyBorder="1" applyAlignment="1" applyProtection="1">
      <alignment horizontal="left"/>
    </xf>
    <xf numFmtId="10" fontId="43" fillId="30" borderId="77" xfId="159" applyNumberFormat="1" applyFont="1" applyFill="1" applyBorder="1" applyAlignment="1" applyProtection="1">
      <alignment horizontal="right"/>
    </xf>
    <xf numFmtId="177" fontId="43" fillId="30" borderId="79" xfId="232" applyNumberFormat="1" applyFont="1" applyFill="1" applyBorder="1" applyAlignment="1" applyProtection="1">
      <alignment horizontal="right"/>
    </xf>
    <xf numFmtId="4" fontId="2" fillId="30" borderId="0" xfId="232" applyNumberFormat="1" applyFont="1" applyFill="1" applyBorder="1" applyAlignment="1" applyProtection="1">
      <alignment horizontal="right"/>
    </xf>
    <xf numFmtId="4" fontId="3" fillId="30" borderId="147" xfId="232" applyNumberFormat="1" applyFont="1" applyFill="1" applyBorder="1" applyAlignment="1" applyProtection="1">
      <alignment horizontal="right"/>
    </xf>
    <xf numFmtId="4" fontId="3" fillId="30" borderId="0" xfId="232" applyNumberFormat="1" applyFont="1" applyFill="1" applyBorder="1" applyAlignment="1" applyProtection="1">
      <alignment horizontal="right"/>
    </xf>
    <xf numFmtId="0" fontId="2" fillId="30" borderId="148" xfId="232" applyFont="1" applyFill="1" applyBorder="1" applyAlignment="1" applyProtection="1">
      <alignment horizontal="right"/>
    </xf>
    <xf numFmtId="0" fontId="2" fillId="30" borderId="16" xfId="232" applyFont="1" applyFill="1" applyBorder="1" applyAlignment="1" applyProtection="1">
      <alignment horizontal="right"/>
    </xf>
    <xf numFmtId="4" fontId="2" fillId="30" borderId="103" xfId="232" applyNumberFormat="1" applyFont="1" applyFill="1" applyBorder="1" applyAlignment="1" applyProtection="1">
      <alignment horizontal="right"/>
    </xf>
    <xf numFmtId="4" fontId="3" fillId="30" borderId="149" xfId="232" applyNumberFormat="1" applyFont="1" applyFill="1" applyBorder="1" applyAlignment="1" applyProtection="1">
      <alignment horizontal="right"/>
    </xf>
    <xf numFmtId="4" fontId="3" fillId="30" borderId="37" xfId="232" applyNumberFormat="1" applyFont="1" applyFill="1" applyBorder="1" applyProtection="1"/>
    <xf numFmtId="4" fontId="3" fillId="30" borderId="91" xfId="232" applyNumberFormat="1" applyFont="1" applyFill="1" applyBorder="1" applyProtection="1"/>
    <xf numFmtId="4" fontId="3" fillId="30" borderId="92" xfId="232" applyNumberFormat="1" applyFont="1" applyFill="1" applyBorder="1" applyProtection="1"/>
    <xf numFmtId="4" fontId="3" fillId="30" borderId="92" xfId="160" applyNumberFormat="1" applyFont="1" applyFill="1" applyBorder="1" applyProtection="1"/>
    <xf numFmtId="177" fontId="3" fillId="30" borderId="92" xfId="232" applyNumberFormat="1" applyFont="1" applyFill="1" applyBorder="1" applyProtection="1"/>
    <xf numFmtId="4" fontId="3" fillId="30" borderId="107" xfId="232" applyNumberFormat="1" applyFont="1" applyFill="1" applyBorder="1" applyProtection="1"/>
    <xf numFmtId="0" fontId="2" fillId="30" borderId="53" xfId="232" applyFont="1" applyFill="1" applyBorder="1" applyProtection="1"/>
    <xf numFmtId="0" fontId="82" fillId="30" borderId="0" xfId="0" applyFont="1" applyFill="1" applyProtection="1"/>
    <xf numFmtId="0" fontId="2" fillId="30" borderId="38" xfId="232" applyFont="1" applyFill="1" applyBorder="1" applyProtection="1"/>
    <xf numFmtId="0" fontId="2" fillId="30" borderId="42" xfId="232" applyFont="1" applyFill="1" applyBorder="1" applyProtection="1"/>
    <xf numFmtId="4" fontId="3" fillId="30" borderId="71" xfId="232" applyNumberFormat="1" applyFont="1" applyFill="1" applyBorder="1" applyAlignment="1" applyProtection="1">
      <alignment horizontal="center"/>
    </xf>
    <xf numFmtId="0" fontId="3" fillId="30" borderId="72" xfId="232" applyFont="1" applyFill="1" applyBorder="1" applyAlignment="1" applyProtection="1">
      <alignment horizontal="center"/>
    </xf>
    <xf numFmtId="0" fontId="3" fillId="30" borderId="73" xfId="232" applyFont="1" applyFill="1" applyBorder="1" applyAlignment="1" applyProtection="1">
      <alignment horizontal="center"/>
    </xf>
    <xf numFmtId="0" fontId="3" fillId="30" borderId="149" xfId="232" applyFont="1" applyFill="1" applyBorder="1" applyAlignment="1" applyProtection="1">
      <alignment horizontal="center"/>
    </xf>
    <xf numFmtId="0" fontId="3" fillId="30" borderId="0" xfId="232" applyFont="1" applyFill="1" applyBorder="1" applyAlignment="1" applyProtection="1">
      <alignment horizontal="center"/>
    </xf>
    <xf numFmtId="0" fontId="3" fillId="30" borderId="0" xfId="232" applyFont="1" applyFill="1" applyAlignment="1" applyProtection="1">
      <alignment horizontal="center"/>
    </xf>
    <xf numFmtId="0" fontId="3" fillId="30" borderId="22" xfId="0" applyFont="1" applyFill="1" applyBorder="1" applyAlignment="1" applyProtection="1">
      <alignment vertical="center" wrapText="1"/>
    </xf>
    <xf numFmtId="0" fontId="3" fillId="0" borderId="38" xfId="232" applyFont="1" applyFill="1" applyBorder="1" applyAlignment="1" applyProtection="1">
      <alignment horizontal="right"/>
      <protection locked="0"/>
    </xf>
    <xf numFmtId="0" fontId="3" fillId="30" borderId="0" xfId="232" applyFont="1" applyFill="1" applyAlignment="1" applyProtection="1">
      <alignment vertical="center"/>
      <protection locked="0"/>
    </xf>
    <xf numFmtId="0" fontId="3" fillId="30" borderId="0" xfId="232" applyFont="1" applyFill="1" applyProtection="1">
      <protection locked="0"/>
    </xf>
    <xf numFmtId="0" fontId="3" fillId="0" borderId="41" xfId="232" applyFont="1" applyFill="1" applyBorder="1" applyProtection="1">
      <protection locked="0"/>
    </xf>
    <xf numFmtId="0" fontId="3" fillId="0" borderId="52" xfId="232" applyFont="1" applyFill="1" applyBorder="1" applyAlignment="1" applyProtection="1">
      <alignment horizontal="right"/>
      <protection locked="0"/>
    </xf>
    <xf numFmtId="0" fontId="3" fillId="0" borderId="15" xfId="232" applyFont="1" applyFill="1" applyBorder="1" applyProtection="1">
      <protection locked="0"/>
    </xf>
    <xf numFmtId="0" fontId="3" fillId="0" borderId="16" xfId="232" applyFont="1" applyFill="1" applyBorder="1" applyProtection="1">
      <protection locked="0"/>
    </xf>
    <xf numFmtId="0" fontId="3" fillId="0" borderId="17" xfId="232" applyFont="1" applyFill="1" applyBorder="1" applyAlignment="1" applyProtection="1">
      <alignment horizontal="right"/>
      <protection locked="0"/>
    </xf>
    <xf numFmtId="0" fontId="3" fillId="0" borderId="53" xfId="232" applyFont="1" applyFill="1" applyBorder="1" applyAlignment="1" applyProtection="1">
      <alignment horizontal="right"/>
      <protection locked="0"/>
    </xf>
    <xf numFmtId="0" fontId="3" fillId="0" borderId="14" xfId="232" applyFont="1" applyFill="1" applyBorder="1" applyAlignment="1" applyProtection="1">
      <protection locked="0"/>
    </xf>
    <xf numFmtId="0" fontId="3" fillId="0" borderId="0" xfId="232" applyFont="1" applyFill="1" applyBorder="1" applyAlignment="1" applyProtection="1">
      <alignment vertical="center"/>
      <protection locked="0"/>
    </xf>
    <xf numFmtId="0" fontId="3" fillId="0" borderId="0" xfId="232" applyFont="1" applyFill="1" applyBorder="1" applyAlignment="1" applyProtection="1">
      <protection locked="0"/>
    </xf>
    <xf numFmtId="0" fontId="3" fillId="0" borderId="14" xfId="232" quotePrefix="1" applyFont="1" applyFill="1" applyBorder="1" applyAlignment="1" applyProtection="1">
      <protection locked="0"/>
    </xf>
    <xf numFmtId="0" fontId="3" fillId="0" borderId="0" xfId="232" quotePrefix="1" applyFont="1" applyFill="1" applyBorder="1" applyAlignment="1" applyProtection="1">
      <protection locked="0"/>
    </xf>
    <xf numFmtId="0" fontId="3" fillId="0" borderId="38" xfId="232" applyFont="1" applyFill="1" applyBorder="1" applyAlignment="1" applyProtection="1">
      <alignment horizontal="center"/>
      <protection locked="0"/>
    </xf>
    <xf numFmtId="0" fontId="6" fillId="0" borderId="40" xfId="232" applyFont="1" applyFill="1" applyBorder="1" applyProtection="1">
      <protection locked="0"/>
    </xf>
    <xf numFmtId="0" fontId="3" fillId="0" borderId="42" xfId="232" applyFont="1" applyFill="1" applyBorder="1" applyAlignment="1" applyProtection="1">
      <alignment horizontal="right"/>
      <protection locked="0"/>
    </xf>
    <xf numFmtId="0" fontId="6" fillId="0" borderId="150" xfId="232" applyFont="1" applyFill="1" applyBorder="1" applyProtection="1">
      <protection locked="0"/>
    </xf>
    <xf numFmtId="0" fontId="3" fillId="0" borderId="147" xfId="232" applyFont="1" applyFill="1" applyBorder="1" applyProtection="1">
      <protection locked="0"/>
    </xf>
    <xf numFmtId="0" fontId="3" fillId="0" borderId="73" xfId="232" applyFont="1" applyFill="1" applyBorder="1" applyAlignment="1" applyProtection="1">
      <alignment horizontal="right"/>
      <protection locked="0"/>
    </xf>
    <xf numFmtId="169" fontId="3" fillId="0" borderId="73" xfId="232" applyNumberFormat="1" applyFont="1" applyFill="1" applyBorder="1" applyAlignment="1" applyProtection="1">
      <alignment horizontal="center"/>
      <protection locked="0"/>
    </xf>
    <xf numFmtId="169" fontId="3" fillId="0" borderId="0" xfId="232" applyNumberFormat="1" applyFont="1" applyFill="1" applyBorder="1" applyAlignment="1" applyProtection="1">
      <alignment horizontal="right"/>
      <protection locked="0"/>
    </xf>
    <xf numFmtId="169" fontId="3" fillId="0" borderId="0" xfId="232" applyNumberFormat="1" applyFont="1" applyFill="1" applyAlignment="1" applyProtection="1">
      <protection locked="0"/>
    </xf>
    <xf numFmtId="169" fontId="3" fillId="30" borderId="80" xfId="232" applyNumberFormat="1" applyFont="1" applyFill="1" applyBorder="1" applyAlignment="1" applyProtection="1">
      <alignment horizontal="center"/>
      <protection locked="0"/>
    </xf>
    <xf numFmtId="169" fontId="3" fillId="30" borderId="81" xfId="232" applyNumberFormat="1" applyFont="1" applyFill="1" applyBorder="1" applyAlignment="1" applyProtection="1">
      <alignment horizontal="center"/>
      <protection locked="0"/>
    </xf>
    <xf numFmtId="169" fontId="3" fillId="30" borderId="0" xfId="232" applyNumberFormat="1" applyFont="1" applyFill="1" applyAlignment="1" applyProtection="1">
      <protection locked="0"/>
    </xf>
    <xf numFmtId="169" fontId="3" fillId="30" borderId="82" xfId="232" applyNumberFormat="1" applyFont="1" applyFill="1" applyBorder="1" applyAlignment="1" applyProtection="1">
      <alignment horizontal="center"/>
      <protection locked="0"/>
    </xf>
    <xf numFmtId="169" fontId="3" fillId="30" borderId="83" xfId="232" applyNumberFormat="1" applyFont="1" applyFill="1" applyBorder="1" applyAlignment="1" applyProtection="1">
      <alignment horizontal="center"/>
      <protection locked="0"/>
    </xf>
    <xf numFmtId="169" fontId="3" fillId="30" borderId="84" xfId="232" applyNumberFormat="1" applyFont="1" applyFill="1" applyBorder="1" applyAlignment="1" applyProtection="1">
      <alignment horizontal="center"/>
      <protection locked="0"/>
    </xf>
    <xf numFmtId="169" fontId="3" fillId="30" borderId="85" xfId="232" applyNumberFormat="1" applyFont="1" applyFill="1" applyBorder="1" applyAlignment="1" applyProtection="1">
      <alignment horizontal="center"/>
      <protection locked="0"/>
    </xf>
    <xf numFmtId="169" fontId="3" fillId="30" borderId="86" xfId="232" applyNumberFormat="1" applyFont="1" applyFill="1" applyBorder="1" applyAlignment="1" applyProtection="1">
      <alignment horizontal="center"/>
      <protection locked="0"/>
    </xf>
    <xf numFmtId="169" fontId="3" fillId="30" borderId="73" xfId="232" applyNumberFormat="1" applyFont="1" applyFill="1" applyBorder="1" applyAlignment="1" applyProtection="1">
      <alignment horizontal="center"/>
      <protection locked="0"/>
    </xf>
    <xf numFmtId="169" fontId="3" fillId="30" borderId="147" xfId="232" applyNumberFormat="1" applyFont="1" applyFill="1" applyBorder="1" applyAlignment="1" applyProtection="1">
      <alignment horizontal="center"/>
      <protection locked="0"/>
    </xf>
    <xf numFmtId="0" fontId="2" fillId="0" borderId="0" xfId="232" applyFont="1" applyFill="1" applyAlignment="1" applyProtection="1">
      <protection locked="0"/>
    </xf>
    <xf numFmtId="0" fontId="3" fillId="0" borderId="0" xfId="232" applyFont="1" applyFill="1" applyAlignment="1" applyProtection="1">
      <alignment horizontal="left"/>
      <protection locked="0"/>
    </xf>
    <xf numFmtId="0" fontId="3" fillId="0" borderId="0" xfId="232" applyFont="1" applyFill="1" applyAlignment="1" applyProtection="1">
      <alignment horizontal="right"/>
      <protection locked="0"/>
    </xf>
    <xf numFmtId="0" fontId="3" fillId="30" borderId="0" xfId="232" applyFont="1" applyFill="1" applyAlignment="1" applyProtection="1">
      <alignment horizontal="right" vertical="center"/>
      <protection locked="0"/>
    </xf>
    <xf numFmtId="0" fontId="3" fillId="30" borderId="15" xfId="254" applyFont="1" applyFill="1" applyBorder="1" applyProtection="1">
      <protection locked="0"/>
    </xf>
    <xf numFmtId="0" fontId="3" fillId="30" borderId="16" xfId="254" applyFont="1" applyFill="1" applyBorder="1" applyProtection="1">
      <protection locked="0"/>
    </xf>
    <xf numFmtId="0" fontId="3" fillId="30" borderId="17" xfId="254" applyFont="1" applyFill="1" applyBorder="1" applyAlignment="1" applyProtection="1">
      <alignment horizontal="right"/>
      <protection locked="0"/>
    </xf>
    <xf numFmtId="0" fontId="3" fillId="30" borderId="15" xfId="254" applyFont="1" applyFill="1" applyBorder="1" applyAlignment="1" applyProtection="1">
      <alignment horizontal="right"/>
      <protection locked="0"/>
    </xf>
    <xf numFmtId="0" fontId="3" fillId="30" borderId="53" xfId="254" applyFont="1" applyFill="1" applyBorder="1" applyAlignment="1" applyProtection="1">
      <alignment horizontal="right"/>
      <protection locked="0"/>
    </xf>
    <xf numFmtId="0" fontId="3" fillId="30" borderId="0" xfId="254" applyFont="1" applyFill="1" applyProtection="1">
      <protection locked="0"/>
    </xf>
    <xf numFmtId="0" fontId="3" fillId="30" borderId="14" xfId="254" applyFont="1" applyFill="1" applyBorder="1" applyProtection="1">
      <protection locked="0"/>
    </xf>
    <xf numFmtId="0" fontId="3" fillId="30" borderId="0" xfId="254" applyFont="1" applyFill="1" applyBorder="1" applyProtection="1">
      <protection locked="0"/>
    </xf>
    <xf numFmtId="0" fontId="3" fillId="30" borderId="22" xfId="254" applyFont="1" applyFill="1" applyBorder="1" applyAlignment="1" applyProtection="1">
      <alignment horizontal="right"/>
      <protection locked="0"/>
    </xf>
    <xf numFmtId="0" fontId="3" fillId="30" borderId="14" xfId="254" applyFont="1" applyFill="1" applyBorder="1" applyAlignment="1" applyProtection="1">
      <alignment horizontal="right"/>
      <protection locked="0"/>
    </xf>
    <xf numFmtId="0" fontId="3" fillId="30" borderId="38" xfId="254" applyFont="1" applyFill="1" applyBorder="1" applyAlignment="1" applyProtection="1">
      <alignment horizontal="right"/>
      <protection locked="0"/>
    </xf>
    <xf numFmtId="0" fontId="3" fillId="30" borderId="0" xfId="254" applyFont="1" applyFill="1" applyAlignment="1" applyProtection="1">
      <alignment vertical="center"/>
      <protection locked="0"/>
    </xf>
    <xf numFmtId="0" fontId="3" fillId="30" borderId="40" xfId="254" applyFont="1" applyFill="1" applyBorder="1" applyProtection="1">
      <protection locked="0"/>
    </xf>
    <xf numFmtId="0" fontId="3" fillId="30" borderId="41" xfId="254" applyFont="1" applyFill="1" applyBorder="1" applyProtection="1">
      <protection locked="0"/>
    </xf>
    <xf numFmtId="0" fontId="3" fillId="30" borderId="42" xfId="254" applyFont="1" applyFill="1" applyBorder="1" applyAlignment="1" applyProtection="1">
      <alignment horizontal="right"/>
      <protection locked="0"/>
    </xf>
    <xf numFmtId="0" fontId="3" fillId="30" borderId="40" xfId="254" applyFont="1" applyFill="1" applyBorder="1" applyAlignment="1" applyProtection="1">
      <alignment horizontal="right"/>
      <protection locked="0"/>
    </xf>
    <xf numFmtId="0" fontId="3" fillId="30" borderId="52" xfId="254" applyFont="1" applyFill="1" applyBorder="1" applyAlignment="1" applyProtection="1">
      <alignment horizontal="right"/>
      <protection locked="0"/>
    </xf>
    <xf numFmtId="0" fontId="3" fillId="30" borderId="150" xfId="254" applyFont="1" applyFill="1" applyBorder="1" applyProtection="1">
      <protection locked="0"/>
    </xf>
    <xf numFmtId="0" fontId="3" fillId="30" borderId="147" xfId="254" applyFont="1" applyFill="1" applyBorder="1" applyProtection="1">
      <protection locked="0"/>
    </xf>
    <xf numFmtId="0" fontId="3" fillId="30" borderId="73" xfId="254" applyFont="1" applyFill="1" applyBorder="1" applyAlignment="1" applyProtection="1">
      <alignment horizontal="right"/>
      <protection locked="0"/>
    </xf>
    <xf numFmtId="0" fontId="3" fillId="30" borderId="0" xfId="254" applyFont="1" applyFill="1" applyAlignment="1" applyProtection="1">
      <protection locked="0"/>
    </xf>
    <xf numFmtId="4" fontId="3" fillId="30" borderId="74" xfId="254" applyNumberFormat="1" applyFont="1" applyFill="1" applyBorder="1" applyAlignment="1" applyProtection="1">
      <alignment horizontal="center"/>
      <protection locked="0"/>
    </xf>
    <xf numFmtId="4" fontId="3" fillId="30" borderId="0" xfId="254" applyNumberFormat="1" applyFont="1" applyFill="1" applyAlignment="1" applyProtection="1">
      <protection locked="0"/>
    </xf>
    <xf numFmtId="0" fontId="3" fillId="30" borderId="23" xfId="254" applyFont="1" applyFill="1" applyBorder="1" applyAlignment="1" applyProtection="1">
      <alignment horizontal="center" wrapText="1"/>
      <protection locked="0"/>
    </xf>
    <xf numFmtId="0" fontId="3" fillId="30" borderId="77" xfId="254" applyFont="1" applyFill="1" applyBorder="1" applyAlignment="1" applyProtection="1">
      <alignment horizontal="center" wrapText="1"/>
      <protection locked="0"/>
    </xf>
    <xf numFmtId="0" fontId="3" fillId="30" borderId="150" xfId="254" applyFont="1" applyFill="1" applyBorder="1" applyAlignment="1" applyProtection="1">
      <alignment horizontal="center"/>
      <protection locked="0"/>
    </xf>
    <xf numFmtId="0" fontId="3" fillId="30" borderId="74" xfId="254" applyFont="1" applyFill="1" applyBorder="1" applyAlignment="1" applyProtection="1">
      <alignment horizontal="center"/>
      <protection locked="0"/>
    </xf>
    <xf numFmtId="169" fontId="3" fillId="34" borderId="77" xfId="265" applyNumberFormat="1" applyFont="1" applyFill="1" applyBorder="1" applyAlignment="1" applyProtection="1">
      <alignment horizontal="center"/>
      <protection locked="0"/>
    </xf>
    <xf numFmtId="0" fontId="48" fillId="30" borderId="77" xfId="254" applyFont="1" applyFill="1" applyBorder="1" applyAlignment="1" applyProtection="1">
      <alignment horizontal="center"/>
      <protection locked="0"/>
    </xf>
    <xf numFmtId="0" fontId="48" fillId="30" borderId="23" xfId="254" applyFont="1" applyFill="1" applyBorder="1" applyAlignment="1" applyProtection="1">
      <alignment horizontal="center"/>
      <protection locked="0"/>
    </xf>
    <xf numFmtId="0" fontId="3" fillId="30" borderId="23" xfId="254" applyFont="1" applyFill="1" applyBorder="1" applyAlignment="1" applyProtection="1">
      <alignment horizontal="center"/>
      <protection locked="0"/>
    </xf>
    <xf numFmtId="0" fontId="3" fillId="30" borderId="77" xfId="254" applyFont="1" applyFill="1" applyBorder="1" applyAlignment="1" applyProtection="1">
      <alignment horizontal="center"/>
      <protection locked="0"/>
    </xf>
    <xf numFmtId="3" fontId="48" fillId="30" borderId="23" xfId="265" applyNumberFormat="1" applyFont="1" applyFill="1" applyBorder="1" applyAlignment="1" applyProtection="1">
      <alignment horizontal="center"/>
      <protection locked="0"/>
    </xf>
    <xf numFmtId="3" fontId="48" fillId="30" borderId="77" xfId="265" applyNumberFormat="1" applyFont="1" applyFill="1" applyBorder="1" applyAlignment="1" applyProtection="1">
      <alignment horizontal="center"/>
      <protection locked="0"/>
    </xf>
    <xf numFmtId="169" fontId="3" fillId="34" borderId="77" xfId="265" applyNumberFormat="1" applyFont="1" applyFill="1" applyBorder="1" applyAlignment="1" applyProtection="1">
      <alignment horizontal="center" vertical="center"/>
      <protection locked="0"/>
    </xf>
    <xf numFmtId="169" fontId="3" fillId="30" borderId="77" xfId="265" applyNumberFormat="1" applyFont="1" applyFill="1" applyBorder="1" applyAlignment="1" applyProtection="1">
      <alignment horizontal="center"/>
      <protection locked="0"/>
    </xf>
    <xf numFmtId="169" fontId="6" fillId="0" borderId="151" xfId="232" applyNumberFormat="1" applyFont="1" applyFill="1" applyBorder="1" applyAlignment="1" applyProtection="1">
      <alignment horizontal="center"/>
      <protection locked="0"/>
    </xf>
    <xf numFmtId="169" fontId="6" fillId="0" borderId="77" xfId="232" applyNumberFormat="1" applyFont="1" applyFill="1" applyBorder="1" applyAlignment="1" applyProtection="1">
      <alignment horizontal="center"/>
      <protection locked="0"/>
    </xf>
    <xf numFmtId="169" fontId="3" fillId="0" borderId="74" xfId="232" applyNumberFormat="1" applyFont="1" applyFill="1" applyBorder="1" applyAlignment="1" applyProtection="1">
      <alignment horizontal="center"/>
      <protection locked="0"/>
    </xf>
    <xf numFmtId="169" fontId="48" fillId="0" borderId="61" xfId="232" applyNumberFormat="1" applyFont="1" applyFill="1" applyBorder="1" applyAlignment="1" applyProtection="1">
      <alignment horizontal="center"/>
      <protection locked="0"/>
    </xf>
    <xf numFmtId="169" fontId="3" fillId="0" borderId="77" xfId="232" applyNumberFormat="1" applyFont="1" applyFill="1" applyBorder="1" applyAlignment="1" applyProtection="1">
      <alignment horizontal="center"/>
      <protection locked="0"/>
    </xf>
    <xf numFmtId="169" fontId="3" fillId="30" borderId="32" xfId="232" applyNumberFormat="1" applyFont="1" applyFill="1" applyBorder="1" applyAlignment="1" applyProtection="1">
      <alignment horizontal="center"/>
      <protection locked="0"/>
    </xf>
    <xf numFmtId="169" fontId="3" fillId="30" borderId="77" xfId="232" applyNumberFormat="1" applyFont="1" applyFill="1" applyBorder="1" applyAlignment="1" applyProtection="1">
      <alignment horizontal="center"/>
      <protection locked="0"/>
    </xf>
    <xf numFmtId="169" fontId="3" fillId="34" borderId="25" xfId="265" applyNumberFormat="1" applyFont="1" applyFill="1" applyBorder="1" applyAlignment="1" applyProtection="1">
      <alignment horizontal="center"/>
      <protection locked="0"/>
    </xf>
    <xf numFmtId="169" fontId="48" fillId="30" borderId="25" xfId="265" applyNumberFormat="1" applyFont="1" applyFill="1" applyBorder="1" applyAlignment="1" applyProtection="1">
      <alignment horizontal="center"/>
      <protection locked="0"/>
    </xf>
    <xf numFmtId="169" fontId="48" fillId="30" borderId="77" xfId="265" applyNumberFormat="1" applyFont="1" applyFill="1" applyBorder="1" applyAlignment="1" applyProtection="1">
      <alignment horizontal="center"/>
      <protection locked="0"/>
    </xf>
    <xf numFmtId="4" fontId="2" fillId="30" borderId="151" xfId="254" applyNumberFormat="1" applyFont="1" applyFill="1" applyBorder="1" applyAlignment="1" applyProtection="1">
      <protection locked="0"/>
    </xf>
    <xf numFmtId="177" fontId="2" fillId="34" borderId="77" xfId="265" applyNumberFormat="1" applyFont="1" applyFill="1" applyBorder="1" applyProtection="1">
      <protection locked="0"/>
    </xf>
    <xf numFmtId="177" fontId="2" fillId="30" borderId="0" xfId="254" applyNumberFormat="1" applyFont="1" applyFill="1" applyAlignment="1" applyProtection="1">
      <protection locked="0"/>
    </xf>
    <xf numFmtId="177" fontId="2" fillId="30" borderId="77" xfId="265" applyNumberFormat="1" applyFont="1" applyFill="1" applyBorder="1" applyAlignment="1" applyProtection="1">
      <alignment horizontal="right"/>
      <protection locked="0"/>
    </xf>
    <xf numFmtId="177" fontId="2" fillId="30" borderId="77" xfId="254" applyNumberFormat="1" applyFont="1" applyFill="1" applyBorder="1" applyAlignment="1" applyProtection="1">
      <alignment horizontal="center"/>
      <protection locked="0"/>
    </xf>
    <xf numFmtId="177" fontId="2" fillId="30" borderId="0" xfId="254" applyNumberFormat="1" applyFont="1" applyFill="1" applyAlignment="1" applyProtection="1">
      <alignment horizontal="center"/>
      <protection locked="0"/>
    </xf>
    <xf numFmtId="177" fontId="2" fillId="30" borderId="77" xfId="254" applyNumberFormat="1" applyFont="1" applyFill="1" applyBorder="1" applyAlignment="1" applyProtection="1">
      <alignment horizontal="right"/>
      <protection locked="0"/>
    </xf>
    <xf numFmtId="177" fontId="2" fillId="30" borderId="77" xfId="254" applyNumberFormat="1" applyFont="1" applyFill="1" applyBorder="1" applyAlignment="1" applyProtection="1">
      <protection locked="0"/>
    </xf>
    <xf numFmtId="177" fontId="2" fillId="34" borderId="77" xfId="265" applyNumberFormat="1" applyFont="1" applyFill="1" applyBorder="1" applyAlignment="1" applyProtection="1">
      <alignment vertical="center"/>
      <protection locked="0"/>
    </xf>
    <xf numFmtId="177" fontId="2" fillId="30" borderId="0" xfId="254" applyNumberFormat="1" applyFont="1" applyFill="1" applyAlignment="1" applyProtection="1">
      <alignment vertical="center"/>
      <protection locked="0"/>
    </xf>
    <xf numFmtId="177" fontId="2" fillId="34" borderId="93" xfId="265" applyNumberFormat="1" applyFont="1" applyFill="1" applyBorder="1" applyProtection="1">
      <protection locked="0"/>
    </xf>
    <xf numFmtId="0" fontId="39" fillId="30" borderId="39" xfId="232" applyFont="1" applyFill="1" applyBorder="1" applyAlignment="1" applyProtection="1">
      <alignment horizontal="center" vertical="center"/>
    </xf>
    <xf numFmtId="4" fontId="79" fillId="30" borderId="0" xfId="0" applyNumberFormat="1" applyFont="1" applyFill="1" applyAlignment="1" applyProtection="1">
      <alignment horizontal="right"/>
    </xf>
    <xf numFmtId="4" fontId="40" fillId="30" borderId="0" xfId="225" applyNumberFormat="1" applyFont="1" applyFill="1" applyAlignment="1" applyProtection="1">
      <alignment horizontal="right"/>
    </xf>
    <xf numFmtId="0" fontId="39" fillId="30" borderId="53" xfId="232" applyFont="1" applyFill="1" applyBorder="1" applyAlignment="1" applyProtection="1">
      <alignment horizontal="center" vertical="center" wrapText="1"/>
    </xf>
    <xf numFmtId="0" fontId="39" fillId="30" borderId="39" xfId="232" applyFont="1" applyFill="1" applyBorder="1" applyAlignment="1" applyProtection="1">
      <alignment horizontal="center" vertical="center" wrapText="1"/>
    </xf>
    <xf numFmtId="4" fontId="3" fillId="30" borderId="77" xfId="265" applyNumberFormat="1" applyFont="1" applyFill="1" applyBorder="1" applyProtection="1">
      <protection locked="0"/>
    </xf>
    <xf numFmtId="4" fontId="2" fillId="30" borderId="27" xfId="265" applyNumberFormat="1" applyFont="1" applyFill="1" applyBorder="1" applyProtection="1"/>
    <xf numFmtId="4" fontId="2" fillId="30" borderId="24" xfId="265" applyNumberFormat="1" applyFont="1" applyFill="1" applyBorder="1" applyProtection="1"/>
    <xf numFmtId="4" fontId="3" fillId="30" borderId="147" xfId="265" applyNumberFormat="1" applyFont="1" applyFill="1" applyBorder="1" applyProtection="1">
      <protection locked="0"/>
    </xf>
    <xf numFmtId="4" fontId="3" fillId="30" borderId="74" xfId="265" applyNumberFormat="1" applyFont="1" applyFill="1" applyBorder="1" applyProtection="1">
      <protection locked="0"/>
    </xf>
    <xf numFmtId="4" fontId="48" fillId="36" borderId="25" xfId="265" applyNumberFormat="1" applyFont="1" applyFill="1" applyBorder="1" applyAlignment="1" applyProtection="1">
      <alignment horizontal="right"/>
    </xf>
    <xf numFmtId="0" fontId="42" fillId="30" borderId="0" xfId="225" applyFont="1" applyFill="1" applyAlignment="1" applyProtection="1">
      <alignment horizontal="right"/>
    </xf>
    <xf numFmtId="165" fontId="42" fillId="30" borderId="0" xfId="225" applyNumberFormat="1" applyFont="1" applyFill="1" applyAlignment="1" applyProtection="1">
      <alignment horizontal="right"/>
    </xf>
    <xf numFmtId="177" fontId="2" fillId="34" borderId="23" xfId="265" applyNumberFormat="1" applyFont="1" applyFill="1" applyBorder="1" applyProtection="1">
      <protection locked="0"/>
    </xf>
    <xf numFmtId="177" fontId="2" fillId="34" borderId="78" xfId="265" applyNumberFormat="1" applyFont="1" applyFill="1" applyBorder="1" applyProtection="1">
      <protection locked="0"/>
    </xf>
    <xf numFmtId="177" fontId="2" fillId="34" borderId="103" xfId="265" applyNumberFormat="1" applyFont="1" applyFill="1" applyBorder="1" applyProtection="1">
      <protection locked="0"/>
    </xf>
    <xf numFmtId="177" fontId="2" fillId="34" borderId="23" xfId="265" applyNumberFormat="1" applyFont="1" applyFill="1" applyBorder="1" applyAlignment="1" applyProtection="1">
      <alignment vertical="center"/>
      <protection locked="0"/>
    </xf>
    <xf numFmtId="177" fontId="2" fillId="34" borderId="93" xfId="265" applyNumberFormat="1" applyFont="1" applyFill="1" applyBorder="1" applyAlignment="1" applyProtection="1">
      <alignment vertical="center"/>
      <protection locked="0"/>
    </xf>
    <xf numFmtId="177" fontId="2" fillId="34" borderId="79" xfId="265" applyNumberFormat="1" applyFont="1" applyFill="1" applyBorder="1" applyAlignment="1" applyProtection="1">
      <alignment vertical="center"/>
      <protection locked="0"/>
    </xf>
    <xf numFmtId="177" fontId="2" fillId="34" borderId="78" xfId="265" applyNumberFormat="1" applyFont="1" applyFill="1" applyBorder="1" applyAlignment="1" applyProtection="1">
      <alignment vertical="center"/>
      <protection locked="0"/>
    </xf>
    <xf numFmtId="177" fontId="2" fillId="34" borderId="103" xfId="265" applyNumberFormat="1" applyFont="1" applyFill="1" applyBorder="1" applyAlignment="1" applyProtection="1">
      <alignment vertical="center"/>
      <protection locked="0"/>
    </xf>
    <xf numFmtId="177" fontId="2" fillId="34" borderId="123" xfId="265" applyNumberFormat="1" applyFont="1" applyFill="1" applyBorder="1" applyAlignment="1" applyProtection="1">
      <alignment horizontal="right"/>
      <protection locked="0"/>
    </xf>
    <xf numFmtId="177" fontId="2" fillId="34" borderId="93" xfId="265" applyNumberFormat="1" applyFont="1" applyFill="1" applyBorder="1" applyAlignment="1" applyProtection="1">
      <alignment horizontal="right"/>
      <protection locked="0"/>
    </xf>
    <xf numFmtId="177" fontId="2" fillId="34" borderId="127" xfId="265" applyNumberFormat="1" applyFont="1" applyFill="1" applyBorder="1" applyAlignment="1" applyProtection="1">
      <alignment horizontal="right"/>
      <protection locked="0"/>
    </xf>
    <xf numFmtId="177" fontId="2" fillId="34" borderId="152" xfId="265" applyNumberFormat="1" applyFont="1" applyFill="1" applyBorder="1" applyAlignment="1" applyProtection="1">
      <alignment horizontal="right"/>
      <protection locked="0"/>
    </xf>
    <xf numFmtId="0" fontId="3" fillId="30" borderId="53" xfId="225" applyFont="1" applyFill="1" applyBorder="1" applyAlignment="1" applyProtection="1">
      <alignment horizontal="center"/>
    </xf>
    <xf numFmtId="173" fontId="12" fillId="30" borderId="151" xfId="152" applyNumberFormat="1" applyFont="1" applyFill="1" applyBorder="1" applyAlignment="1" applyProtection="1">
      <alignment horizontal="right"/>
    </xf>
    <xf numFmtId="173" fontId="12" fillId="30" borderId="45" xfId="152" applyNumberFormat="1" applyFont="1" applyFill="1" applyBorder="1" applyAlignment="1" applyProtection="1">
      <alignment horizontal="right"/>
    </xf>
    <xf numFmtId="0" fontId="39" fillId="30" borderId="39" xfId="152" applyFont="1" applyFill="1" applyBorder="1" applyAlignment="1" applyProtection="1">
      <alignment horizontal="center" vertical="center"/>
    </xf>
    <xf numFmtId="0" fontId="83" fillId="30" borderId="0" xfId="0" applyFont="1" applyFill="1" applyProtection="1"/>
    <xf numFmtId="4" fontId="39" fillId="30" borderId="52" xfId="152" applyNumberFormat="1" applyFont="1" applyFill="1" applyBorder="1" applyAlignment="1" applyProtection="1">
      <alignment vertical="center"/>
    </xf>
    <xf numFmtId="0" fontId="84" fillId="30" borderId="0" xfId="0" applyFont="1" applyFill="1" applyAlignment="1" applyProtection="1">
      <alignment horizontal="right"/>
    </xf>
    <xf numFmtId="4" fontId="84" fillId="30" borderId="0" xfId="0" applyNumberFormat="1" applyFont="1" applyFill="1" applyAlignment="1" applyProtection="1">
      <alignment horizontal="right"/>
    </xf>
    <xf numFmtId="173" fontId="84" fillId="30" borderId="0" xfId="0" applyNumberFormat="1" applyFont="1" applyFill="1" applyProtection="1"/>
    <xf numFmtId="4" fontId="84" fillId="30" borderId="0" xfId="0" applyNumberFormat="1" applyFont="1" applyFill="1" applyProtection="1"/>
    <xf numFmtId="0" fontId="42" fillId="30" borderId="0" xfId="259" applyFont="1" applyFill="1" applyAlignment="1" applyProtection="1">
      <alignment vertical="top" wrapText="1"/>
    </xf>
    <xf numFmtId="0" fontId="48" fillId="36" borderId="14" xfId="225" applyFont="1" applyFill="1" applyBorder="1" applyAlignment="1" applyProtection="1">
      <alignment vertical="center" wrapText="1"/>
    </xf>
    <xf numFmtId="0" fontId="48" fillId="36" borderId="22" xfId="225" applyFont="1" applyFill="1" applyBorder="1" applyAlignment="1" applyProtection="1">
      <alignment vertical="center" wrapText="1"/>
    </xf>
    <xf numFmtId="0" fontId="48" fillId="36" borderId="40" xfId="225" applyFont="1" applyFill="1" applyBorder="1" applyAlignment="1" applyProtection="1">
      <alignment vertical="center" wrapText="1"/>
    </xf>
    <xf numFmtId="0" fontId="48" fillId="36" borderId="42" xfId="225" applyFont="1" applyFill="1" applyBorder="1" applyAlignment="1" applyProtection="1">
      <alignment vertical="center" wrapText="1"/>
    </xf>
    <xf numFmtId="0" fontId="48" fillId="36" borderId="37" xfId="225" applyFont="1" applyFill="1" applyBorder="1" applyAlignment="1" applyProtection="1">
      <alignment horizontal="center" vertical="center"/>
    </xf>
    <xf numFmtId="165" fontId="48" fillId="36" borderId="101" xfId="225" applyNumberFormat="1" applyFont="1" applyFill="1" applyBorder="1" applyProtection="1"/>
    <xf numFmtId="4" fontId="48" fillId="36" borderId="61" xfId="225" applyNumberFormat="1" applyFont="1" applyFill="1" applyBorder="1" applyProtection="1"/>
    <xf numFmtId="165" fontId="48" fillId="36" borderId="25" xfId="265" applyNumberFormat="1" applyFont="1" applyFill="1" applyBorder="1" applyProtection="1"/>
    <xf numFmtId="165" fontId="48" fillId="36" borderId="32" xfId="265" applyNumberFormat="1" applyFont="1" applyFill="1" applyBorder="1" applyProtection="1"/>
    <xf numFmtId="0" fontId="48" fillId="36" borderId="25" xfId="225" applyFont="1" applyFill="1" applyBorder="1" applyProtection="1"/>
    <xf numFmtId="0" fontId="42" fillId="36" borderId="25" xfId="225" applyFont="1" applyFill="1" applyBorder="1" applyProtection="1"/>
    <xf numFmtId="165" fontId="48" fillId="36" borderId="25" xfId="265" applyNumberFormat="1" applyFont="1" applyFill="1" applyBorder="1" applyAlignment="1" applyProtection="1">
      <alignment vertical="top"/>
    </xf>
    <xf numFmtId="165" fontId="48" fillId="36" borderId="22" xfId="265" applyNumberFormat="1" applyFont="1" applyFill="1" applyBorder="1" applyProtection="1"/>
    <xf numFmtId="165" fontId="61" fillId="36" borderId="37" xfId="225" applyNumberFormat="1" applyFont="1" applyFill="1" applyBorder="1" applyProtection="1"/>
    <xf numFmtId="0" fontId="2" fillId="30" borderId="0" xfId="225" quotePrefix="1" applyFont="1" applyFill="1" applyAlignment="1" applyProtection="1"/>
    <xf numFmtId="0" fontId="58" fillId="30" borderId="153" xfId="152" applyFont="1" applyFill="1" applyBorder="1" applyAlignment="1" applyProtection="1">
      <alignment horizontal="left" vertical="center"/>
    </xf>
    <xf numFmtId="0" fontId="58" fillId="30" borderId="154" xfId="152" applyFont="1" applyFill="1" applyBorder="1" applyAlignment="1" applyProtection="1">
      <alignment horizontal="center" vertical="center"/>
    </xf>
    <xf numFmtId="0" fontId="2" fillId="0" borderId="23" xfId="232" applyFont="1" applyFill="1" applyBorder="1" applyAlignment="1" applyProtection="1">
      <protection locked="0"/>
    </xf>
    <xf numFmtId="0" fontId="6" fillId="0" borderId="24" xfId="232" applyFont="1" applyFill="1" applyBorder="1" applyAlignment="1" applyProtection="1">
      <protection locked="0"/>
    </xf>
    <xf numFmtId="0" fontId="6" fillId="0" borderId="24" xfId="232" applyFont="1" applyFill="1" applyBorder="1" applyAlignment="1" applyProtection="1">
      <alignment wrapText="1"/>
      <protection locked="0"/>
    </xf>
    <xf numFmtId="169" fontId="6" fillId="30" borderId="0" xfId="232" applyNumberFormat="1" applyFont="1" applyFill="1" applyBorder="1" applyAlignment="1" applyProtection="1">
      <alignment horizontal="right" vertical="center"/>
      <protection locked="0"/>
    </xf>
    <xf numFmtId="0" fontId="3" fillId="30" borderId="53"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xf>
    <xf numFmtId="4" fontId="2" fillId="30" borderId="25" xfId="265" applyNumberFormat="1" applyFont="1" applyFill="1" applyBorder="1" applyProtection="1">
      <protection locked="0"/>
    </xf>
    <xf numFmtId="4" fontId="2" fillId="30" borderId="78" xfId="265" applyNumberFormat="1" applyFont="1" applyFill="1" applyBorder="1" applyProtection="1">
      <protection locked="0"/>
    </xf>
    <xf numFmtId="4" fontId="2" fillId="30" borderId="79" xfId="265" applyNumberFormat="1" applyFont="1" applyFill="1" applyBorder="1" applyProtection="1">
      <protection locked="0"/>
    </xf>
    <xf numFmtId="177" fontId="2" fillId="30" borderId="79" xfId="265" applyNumberFormat="1" applyFont="1" applyFill="1" applyBorder="1" applyProtection="1">
      <protection locked="0"/>
    </xf>
    <xf numFmtId="0" fontId="3" fillId="30" borderId="14" xfId="232" applyFont="1" applyFill="1" applyBorder="1" applyAlignment="1" applyProtection="1"/>
    <xf numFmtId="0" fontId="3" fillId="30" borderId="0" xfId="232" applyFont="1" applyFill="1" applyBorder="1" applyAlignment="1" applyProtection="1"/>
    <xf numFmtId="0" fontId="3" fillId="30" borderId="22" xfId="232" applyFont="1" applyFill="1" applyBorder="1" applyAlignment="1" applyProtection="1"/>
    <xf numFmtId="0" fontId="3" fillId="30" borderId="40" xfId="232" applyFont="1" applyFill="1" applyBorder="1" applyAlignment="1" applyProtection="1"/>
    <xf numFmtId="0" fontId="3" fillId="30" borderId="41" xfId="232" applyFont="1" applyFill="1" applyBorder="1" applyAlignment="1" applyProtection="1"/>
    <xf numFmtId="0" fontId="3" fillId="30" borderId="42" xfId="232" applyFont="1" applyFill="1" applyBorder="1" applyAlignment="1" applyProtection="1"/>
    <xf numFmtId="4" fontId="2" fillId="30" borderId="25" xfId="265" applyNumberFormat="1" applyFont="1" applyFill="1" applyBorder="1" applyAlignment="1" applyProtection="1">
      <alignment horizontal="right"/>
      <protection locked="0"/>
    </xf>
    <xf numFmtId="4" fontId="85" fillId="30" borderId="0" xfId="0" applyNumberFormat="1" applyFont="1" applyFill="1" applyProtection="1"/>
    <xf numFmtId="4" fontId="3" fillId="30" borderId="38" xfId="0" applyNumberFormat="1" applyFont="1" applyFill="1" applyBorder="1" applyProtection="1"/>
    <xf numFmtId="4" fontId="73" fillId="30" borderId="38" xfId="0" applyNumberFormat="1" applyFont="1" applyFill="1" applyBorder="1" applyProtection="1"/>
    <xf numFmtId="0" fontId="3" fillId="30" borderId="116" xfId="232" applyFont="1" applyFill="1" applyBorder="1" applyAlignment="1" applyProtection="1">
      <alignment horizontal="center" vertical="center"/>
    </xf>
    <xf numFmtId="0" fontId="3" fillId="30" borderId="117" xfId="232" applyFont="1" applyFill="1" applyBorder="1" applyAlignment="1" applyProtection="1">
      <alignment horizontal="center" vertical="center"/>
    </xf>
    <xf numFmtId="0" fontId="3" fillId="30" borderId="17" xfId="232" applyFont="1" applyFill="1" applyBorder="1" applyAlignment="1" applyProtection="1">
      <alignment horizontal="center" vertical="center"/>
    </xf>
    <xf numFmtId="0" fontId="2" fillId="30" borderId="115" xfId="232" applyFont="1" applyFill="1" applyBorder="1" applyAlignment="1" applyProtection="1">
      <alignment horizontal="center" vertical="center"/>
    </xf>
    <xf numFmtId="0" fontId="2" fillId="30" borderId="113" xfId="232" applyFont="1" applyFill="1" applyBorder="1" applyAlignment="1" applyProtection="1">
      <alignment horizontal="center" vertical="center"/>
    </xf>
    <xf numFmtId="0" fontId="3" fillId="30" borderId="113" xfId="232" applyFont="1" applyFill="1" applyBorder="1" applyAlignment="1" applyProtection="1">
      <alignment horizontal="center" vertical="center"/>
    </xf>
    <xf numFmtId="0" fontId="2" fillId="30" borderId="42" xfId="232" applyFont="1" applyFill="1" applyBorder="1" applyAlignment="1" applyProtection="1">
      <alignment horizontal="center" vertical="center"/>
    </xf>
    <xf numFmtId="0" fontId="2" fillId="30" borderId="52" xfId="232" applyFont="1" applyFill="1" applyBorder="1" applyAlignment="1" applyProtection="1">
      <alignment horizontal="center" vertical="center"/>
    </xf>
    <xf numFmtId="0" fontId="3" fillId="30" borderId="71" xfId="232" applyFont="1" applyFill="1" applyBorder="1" applyAlignment="1" applyProtection="1">
      <alignment horizontal="center" vertical="center"/>
    </xf>
    <xf numFmtId="4" fontId="3" fillId="30" borderId="72" xfId="232" applyNumberFormat="1" applyFont="1" applyFill="1" applyBorder="1" applyAlignment="1" applyProtection="1">
      <alignment horizontal="center" vertical="center"/>
    </xf>
    <xf numFmtId="0" fontId="3" fillId="30" borderId="72" xfId="232" applyFont="1" applyFill="1" applyBorder="1" applyAlignment="1" applyProtection="1">
      <alignment horizontal="center" vertical="center"/>
    </xf>
    <xf numFmtId="0" fontId="3" fillId="30" borderId="73" xfId="232" applyFont="1" applyFill="1" applyBorder="1" applyAlignment="1" applyProtection="1">
      <alignment horizontal="center" vertical="center"/>
    </xf>
    <xf numFmtId="4" fontId="3" fillId="30" borderId="71" xfId="232" applyNumberFormat="1" applyFont="1" applyFill="1" applyBorder="1" applyAlignment="1" applyProtection="1">
      <alignment horizontal="center" vertical="center"/>
    </xf>
    <xf numFmtId="0" fontId="3" fillId="30" borderId="74" xfId="232" applyFont="1" applyFill="1" applyBorder="1" applyAlignment="1" applyProtection="1">
      <alignment horizontal="center" vertical="center"/>
    </xf>
    <xf numFmtId="0" fontId="42" fillId="30" borderId="47" xfId="0" applyFont="1" applyFill="1" applyBorder="1" applyAlignment="1" applyProtection="1">
      <alignment horizontal="left" indent="2"/>
    </xf>
    <xf numFmtId="165" fontId="48" fillId="30" borderId="48" xfId="0" applyNumberFormat="1" applyFont="1" applyFill="1" applyBorder="1" applyAlignment="1" applyProtection="1">
      <alignment horizontal="right"/>
    </xf>
    <xf numFmtId="0" fontId="48" fillId="30" borderId="46" xfId="0" applyFont="1" applyFill="1" applyBorder="1" applyProtection="1"/>
    <xf numFmtId="0" fontId="48" fillId="30" borderId="47" xfId="0" applyFont="1" applyFill="1" applyBorder="1" applyProtection="1"/>
    <xf numFmtId="165" fontId="42" fillId="34" borderId="48" xfId="265" applyNumberFormat="1" applyFont="1" applyFill="1" applyBorder="1" applyProtection="1">
      <protection locked="0"/>
    </xf>
    <xf numFmtId="165" fontId="42" fillId="35" borderId="48" xfId="265" applyNumberFormat="1" applyFont="1" applyFill="1" applyBorder="1" applyProtection="1">
      <protection locked="0"/>
    </xf>
    <xf numFmtId="165" fontId="48" fillId="30" borderId="38" xfId="0" applyNumberFormat="1" applyFont="1" applyFill="1" applyBorder="1" applyAlignment="1" applyProtection="1">
      <alignment horizontal="right"/>
    </xf>
    <xf numFmtId="10" fontId="48" fillId="30" borderId="48" xfId="159" applyNumberFormat="1" applyFont="1" applyFill="1" applyBorder="1" applyAlignment="1" applyProtection="1">
      <alignment horizontal="right"/>
    </xf>
    <xf numFmtId="165" fontId="48" fillId="30" borderId="48" xfId="159" applyNumberFormat="1" applyFont="1" applyFill="1" applyBorder="1" applyAlignment="1" applyProtection="1">
      <alignment horizontal="right"/>
    </xf>
    <xf numFmtId="0" fontId="42" fillId="30" borderId="47" xfId="0" applyFont="1" applyFill="1" applyBorder="1" applyProtection="1"/>
    <xf numFmtId="165" fontId="42" fillId="33" borderId="48" xfId="265" applyNumberFormat="1" applyFont="1" applyFill="1" applyBorder="1" applyProtection="1">
      <protection locked="0"/>
    </xf>
    <xf numFmtId="0" fontId="62" fillId="0" borderId="24" xfId="232" applyFont="1" applyFill="1" applyBorder="1" applyAlignment="1" applyProtection="1">
      <alignment horizontal="left" wrapText="1" indent="4"/>
    </xf>
    <xf numFmtId="0" fontId="62" fillId="0" borderId="25" xfId="232" applyFont="1" applyFill="1" applyBorder="1" applyAlignment="1" applyProtection="1">
      <alignment horizontal="left" wrapText="1" indent="4"/>
    </xf>
    <xf numFmtId="165" fontId="2" fillId="30" borderId="23" xfId="265" applyNumberFormat="1" applyFont="1" applyFill="1" applyBorder="1" applyProtection="1">
      <protection locked="0"/>
    </xf>
    <xf numFmtId="165" fontId="42" fillId="34" borderId="23" xfId="265" applyNumberFormat="1" applyFont="1" applyFill="1" applyBorder="1" applyProtection="1">
      <protection locked="0"/>
    </xf>
    <xf numFmtId="165" fontId="42" fillId="30" borderId="31" xfId="265" applyNumberFormat="1" applyFont="1" applyFill="1" applyBorder="1" applyProtection="1"/>
    <xf numFmtId="165" fontId="42" fillId="35" borderId="24" xfId="265" applyNumberFormat="1" applyFont="1" applyFill="1" applyBorder="1" applyProtection="1">
      <protection locked="0"/>
    </xf>
    <xf numFmtId="10" fontId="42" fillId="33" borderId="30" xfId="159" applyNumberFormat="1" applyFont="1" applyFill="1" applyBorder="1" applyAlignment="1" applyProtection="1">
      <alignment horizontal="right"/>
    </xf>
    <xf numFmtId="165" fontId="2" fillId="30" borderId="67" xfId="265" applyNumberFormat="1" applyFont="1" applyFill="1" applyBorder="1" applyProtection="1">
      <protection locked="0"/>
    </xf>
    <xf numFmtId="165" fontId="3" fillId="30" borderId="67" xfId="265" applyNumberFormat="1" applyFont="1" applyFill="1" applyBorder="1" applyProtection="1"/>
    <xf numFmtId="15" fontId="2" fillId="0" borderId="0" xfId="225" applyNumberFormat="1" applyFont="1" applyFill="1" applyProtection="1"/>
    <xf numFmtId="9" fontId="3" fillId="34" borderId="77" xfId="159" applyFont="1" applyFill="1" applyBorder="1" applyAlignment="1" applyProtection="1">
      <alignment horizontal="center"/>
      <protection locked="0"/>
    </xf>
    <xf numFmtId="9" fontId="48" fillId="30" borderId="77" xfId="159" applyFont="1" applyFill="1" applyBorder="1" applyAlignment="1" applyProtection="1">
      <alignment horizontal="center"/>
      <protection locked="0"/>
    </xf>
    <xf numFmtId="9" fontId="3" fillId="0" borderId="77" xfId="159" applyFont="1" applyFill="1" applyBorder="1" applyAlignment="1" applyProtection="1">
      <alignment horizontal="center"/>
      <protection locked="0"/>
    </xf>
    <xf numFmtId="9" fontId="3" fillId="30" borderId="77" xfId="159" applyFont="1" applyFill="1" applyBorder="1" applyAlignment="1" applyProtection="1">
      <alignment horizontal="center"/>
      <protection locked="0"/>
    </xf>
    <xf numFmtId="9" fontId="6" fillId="30" borderId="77" xfId="159" applyFont="1" applyFill="1" applyBorder="1" applyAlignment="1" applyProtection="1">
      <alignment horizontal="center"/>
      <protection locked="0"/>
    </xf>
    <xf numFmtId="9" fontId="3" fillId="34" borderId="77" xfId="159" applyFont="1" applyFill="1" applyBorder="1" applyAlignment="1" applyProtection="1">
      <alignment horizontal="center" vertical="center"/>
      <protection locked="0"/>
    </xf>
    <xf numFmtId="9" fontId="3" fillId="34" borderId="25" xfId="159" applyFont="1" applyFill="1" applyBorder="1" applyAlignment="1" applyProtection="1">
      <alignment horizontal="center"/>
      <protection locked="0"/>
    </xf>
    <xf numFmtId="0" fontId="3" fillId="34" borderId="56" xfId="265" applyNumberFormat="1" applyFont="1" applyFill="1" applyBorder="1" applyAlignment="1" applyProtection="1">
      <alignment horizontal="center"/>
      <protection locked="0"/>
    </xf>
    <xf numFmtId="0" fontId="3" fillId="34" borderId="21" xfId="265" applyNumberFormat="1" applyFont="1" applyFill="1" applyBorder="1" applyAlignment="1" applyProtection="1">
      <alignment horizontal="center"/>
      <protection locked="0"/>
    </xf>
    <xf numFmtId="177" fontId="2" fillId="0" borderId="66" xfId="265" applyNumberFormat="1" applyFont="1" applyFill="1" applyBorder="1" applyAlignment="1" applyProtection="1">
      <alignment vertical="center"/>
      <protection locked="0"/>
    </xf>
    <xf numFmtId="177" fontId="2" fillId="0" borderId="31" xfId="265" applyNumberFormat="1" applyFont="1" applyFill="1" applyBorder="1" applyAlignment="1" applyProtection="1">
      <alignment vertical="center"/>
      <protection locked="0"/>
    </xf>
    <xf numFmtId="177" fontId="2" fillId="0" borderId="64" xfId="265" applyNumberFormat="1" applyFont="1" applyFill="1" applyBorder="1" applyAlignment="1" applyProtection="1">
      <alignment vertical="center"/>
      <protection locked="0"/>
    </xf>
    <xf numFmtId="169" fontId="2" fillId="0" borderId="65" xfId="232" applyNumberFormat="1" applyFont="1" applyFill="1" applyBorder="1" applyAlignment="1" applyProtection="1">
      <alignment horizontal="right" vertical="center"/>
      <protection locked="0"/>
    </xf>
    <xf numFmtId="169" fontId="2" fillId="0" borderId="31" xfId="232" applyNumberFormat="1" applyFont="1" applyFill="1" applyBorder="1" applyAlignment="1" applyProtection="1">
      <alignment horizontal="right" vertical="center"/>
      <protection locked="0"/>
    </xf>
    <xf numFmtId="177" fontId="2" fillId="0" borderId="25" xfId="265" applyNumberFormat="1" applyFont="1" applyFill="1" applyBorder="1" applyAlignment="1" applyProtection="1">
      <alignment vertical="center"/>
      <protection locked="0"/>
    </xf>
    <xf numFmtId="169" fontId="2" fillId="0" borderId="25" xfId="232" applyNumberFormat="1" applyFont="1" applyFill="1" applyBorder="1" applyAlignment="1" applyProtection="1">
      <alignment horizontal="right" vertical="center"/>
      <protection locked="0"/>
    </xf>
    <xf numFmtId="177" fontId="2" fillId="0" borderId="24" xfId="265" applyNumberFormat="1" applyFont="1" applyFill="1" applyBorder="1" applyAlignment="1" applyProtection="1">
      <alignment vertical="center"/>
      <protection locked="0"/>
    </xf>
    <xf numFmtId="169" fontId="42" fillId="0" borderId="24" xfId="265" applyNumberFormat="1" applyFont="1" applyFill="1" applyBorder="1" applyAlignment="1" applyProtection="1">
      <alignment horizontal="right" vertical="center"/>
      <protection locked="0"/>
    </xf>
    <xf numFmtId="169" fontId="2" fillId="0" borderId="24" xfId="265" applyNumberFormat="1" applyFont="1" applyFill="1" applyBorder="1" applyProtection="1">
      <protection locked="0"/>
    </xf>
    <xf numFmtId="3" fontId="42" fillId="0" borderId="25" xfId="265" applyNumberFormat="1" applyFont="1" applyFill="1" applyBorder="1" applyAlignment="1" applyProtection="1">
      <alignment horizontal="right" wrapText="1"/>
      <protection locked="0"/>
    </xf>
    <xf numFmtId="169" fontId="48" fillId="0" borderId="25" xfId="265" applyNumberFormat="1" applyFont="1" applyFill="1" applyBorder="1" applyAlignment="1" applyProtection="1">
      <alignment horizontal="center" wrapText="1"/>
      <protection locked="0"/>
    </xf>
    <xf numFmtId="9" fontId="48" fillId="0" borderId="77" xfId="159" applyFont="1" applyFill="1" applyBorder="1" applyAlignment="1" applyProtection="1">
      <alignment horizontal="center" wrapText="1"/>
      <protection locked="0"/>
    </xf>
    <xf numFmtId="169" fontId="42" fillId="0" borderId="0" xfId="265" applyNumberFormat="1" applyFont="1" applyFill="1" applyBorder="1" applyAlignment="1" applyProtection="1">
      <alignment horizontal="left" wrapText="1" indent="2"/>
      <protection locked="0"/>
    </xf>
    <xf numFmtId="169" fontId="42" fillId="0" borderId="66" xfId="265" applyNumberFormat="1" applyFont="1" applyFill="1" applyBorder="1" applyAlignment="1" applyProtection="1">
      <alignment horizontal="right" vertical="center"/>
      <protection locked="0"/>
    </xf>
    <xf numFmtId="169" fontId="42" fillId="0" borderId="25" xfId="265" applyNumberFormat="1" applyFont="1" applyFill="1" applyBorder="1" applyAlignment="1" applyProtection="1">
      <alignment horizontal="right" vertical="center"/>
      <protection locked="0"/>
    </xf>
    <xf numFmtId="169" fontId="42" fillId="0" borderId="0" xfId="232" applyNumberFormat="1" applyFont="1" applyFill="1" applyAlignment="1" applyProtection="1">
      <alignment horizontal="right" vertical="center"/>
      <protection locked="0"/>
    </xf>
    <xf numFmtId="169" fontId="42" fillId="0" borderId="70" xfId="265" applyNumberFormat="1" applyFont="1" applyFill="1" applyBorder="1" applyAlignment="1" applyProtection="1">
      <alignment horizontal="right" vertical="center"/>
      <protection locked="0"/>
    </xf>
    <xf numFmtId="169" fontId="42" fillId="0" borderId="64" xfId="265" applyNumberFormat="1" applyFont="1" applyFill="1" applyBorder="1" applyAlignment="1" applyProtection="1">
      <alignment horizontal="right" vertical="center"/>
      <protection locked="0"/>
    </xf>
    <xf numFmtId="169" fontId="2" fillId="0" borderId="67" xfId="232" applyNumberFormat="1" applyFont="1" applyFill="1" applyBorder="1" applyAlignment="1" applyProtection="1">
      <alignment horizontal="right" vertical="center"/>
      <protection locked="0"/>
    </xf>
    <xf numFmtId="169" fontId="2" fillId="0" borderId="68" xfId="232" applyNumberFormat="1" applyFont="1" applyFill="1" applyBorder="1" applyAlignment="1" applyProtection="1">
      <alignment horizontal="right" vertical="center"/>
      <protection locked="0"/>
    </xf>
    <xf numFmtId="169" fontId="42" fillId="0" borderId="31" xfId="265" applyNumberFormat="1" applyFont="1" applyFill="1" applyBorder="1" applyAlignment="1" applyProtection="1">
      <alignment horizontal="right" vertical="center"/>
      <protection locked="0"/>
    </xf>
    <xf numFmtId="9" fontId="3" fillId="30" borderId="77" xfId="159" applyFont="1" applyFill="1" applyBorder="1" applyAlignment="1" applyProtection="1">
      <alignment horizontal="center" wrapText="1"/>
      <protection locked="0"/>
    </xf>
    <xf numFmtId="0" fontId="39" fillId="0" borderId="77" xfId="232" applyFont="1" applyFill="1" applyBorder="1" applyAlignment="1" applyProtection="1">
      <alignment horizontal="right" wrapText="1"/>
    </xf>
    <xf numFmtId="4" fontId="88" fillId="30" borderId="0" xfId="0" applyNumberFormat="1" applyFont="1" applyFill="1" applyProtection="1"/>
    <xf numFmtId="0" fontId="89" fillId="0" borderId="0" xfId="232" applyFont="1" applyFill="1" applyAlignment="1" applyProtection="1">
      <alignment horizontal="right"/>
    </xf>
    <xf numFmtId="0" fontId="2" fillId="0" borderId="0" xfId="232" quotePrefix="1" applyFont="1" applyFill="1" applyProtection="1">
      <protection locked="0"/>
    </xf>
    <xf numFmtId="186" fontId="90" fillId="0" borderId="0" xfId="232" applyNumberFormat="1" applyFont="1" applyFill="1" applyBorder="1" applyProtection="1">
      <protection locked="0"/>
    </xf>
    <xf numFmtId="186" fontId="89" fillId="0" borderId="0" xfId="232" applyNumberFormat="1" applyFont="1" applyFill="1" applyBorder="1" applyAlignment="1" applyProtection="1">
      <alignment horizontal="right"/>
      <protection locked="0"/>
    </xf>
    <xf numFmtId="0" fontId="60" fillId="0" borderId="0" xfId="232" applyFont="1" applyBorder="1"/>
    <xf numFmtId="0" fontId="12" fillId="0" borderId="0" xfId="232" applyFont="1" applyBorder="1"/>
    <xf numFmtId="0" fontId="12" fillId="0" borderId="0" xfId="232" applyFont="1"/>
    <xf numFmtId="0" fontId="91" fillId="0" borderId="0" xfId="232" applyFont="1" applyBorder="1" applyAlignment="1">
      <alignment horizontal="right"/>
    </xf>
    <xf numFmtId="0" fontId="91" fillId="0" borderId="0" xfId="232" applyFont="1" applyBorder="1" applyAlignment="1"/>
    <xf numFmtId="0" fontId="86" fillId="0" borderId="0" xfId="232" applyFont="1" applyBorder="1" applyAlignment="1">
      <alignment horizontal="right"/>
    </xf>
    <xf numFmtId="0" fontId="86" fillId="0" borderId="0" xfId="232" applyFont="1" applyBorder="1" applyAlignment="1"/>
    <xf numFmtId="9" fontId="86" fillId="29" borderId="0" xfId="160" applyNumberFormat="1" applyFont="1" applyFill="1"/>
    <xf numFmtId="174" fontId="2" fillId="0" borderId="0" xfId="232" applyNumberFormat="1" applyFill="1" applyProtection="1">
      <protection locked="0"/>
    </xf>
    <xf numFmtId="0" fontId="44" fillId="0" borderId="0" xfId="232" applyFont="1" applyBorder="1"/>
    <xf numFmtId="0" fontId="92" fillId="0" borderId="0" xfId="232" applyFont="1" applyBorder="1" applyAlignment="1">
      <alignment horizontal="right"/>
    </xf>
    <xf numFmtId="0" fontId="93" fillId="0" borderId="0" xfId="232" applyFont="1" applyAlignment="1">
      <alignment horizontal="right"/>
    </xf>
    <xf numFmtId="0" fontId="94" fillId="0" borderId="0" xfId="232" applyFont="1"/>
    <xf numFmtId="0" fontId="57" fillId="0" borderId="0" xfId="232" applyFont="1" applyBorder="1"/>
    <xf numFmtId="0" fontId="86" fillId="29" borderId="0" xfId="232" applyFont="1" applyFill="1" applyAlignment="1">
      <alignment horizontal="right"/>
    </xf>
    <xf numFmtId="0" fontId="86" fillId="0" borderId="0" xfId="232" applyFont="1"/>
    <xf numFmtId="174" fontId="95" fillId="29" borderId="0" xfId="232" applyNumberFormat="1" applyFont="1" applyFill="1"/>
    <xf numFmtId="0" fontId="57" fillId="0" borderId="0" xfId="232" quotePrefix="1" applyFont="1" applyBorder="1" applyAlignment="1">
      <alignment horizontal="right"/>
    </xf>
    <xf numFmtId="0" fontId="44" fillId="0" borderId="0" xfId="232" quotePrefix="1" applyFont="1" applyBorder="1"/>
    <xf numFmtId="174" fontId="86" fillId="29" borderId="0" xfId="232" applyNumberFormat="1" applyFont="1" applyFill="1"/>
    <xf numFmtId="0" fontId="57" fillId="0" borderId="0" xfId="232" applyFont="1" applyFill="1" applyBorder="1"/>
    <xf numFmtId="0" fontId="44" fillId="0" borderId="0" xfId="232" applyFont="1" applyFill="1" applyBorder="1"/>
    <xf numFmtId="0" fontId="57" fillId="0" borderId="0" xfId="232" applyFont="1" applyFill="1" applyAlignment="1">
      <alignment horizontal="left"/>
    </xf>
    <xf numFmtId="0" fontId="92" fillId="0" borderId="0" xfId="232" applyFont="1" applyFill="1" applyBorder="1" applyAlignment="1">
      <alignment horizontal="right"/>
    </xf>
    <xf numFmtId="0" fontId="93" fillId="0" borderId="0" xfId="232" applyFont="1" applyFill="1" applyAlignment="1">
      <alignment horizontal="right"/>
    </xf>
    <xf numFmtId="0" fontId="86" fillId="0" borderId="0" xfId="232" applyFont="1" applyFill="1" applyBorder="1" applyAlignment="1">
      <alignment horizontal="right"/>
    </xf>
    <xf numFmtId="0" fontId="86" fillId="0" borderId="0" xfId="232" applyFont="1" applyFill="1"/>
    <xf numFmtId="1" fontId="86" fillId="29" borderId="0" xfId="232" applyNumberFormat="1" applyFont="1" applyFill="1" applyAlignment="1"/>
    <xf numFmtId="0" fontId="92" fillId="0" borderId="0" xfId="232" applyFont="1" applyFill="1"/>
    <xf numFmtId="174" fontId="96" fillId="0" borderId="0" xfId="232" applyNumberFormat="1" applyFont="1" applyFill="1"/>
    <xf numFmtId="0" fontId="92" fillId="0" borderId="0" xfId="232" applyFont="1"/>
    <xf numFmtId="0" fontId="97" fillId="0" borderId="11" xfId="232" applyFont="1" applyBorder="1"/>
    <xf numFmtId="0" fontId="57" fillId="0" borderId="146" xfId="232" applyFont="1" applyBorder="1" applyAlignment="1">
      <alignment horizontal="center"/>
    </xf>
    <xf numFmtId="0" fontId="57" fillId="0" borderId="47" xfId="232" applyFont="1" applyBorder="1" applyAlignment="1">
      <alignment horizontal="center"/>
    </xf>
    <xf numFmtId="0" fontId="57" fillId="0" borderId="155" xfId="232" applyFont="1" applyBorder="1" applyAlignment="1">
      <alignment horizontal="center"/>
    </xf>
    <xf numFmtId="0" fontId="12" fillId="0" borderId="0" xfId="232" applyFont="1" applyFill="1"/>
    <xf numFmtId="0" fontId="57" fillId="0" borderId="0" xfId="232" applyFont="1"/>
    <xf numFmtId="0" fontId="98" fillId="0" borderId="0" xfId="232" applyFont="1" applyFill="1"/>
    <xf numFmtId="0" fontId="97" fillId="0" borderId="0" xfId="232" applyFont="1" applyBorder="1"/>
    <xf numFmtId="0" fontId="57" fillId="0" borderId="0" xfId="232" applyFont="1" applyBorder="1" applyAlignment="1">
      <alignment horizontal="right"/>
    </xf>
    <xf numFmtId="0" fontId="58" fillId="0" borderId="0" xfId="232" applyFont="1" applyAlignment="1">
      <alignment horizontal="right"/>
    </xf>
    <xf numFmtId="177" fontId="98" fillId="0" borderId="0" xfId="232" applyNumberFormat="1" applyFont="1" applyFill="1"/>
    <xf numFmtId="166" fontId="57" fillId="0" borderId="0" xfId="232" applyNumberFormat="1" applyFont="1" applyBorder="1" applyAlignment="1">
      <alignment horizontal="left"/>
    </xf>
    <xf numFmtId="0" fontId="39" fillId="0" borderId="0" xfId="232" applyFont="1" applyFill="1"/>
    <xf numFmtId="174" fontId="36" fillId="0" borderId="0" xfId="232" applyNumberFormat="1" applyFont="1" applyFill="1"/>
    <xf numFmtId="174" fontId="2" fillId="29" borderId="0" xfId="232" applyNumberFormat="1" applyFont="1" applyFill="1"/>
    <xf numFmtId="2" fontId="12" fillId="0" borderId="0" xfId="232" applyNumberFormat="1" applyFont="1" applyFill="1"/>
    <xf numFmtId="1" fontId="86" fillId="0" borderId="0" xfId="232" applyNumberFormat="1" applyFont="1"/>
    <xf numFmtId="0" fontId="2" fillId="0" borderId="0" xfId="232" applyFill="1"/>
    <xf numFmtId="177" fontId="57" fillId="0" borderId="0" xfId="232" applyNumberFormat="1" applyFont="1" applyBorder="1"/>
    <xf numFmtId="177" fontId="44" fillId="0" borderId="0" xfId="232" applyNumberFormat="1" applyFont="1" applyBorder="1"/>
    <xf numFmtId="174" fontId="30" fillId="0" borderId="0" xfId="232" applyNumberFormat="1" applyFont="1" applyFill="1"/>
    <xf numFmtId="0" fontId="99" fillId="0" borderId="0" xfId="232" applyFont="1" applyBorder="1"/>
    <xf numFmtId="0" fontId="100" fillId="0" borderId="0" xfId="232" applyFont="1" applyBorder="1"/>
    <xf numFmtId="0" fontId="101" fillId="0" borderId="0" xfId="232" applyFont="1" applyBorder="1"/>
    <xf numFmtId="0" fontId="101" fillId="0" borderId="0" xfId="232" applyFont="1" applyBorder="1" applyAlignment="1">
      <alignment horizontal="left"/>
    </xf>
    <xf numFmtId="174" fontId="2" fillId="0" borderId="0" xfId="232" applyNumberFormat="1" applyFill="1"/>
    <xf numFmtId="0" fontId="44" fillId="0" borderId="0" xfId="232" applyFont="1" applyBorder="1" applyAlignment="1">
      <alignment vertical="top"/>
    </xf>
    <xf numFmtId="0" fontId="2" fillId="0" borderId="0" xfId="232" applyFill="1" applyAlignment="1">
      <alignment horizontal="right"/>
    </xf>
    <xf numFmtId="0" fontId="102" fillId="30" borderId="0" xfId="254" applyFont="1" applyFill="1" applyAlignment="1" applyProtection="1">
      <protection locked="0"/>
    </xf>
    <xf numFmtId="186" fontId="98" fillId="30" borderId="0" xfId="254" applyNumberFormat="1" applyFont="1" applyFill="1" applyAlignment="1" applyProtection="1">
      <protection locked="0"/>
    </xf>
    <xf numFmtId="4" fontId="90" fillId="30" borderId="0" xfId="225" applyNumberFormat="1" applyFont="1" applyFill="1" applyAlignment="1" applyProtection="1">
      <alignment horizontal="right"/>
      <protection locked="0"/>
    </xf>
    <xf numFmtId="0" fontId="57" fillId="0" borderId="0" xfId="232" quotePrefix="1" applyFont="1" applyFill="1" applyBorder="1" applyAlignment="1">
      <alignment horizontal="right"/>
    </xf>
    <xf numFmtId="0" fontId="44" fillId="0" borderId="0" xfId="232" quotePrefix="1" applyFont="1" applyFill="1" applyBorder="1"/>
    <xf numFmtId="0" fontId="86" fillId="0" borderId="0" xfId="232" applyFont="1" applyFill="1" applyAlignment="1">
      <alignment horizontal="right"/>
    </xf>
    <xf numFmtId="174" fontId="86" fillId="0" borderId="0" xfId="232" applyNumberFormat="1" applyFont="1" applyFill="1"/>
    <xf numFmtId="170" fontId="2" fillId="0" borderId="66" xfId="265" applyNumberFormat="1" applyFont="1" applyFill="1" applyBorder="1" applyAlignment="1" applyProtection="1">
      <alignment vertical="center"/>
      <protection locked="0"/>
    </xf>
    <xf numFmtId="170" fontId="2" fillId="0" borderId="31" xfId="265" applyNumberFormat="1" applyFont="1" applyFill="1" applyBorder="1" applyAlignment="1" applyProtection="1">
      <alignment vertical="center"/>
      <protection locked="0"/>
    </xf>
    <xf numFmtId="170" fontId="2" fillId="0" borderId="64" xfId="265" applyNumberFormat="1" applyFont="1" applyFill="1" applyBorder="1" applyAlignment="1" applyProtection="1">
      <alignment vertical="center"/>
      <protection locked="0"/>
    </xf>
    <xf numFmtId="170" fontId="2" fillId="0" borderId="143" xfId="265" applyNumberFormat="1" applyFont="1" applyFill="1" applyBorder="1" applyAlignment="1" applyProtection="1">
      <alignment vertical="center"/>
      <protection locked="0"/>
    </xf>
    <xf numFmtId="170" fontId="2" fillId="0" borderId="68" xfId="265" applyNumberFormat="1" applyFont="1" applyFill="1" applyBorder="1" applyAlignment="1" applyProtection="1">
      <alignment vertical="center"/>
      <protection locked="0"/>
    </xf>
    <xf numFmtId="170" fontId="2" fillId="0" borderId="25" xfId="265" applyNumberFormat="1" applyFont="1" applyFill="1" applyBorder="1" applyAlignment="1" applyProtection="1">
      <alignment vertical="center"/>
      <protection locked="0"/>
    </xf>
    <xf numFmtId="170" fontId="2" fillId="0" borderId="24" xfId="265" applyNumberFormat="1" applyFont="1" applyFill="1" applyBorder="1" applyAlignment="1" applyProtection="1">
      <alignment vertical="center"/>
      <protection locked="0"/>
    </xf>
    <xf numFmtId="3" fontId="42" fillId="0" borderId="25" xfId="265" applyNumberFormat="1" applyFont="1" applyFill="1" applyBorder="1" applyAlignment="1" applyProtection="1">
      <alignment horizontal="right"/>
      <protection locked="0"/>
    </xf>
    <xf numFmtId="169" fontId="3" fillId="0" borderId="77" xfId="265" applyNumberFormat="1" applyFont="1" applyFill="1" applyBorder="1" applyAlignment="1" applyProtection="1">
      <alignment horizontal="center"/>
      <protection locked="0"/>
    </xf>
    <xf numFmtId="177" fontId="2" fillId="0" borderId="66" xfId="265" applyNumberFormat="1" applyFont="1" applyFill="1" applyBorder="1" applyAlignment="1" applyProtection="1">
      <protection locked="0"/>
    </xf>
    <xf numFmtId="177" fontId="2" fillId="0" borderId="31" xfId="265" applyNumberFormat="1" applyFont="1" applyFill="1" applyBorder="1" applyAlignment="1" applyProtection="1">
      <protection locked="0"/>
    </xf>
    <xf numFmtId="177" fontId="2" fillId="0" borderId="64" xfId="265" applyNumberFormat="1" applyFont="1" applyFill="1" applyBorder="1" applyAlignment="1" applyProtection="1">
      <protection locked="0"/>
    </xf>
    <xf numFmtId="177" fontId="2" fillId="0" borderId="143" xfId="265" applyNumberFormat="1" applyFont="1" applyFill="1" applyBorder="1" applyAlignment="1" applyProtection="1">
      <protection locked="0"/>
    </xf>
    <xf numFmtId="177" fontId="2" fillId="0" borderId="68" xfId="265" applyNumberFormat="1" applyFont="1" applyFill="1" applyBorder="1" applyAlignment="1" applyProtection="1">
      <protection locked="0"/>
    </xf>
    <xf numFmtId="177" fontId="2" fillId="0" borderId="25" xfId="265" applyNumberFormat="1" applyFont="1" applyFill="1" applyBorder="1" applyAlignment="1" applyProtection="1">
      <protection locked="0"/>
    </xf>
    <xf numFmtId="177" fontId="2" fillId="0" borderId="24" xfId="265" applyNumberFormat="1" applyFont="1" applyFill="1" applyBorder="1" applyAlignment="1" applyProtection="1">
      <protection locked="0"/>
    </xf>
    <xf numFmtId="3" fontId="42" fillId="0" borderId="25" xfId="265" applyNumberFormat="1" applyFont="1" applyFill="1" applyBorder="1" applyAlignment="1" applyProtection="1">
      <alignment horizontal="right" vertical="center"/>
      <protection locked="0"/>
    </xf>
    <xf numFmtId="169" fontId="3" fillId="0" borderId="77" xfId="265" applyNumberFormat="1" applyFont="1" applyFill="1" applyBorder="1" applyAlignment="1" applyProtection="1">
      <alignment horizontal="center" vertical="center"/>
      <protection locked="0"/>
    </xf>
    <xf numFmtId="9" fontId="3" fillId="0" borderId="77" xfId="159" applyFont="1" applyFill="1" applyBorder="1" applyAlignment="1" applyProtection="1">
      <alignment horizontal="center" vertical="center"/>
      <protection locked="0"/>
    </xf>
    <xf numFmtId="169" fontId="42" fillId="0" borderId="0" xfId="265" applyNumberFormat="1" applyFont="1" applyFill="1" applyBorder="1" applyAlignment="1" applyProtection="1">
      <alignment horizontal="left" vertical="center"/>
      <protection locked="0"/>
    </xf>
    <xf numFmtId="177" fontId="2" fillId="0" borderId="143" xfId="265" applyNumberFormat="1" applyFont="1" applyFill="1" applyBorder="1" applyAlignment="1" applyProtection="1">
      <alignment vertical="center"/>
      <protection locked="0"/>
    </xf>
    <xf numFmtId="177" fontId="2" fillId="0" borderId="68" xfId="265" applyNumberFormat="1" applyFont="1" applyFill="1" applyBorder="1" applyAlignment="1" applyProtection="1">
      <alignment vertical="center"/>
      <protection locked="0"/>
    </xf>
    <xf numFmtId="0" fontId="2" fillId="0" borderId="0" xfId="254" applyFont="1" applyFill="1" applyAlignment="1" applyProtection="1">
      <alignment vertical="center"/>
      <protection locked="0"/>
    </xf>
    <xf numFmtId="177" fontId="2" fillId="0" borderId="77" xfId="265" applyNumberFormat="1" applyFont="1" applyFill="1" applyBorder="1" applyAlignment="1" applyProtection="1">
      <alignment vertical="center"/>
      <protection locked="0"/>
    </xf>
    <xf numFmtId="177" fontId="2" fillId="0" borderId="0" xfId="254" applyNumberFormat="1" applyFont="1" applyFill="1" applyAlignment="1" applyProtection="1">
      <alignment vertical="center"/>
      <protection locked="0"/>
    </xf>
    <xf numFmtId="4" fontId="42" fillId="30" borderId="77" xfId="232" applyNumberFormat="1" applyFont="1" applyFill="1" applyBorder="1" applyAlignment="1" applyProtection="1">
      <alignment horizontal="right"/>
    </xf>
    <xf numFmtId="4" fontId="48" fillId="30" borderId="74" xfId="232" applyNumberFormat="1" applyFont="1" applyFill="1" applyBorder="1" applyAlignment="1" applyProtection="1">
      <alignment horizontal="right"/>
    </xf>
    <xf numFmtId="0" fontId="2" fillId="30" borderId="0" xfId="225" applyFont="1" applyFill="1" applyProtection="1">
      <protection locked="0"/>
    </xf>
    <xf numFmtId="0" fontId="3" fillId="30" borderId="0" xfId="270" applyFont="1" applyFill="1" applyBorder="1"/>
    <xf numFmtId="0" fontId="2" fillId="30" borderId="0" xfId="232" quotePrefix="1" applyFont="1" applyFill="1" applyBorder="1"/>
    <xf numFmtId="0" fontId="2" fillId="30" borderId="0" xfId="232" applyFont="1" applyFill="1" applyBorder="1"/>
    <xf numFmtId="0" fontId="2" fillId="30" borderId="0" xfId="232" applyFont="1" applyFill="1" applyBorder="1" applyAlignment="1">
      <alignment horizontal="right"/>
    </xf>
    <xf numFmtId="169" fontId="2" fillId="34" borderId="24" xfId="265" applyNumberFormat="1" applyFont="1" applyFill="1" applyBorder="1" applyAlignment="1" applyProtection="1">
      <alignment horizontal="left"/>
      <protection locked="0"/>
    </xf>
    <xf numFmtId="169" fontId="2" fillId="0" borderId="24" xfId="265" applyNumberFormat="1" applyFont="1" applyFill="1" applyBorder="1" applyAlignment="1" applyProtection="1">
      <alignment horizontal="right"/>
      <protection locked="0"/>
    </xf>
    <xf numFmtId="169" fontId="2" fillId="0" borderId="25" xfId="265" applyNumberFormat="1" applyFont="1" applyFill="1" applyBorder="1" applyAlignment="1" applyProtection="1">
      <alignment horizontal="right"/>
      <protection locked="0"/>
    </xf>
    <xf numFmtId="169" fontId="3" fillId="0" borderId="25" xfId="265" applyNumberFormat="1" applyFont="1" applyFill="1" applyBorder="1" applyAlignment="1" applyProtection="1">
      <alignment horizontal="center"/>
      <protection locked="0"/>
    </xf>
    <xf numFmtId="169" fontId="42" fillId="0" borderId="0" xfId="265" applyNumberFormat="1" applyFont="1" applyFill="1" applyBorder="1" applyAlignment="1" applyProtection="1">
      <alignment horizontal="left" indent="2"/>
      <protection locked="0"/>
    </xf>
    <xf numFmtId="4" fontId="2" fillId="0" borderId="78" xfId="265" applyNumberFormat="1" applyFont="1" applyFill="1" applyBorder="1" applyAlignment="1" applyProtection="1">
      <alignment horizontal="right"/>
      <protection locked="0"/>
    </xf>
    <xf numFmtId="177" fontId="2" fillId="0" borderId="79" xfId="265" applyNumberFormat="1" applyFont="1" applyFill="1" applyBorder="1" applyAlignment="1" applyProtection="1">
      <alignment horizontal="right"/>
      <protection locked="0"/>
    </xf>
    <xf numFmtId="4" fontId="2" fillId="0" borderId="25" xfId="232" applyNumberFormat="1" applyFont="1" applyFill="1" applyBorder="1" applyAlignment="1" applyProtection="1">
      <alignment horizontal="right"/>
    </xf>
    <xf numFmtId="4" fontId="2" fillId="0" borderId="78" xfId="232" applyNumberFormat="1" applyFont="1" applyFill="1" applyBorder="1" applyAlignment="1" applyProtection="1">
      <alignment horizontal="right"/>
    </xf>
    <xf numFmtId="177" fontId="43" fillId="0" borderId="79" xfId="232" applyNumberFormat="1" applyFont="1" applyFill="1" applyBorder="1" applyAlignment="1" applyProtection="1">
      <alignment horizontal="right"/>
    </xf>
    <xf numFmtId="4" fontId="2" fillId="0" borderId="78" xfId="265" applyNumberFormat="1" applyFont="1" applyFill="1" applyBorder="1" applyProtection="1">
      <protection locked="0"/>
    </xf>
    <xf numFmtId="177" fontId="2" fillId="0" borderId="79" xfId="265" applyNumberFormat="1" applyFont="1" applyFill="1" applyBorder="1" applyProtection="1">
      <protection locked="0"/>
    </xf>
    <xf numFmtId="4" fontId="2" fillId="0" borderId="78" xfId="265" applyNumberFormat="1" applyFont="1" applyFill="1" applyBorder="1" applyProtection="1"/>
    <xf numFmtId="177" fontId="2" fillId="0" borderId="79" xfId="265" applyNumberFormat="1" applyFont="1" applyFill="1" applyBorder="1" applyProtection="1"/>
    <xf numFmtId="174" fontId="90" fillId="0" borderId="0" xfId="232" applyNumberFormat="1" applyFont="1" applyFill="1" applyBorder="1" applyProtection="1">
      <protection locked="0"/>
    </xf>
    <xf numFmtId="187" fontId="90" fillId="0" borderId="0" xfId="232" applyNumberFormat="1" applyFont="1" applyFill="1" applyBorder="1" applyProtection="1">
      <protection locked="0"/>
    </xf>
    <xf numFmtId="168" fontId="89" fillId="0" borderId="0" xfId="232" applyNumberFormat="1" applyFont="1" applyFill="1" applyBorder="1" applyAlignment="1" applyProtection="1">
      <alignment horizontal="right"/>
      <protection locked="0"/>
    </xf>
    <xf numFmtId="174" fontId="2" fillId="34" borderId="66" xfId="265" applyNumberFormat="1" applyFont="1" applyFill="1" applyBorder="1" applyAlignment="1" applyProtection="1">
      <alignment vertical="center"/>
      <protection locked="0"/>
    </xf>
    <xf numFmtId="174" fontId="42" fillId="0" borderId="66" xfId="265" applyNumberFormat="1" applyFont="1" applyFill="1" applyBorder="1" applyAlignment="1" applyProtection="1">
      <alignment horizontal="right" vertical="center"/>
      <protection locked="0"/>
    </xf>
    <xf numFmtId="174" fontId="2" fillId="0" borderId="66" xfId="265" applyNumberFormat="1" applyFont="1" applyFill="1" applyBorder="1" applyAlignment="1" applyProtection="1">
      <alignment vertical="center"/>
      <protection locked="0"/>
    </xf>
    <xf numFmtId="0" fontId="2" fillId="34" borderId="39" xfId="265" applyNumberFormat="1" applyFont="1" applyFill="1" applyBorder="1" applyAlignment="1" applyProtection="1">
      <alignment horizontal="center" vertical="center"/>
      <protection locked="0"/>
    </xf>
    <xf numFmtId="0" fontId="2" fillId="0" borderId="0" xfId="232" quotePrefix="1" applyFill="1" applyProtection="1">
      <protection locked="0"/>
    </xf>
    <xf numFmtId="0" fontId="57" fillId="30" borderId="0" xfId="254" applyFont="1" applyFill="1" applyProtection="1">
      <protection locked="0"/>
    </xf>
    <xf numFmtId="0" fontId="57" fillId="30" borderId="0" xfId="254" applyFont="1" applyFill="1" applyAlignment="1" applyProtection="1">
      <protection locked="0"/>
    </xf>
    <xf numFmtId="0" fontId="57" fillId="0" borderId="11" xfId="232" applyFont="1" applyBorder="1" applyAlignment="1">
      <alignment horizontal="center"/>
    </xf>
    <xf numFmtId="4" fontId="3" fillId="37" borderId="74" xfId="265" applyNumberFormat="1" applyFont="1" applyFill="1" applyBorder="1" applyProtection="1">
      <protection locked="0"/>
    </xf>
    <xf numFmtId="3" fontId="42" fillId="37" borderId="61" xfId="265" applyNumberFormat="1" applyFont="1" applyFill="1" applyBorder="1" applyAlignment="1" applyProtection="1">
      <alignment horizontal="right"/>
      <protection locked="0"/>
    </xf>
    <xf numFmtId="4" fontId="2" fillId="37" borderId="78" xfId="265" applyNumberFormat="1" applyFont="1" applyFill="1" applyBorder="1" applyAlignment="1" applyProtection="1">
      <alignment horizontal="right"/>
      <protection locked="0"/>
    </xf>
    <xf numFmtId="4" fontId="2" fillId="37" borderId="78" xfId="265" applyNumberFormat="1" applyFont="1" applyFill="1" applyBorder="1" applyProtection="1">
      <protection locked="0"/>
    </xf>
    <xf numFmtId="177" fontId="2" fillId="37" borderId="66" xfId="265" applyNumberFormat="1" applyFont="1" applyFill="1" applyBorder="1" applyAlignment="1" applyProtection="1">
      <alignment vertical="center"/>
      <protection locked="0"/>
    </xf>
    <xf numFmtId="177" fontId="2" fillId="37" borderId="31" xfId="265" applyNumberFormat="1" applyFont="1" applyFill="1" applyBorder="1" applyAlignment="1" applyProtection="1">
      <alignment vertical="center"/>
      <protection locked="0"/>
    </xf>
    <xf numFmtId="177" fontId="2" fillId="37" borderId="64" xfId="265" applyNumberFormat="1" applyFont="1" applyFill="1" applyBorder="1" applyAlignment="1" applyProtection="1">
      <alignment vertical="center"/>
      <protection locked="0"/>
    </xf>
    <xf numFmtId="165" fontId="3" fillId="34" borderId="23" xfId="265" applyNumberFormat="1" applyFont="1" applyFill="1" applyBorder="1" applyAlignment="1" applyProtection="1">
      <protection locked="0"/>
    </xf>
    <xf numFmtId="177" fontId="2" fillId="37" borderId="79" xfId="265" applyNumberFormat="1" applyFont="1" applyFill="1" applyBorder="1" applyProtection="1">
      <protection locked="0"/>
    </xf>
    <xf numFmtId="0" fontId="3" fillId="30" borderId="146" xfId="1" applyFont="1" applyFill="1" applyBorder="1" applyAlignment="1" applyProtection="1">
      <alignment horizontal="left"/>
    </xf>
    <xf numFmtId="0" fontId="3" fillId="30" borderId="47" xfId="1" applyFont="1" applyFill="1" applyBorder="1" applyAlignment="1" applyProtection="1">
      <alignment horizontal="left"/>
    </xf>
    <xf numFmtId="0" fontId="3" fillId="30" borderId="155" xfId="1" applyFont="1" applyFill="1" applyBorder="1" applyAlignment="1" applyProtection="1">
      <alignment horizontal="left"/>
    </xf>
    <xf numFmtId="0" fontId="3" fillId="34" borderId="18" xfId="265" applyNumberFormat="1" applyFont="1" applyFill="1" applyBorder="1" applyAlignment="1" applyProtection="1">
      <alignment horizontal="center"/>
      <protection locked="0"/>
    </xf>
    <xf numFmtId="0" fontId="3" fillId="34" borderId="20" xfId="265" applyNumberFormat="1" applyFont="1" applyFill="1" applyBorder="1" applyAlignment="1" applyProtection="1">
      <alignment horizontal="center"/>
      <protection locked="0"/>
    </xf>
    <xf numFmtId="0" fontId="3" fillId="34" borderId="37" xfId="265" applyNumberFormat="1" applyFont="1" applyFill="1" applyBorder="1" applyAlignment="1" applyProtection="1">
      <alignment horizontal="center"/>
      <protection locked="0"/>
    </xf>
    <xf numFmtId="0" fontId="87" fillId="30" borderId="18" xfId="0" applyFont="1" applyFill="1" applyBorder="1" applyAlignment="1">
      <alignment horizontal="center"/>
    </xf>
    <xf numFmtId="0" fontId="87" fillId="30" borderId="20" xfId="0" applyFont="1" applyFill="1" applyBorder="1" applyAlignment="1">
      <alignment horizontal="center"/>
    </xf>
    <xf numFmtId="0" fontId="87" fillId="30" borderId="37" xfId="0" applyFont="1" applyFill="1" applyBorder="1" applyAlignment="1">
      <alignment horizontal="center"/>
    </xf>
    <xf numFmtId="0" fontId="3" fillId="30" borderId="18" xfId="0" applyFont="1" applyFill="1" applyBorder="1" applyAlignment="1">
      <alignment horizontal="center"/>
    </xf>
    <xf numFmtId="0" fontId="3" fillId="30" borderId="20" xfId="0" applyFont="1" applyFill="1" applyBorder="1" applyAlignment="1">
      <alignment horizontal="center"/>
    </xf>
    <xf numFmtId="0" fontId="3" fillId="30" borderId="37" xfId="0" applyFont="1" applyFill="1" applyBorder="1" applyAlignment="1">
      <alignment horizontal="center"/>
    </xf>
    <xf numFmtId="0" fontId="0" fillId="30" borderId="146" xfId="0" applyFill="1" applyBorder="1" applyAlignment="1">
      <alignment horizontal="left"/>
    </xf>
    <xf numFmtId="0" fontId="0" fillId="30" borderId="47" xfId="0" applyFill="1" applyBorder="1" applyAlignment="1">
      <alignment horizontal="left"/>
    </xf>
    <xf numFmtId="0" fontId="0" fillId="30" borderId="155" xfId="0" applyFill="1" applyBorder="1" applyAlignment="1">
      <alignment horizontal="left"/>
    </xf>
    <xf numFmtId="0" fontId="0" fillId="30" borderId="146" xfId="0" applyFill="1" applyBorder="1" applyAlignment="1">
      <alignment horizontal="center"/>
    </xf>
    <xf numFmtId="0" fontId="0" fillId="30" borderId="47" xfId="0" applyFill="1" applyBorder="1" applyAlignment="1">
      <alignment horizontal="center"/>
    </xf>
    <xf numFmtId="0" fontId="0" fillId="30" borderId="155" xfId="0" applyFill="1" applyBorder="1" applyAlignment="1">
      <alignment horizontal="center"/>
    </xf>
    <xf numFmtId="0" fontId="75" fillId="30" borderId="146" xfId="0" applyFont="1" applyFill="1" applyBorder="1" applyAlignment="1">
      <alignment horizontal="left" wrapText="1"/>
    </xf>
    <xf numFmtId="0" fontId="75" fillId="30" borderId="47" xfId="0" applyFont="1" applyFill="1" applyBorder="1" applyAlignment="1">
      <alignment horizontal="left" wrapText="1"/>
    </xf>
    <xf numFmtId="0" fontId="75" fillId="30" borderId="155" xfId="0" applyFont="1" applyFill="1" applyBorder="1" applyAlignment="1">
      <alignment horizontal="left" wrapText="1"/>
    </xf>
    <xf numFmtId="0" fontId="35" fillId="30" borderId="18" xfId="259" applyFont="1" applyFill="1" applyBorder="1" applyAlignment="1" applyProtection="1">
      <alignment horizontal="center"/>
    </xf>
    <xf numFmtId="0" fontId="35" fillId="30" borderId="20" xfId="259" applyFont="1" applyFill="1" applyBorder="1" applyAlignment="1" applyProtection="1">
      <alignment horizontal="center"/>
    </xf>
    <xf numFmtId="0" fontId="35" fillId="30" borderId="37" xfId="259" applyFont="1" applyFill="1" applyBorder="1" applyAlignment="1" applyProtection="1">
      <alignment horizontal="center"/>
    </xf>
    <xf numFmtId="0" fontId="44" fillId="0" borderId="24" xfId="232" applyFont="1" applyFill="1" applyBorder="1" applyAlignment="1" applyProtection="1">
      <alignment horizontal="left" wrapText="1"/>
    </xf>
    <xf numFmtId="0" fontId="44" fillId="0" borderId="25" xfId="232" applyFont="1" applyFill="1" applyBorder="1" applyAlignment="1" applyProtection="1">
      <alignment horizontal="left" wrapText="1"/>
    </xf>
    <xf numFmtId="0" fontId="62" fillId="0" borderId="24" xfId="232" applyFont="1" applyFill="1" applyBorder="1" applyAlignment="1" applyProtection="1">
      <alignment horizontal="left" wrapText="1" indent="4"/>
    </xf>
    <xf numFmtId="0" fontId="62" fillId="0" borderId="25" xfId="232" applyFont="1" applyFill="1" applyBorder="1" applyAlignment="1" applyProtection="1">
      <alignment horizontal="left" wrapText="1" indent="4"/>
    </xf>
    <xf numFmtId="0" fontId="50" fillId="30" borderId="18" xfId="259" applyFont="1" applyFill="1" applyBorder="1" applyAlignment="1" applyProtection="1">
      <alignment horizontal="center"/>
    </xf>
    <xf numFmtId="0" fontId="50" fillId="30" borderId="20" xfId="259" applyFont="1" applyFill="1" applyBorder="1" applyAlignment="1" applyProtection="1">
      <alignment horizontal="center"/>
    </xf>
    <xf numFmtId="0" fontId="50" fillId="30" borderId="37" xfId="259" applyFont="1" applyFill="1" applyBorder="1" applyAlignment="1" applyProtection="1">
      <alignment horizontal="center"/>
    </xf>
    <xf numFmtId="0" fontId="54" fillId="30" borderId="24" xfId="232" applyFont="1" applyFill="1" applyBorder="1" applyAlignment="1" applyProtection="1">
      <alignment horizontal="left" wrapText="1"/>
      <protection locked="0"/>
    </xf>
    <xf numFmtId="0" fontId="54" fillId="30" borderId="25" xfId="232" applyFont="1" applyFill="1" applyBorder="1" applyAlignment="1" applyProtection="1">
      <alignment horizontal="left" wrapText="1"/>
      <protection locked="0"/>
    </xf>
    <xf numFmtId="0" fontId="54" fillId="0" borderId="24" xfId="232" applyFont="1" applyFill="1" applyBorder="1" applyAlignment="1" applyProtection="1">
      <alignment horizontal="left" vertical="top" wrapText="1"/>
      <protection locked="0"/>
    </xf>
    <xf numFmtId="0" fontId="54" fillId="0" borderId="25" xfId="232" applyFont="1" applyFill="1" applyBorder="1" applyAlignment="1" applyProtection="1">
      <alignment horizontal="left" vertical="top" wrapText="1"/>
      <protection locked="0"/>
    </xf>
    <xf numFmtId="0" fontId="44" fillId="0" borderId="24" xfId="232" applyFont="1" applyFill="1" applyBorder="1" applyAlignment="1" applyProtection="1">
      <alignment horizontal="left"/>
    </xf>
    <xf numFmtId="0" fontId="44" fillId="0" borderId="25" xfId="232" applyFont="1" applyFill="1" applyBorder="1" applyAlignment="1" applyProtection="1">
      <alignment horizontal="left"/>
    </xf>
    <xf numFmtId="0" fontId="2" fillId="0" borderId="24" xfId="232" applyFont="1" applyFill="1" applyBorder="1" applyAlignment="1" applyProtection="1">
      <alignment horizontal="left" vertical="center" wrapText="1"/>
    </xf>
    <xf numFmtId="0" fontId="2" fillId="0" borderId="25" xfId="232" applyFont="1" applyFill="1" applyBorder="1" applyAlignment="1" applyProtection="1">
      <alignment horizontal="left" vertical="center" wrapText="1"/>
    </xf>
    <xf numFmtId="0" fontId="6" fillId="0" borderId="24" xfId="232" applyFont="1" applyFill="1" applyBorder="1" applyAlignment="1" applyProtection="1">
      <alignment horizontal="left" vertical="center" wrapText="1"/>
    </xf>
    <xf numFmtId="0" fontId="6" fillId="0" borderId="25" xfId="232" applyFont="1" applyFill="1" applyBorder="1" applyAlignment="1" applyProtection="1">
      <alignment horizontal="left" vertical="center" wrapText="1"/>
    </xf>
    <xf numFmtId="0" fontId="37" fillId="30" borderId="14" xfId="0" applyFont="1" applyFill="1" applyBorder="1" applyAlignment="1" applyProtection="1">
      <alignment horizontal="center"/>
    </xf>
    <xf numFmtId="0" fontId="37" fillId="30" borderId="0" xfId="0" applyFont="1" applyFill="1" applyBorder="1" applyAlignment="1" applyProtection="1">
      <alignment horizontal="center"/>
    </xf>
    <xf numFmtId="0" fontId="37" fillId="30" borderId="22" xfId="0" applyFont="1" applyFill="1" applyBorder="1" applyAlignment="1" applyProtection="1">
      <alignment horizontal="center"/>
    </xf>
    <xf numFmtId="0" fontId="3" fillId="30" borderId="47" xfId="0" applyFont="1" applyFill="1" applyBorder="1" applyAlignment="1" applyProtection="1">
      <alignment horizontal="left" vertical="center" wrapText="1"/>
    </xf>
    <xf numFmtId="0" fontId="3" fillId="30" borderId="132" xfId="0" applyFont="1" applyFill="1" applyBorder="1" applyAlignment="1" applyProtection="1">
      <alignment horizontal="left" vertical="center" wrapText="1"/>
    </xf>
    <xf numFmtId="0" fontId="3" fillId="30" borderId="18" xfId="0" applyFont="1" applyFill="1" applyBorder="1" applyAlignment="1" applyProtection="1">
      <alignment horizontal="center" vertical="center"/>
    </xf>
    <xf numFmtId="0" fontId="3" fillId="30" borderId="37" xfId="0" applyFont="1" applyFill="1" applyBorder="1" applyAlignment="1" applyProtection="1">
      <alignment horizontal="center" vertical="center"/>
    </xf>
    <xf numFmtId="10" fontId="3" fillId="30" borderId="15" xfId="0" quotePrefix="1" applyNumberFormat="1" applyFont="1" applyFill="1" applyBorder="1" applyAlignment="1" applyProtection="1">
      <alignment horizontal="center" vertical="center"/>
    </xf>
    <xf numFmtId="10" fontId="3" fillId="30" borderId="16" xfId="0" quotePrefix="1" applyNumberFormat="1" applyFont="1" applyFill="1" applyBorder="1" applyAlignment="1" applyProtection="1">
      <alignment horizontal="center" vertical="center"/>
    </xf>
    <xf numFmtId="10" fontId="3" fillId="30" borderId="17" xfId="0" quotePrefix="1" applyNumberFormat="1" applyFont="1" applyFill="1" applyBorder="1" applyAlignment="1" applyProtection="1">
      <alignment horizontal="center" vertical="center"/>
    </xf>
    <xf numFmtId="10" fontId="3" fillId="30" borderId="40" xfId="0" quotePrefix="1" applyNumberFormat="1" applyFont="1" applyFill="1" applyBorder="1" applyAlignment="1" applyProtection="1">
      <alignment horizontal="center" vertical="center"/>
    </xf>
    <xf numFmtId="10" fontId="3" fillId="30" borderId="41" xfId="0" quotePrefix="1" applyNumberFormat="1" applyFont="1" applyFill="1" applyBorder="1" applyAlignment="1" applyProtection="1">
      <alignment horizontal="center" vertical="center"/>
    </xf>
    <xf numFmtId="10" fontId="3" fillId="30" borderId="42" xfId="0" quotePrefix="1" applyNumberFormat="1" applyFont="1" applyFill="1" applyBorder="1" applyAlignment="1" applyProtection="1">
      <alignment horizontal="center" vertical="center"/>
    </xf>
    <xf numFmtId="10" fontId="3" fillId="30" borderId="15" xfId="0" applyNumberFormat="1" applyFont="1" applyFill="1" applyBorder="1" applyAlignment="1" applyProtection="1">
      <alignment horizontal="center" vertical="center"/>
    </xf>
    <xf numFmtId="10" fontId="3" fillId="30" borderId="16" xfId="0" applyNumberFormat="1" applyFont="1" applyFill="1" applyBorder="1" applyAlignment="1" applyProtection="1">
      <alignment horizontal="center" vertical="center"/>
    </xf>
    <xf numFmtId="10" fontId="3" fillId="30" borderId="17" xfId="0" applyNumberFormat="1" applyFont="1" applyFill="1" applyBorder="1" applyAlignment="1" applyProtection="1">
      <alignment horizontal="center" vertical="center"/>
    </xf>
    <xf numFmtId="10" fontId="3" fillId="30" borderId="40" xfId="0" applyNumberFormat="1" applyFont="1" applyFill="1" applyBorder="1" applyAlignment="1" applyProtection="1">
      <alignment horizontal="center" vertical="center"/>
    </xf>
    <xf numFmtId="10" fontId="3" fillId="30" borderId="41" xfId="0" applyNumberFormat="1" applyFont="1" applyFill="1" applyBorder="1" applyAlignment="1" applyProtection="1">
      <alignment horizontal="center" vertical="center"/>
    </xf>
    <xf numFmtId="10" fontId="3" fillId="30" borderId="42" xfId="0" applyNumberFormat="1" applyFont="1" applyFill="1" applyBorder="1" applyAlignment="1" applyProtection="1">
      <alignment horizontal="center" vertical="center"/>
    </xf>
    <xf numFmtId="0" fontId="42" fillId="30" borderId="0" xfId="259" applyFont="1" applyFill="1" applyAlignment="1" applyProtection="1">
      <alignment horizontal="left" vertical="top"/>
    </xf>
    <xf numFmtId="0" fontId="37" fillId="30" borderId="18" xfId="259" applyFont="1" applyFill="1" applyBorder="1" applyAlignment="1" applyProtection="1">
      <alignment horizontal="center"/>
    </xf>
    <xf numFmtId="0" fontId="37" fillId="30" borderId="20" xfId="259" applyFont="1" applyFill="1" applyBorder="1" applyAlignment="1" applyProtection="1">
      <alignment horizontal="center"/>
    </xf>
    <xf numFmtId="0" fontId="37" fillId="30" borderId="37" xfId="259" applyFont="1" applyFill="1" applyBorder="1" applyAlignment="1" applyProtection="1">
      <alignment horizontal="center"/>
    </xf>
    <xf numFmtId="0" fontId="3" fillId="30" borderId="20" xfId="0" applyFont="1" applyFill="1" applyBorder="1" applyAlignment="1" applyProtection="1">
      <alignment horizontal="center" vertical="center"/>
    </xf>
    <xf numFmtId="0" fontId="48" fillId="36" borderId="15" xfId="0" applyNumberFormat="1" applyFont="1" applyFill="1" applyBorder="1" applyAlignment="1" applyProtection="1">
      <alignment horizontal="center" vertical="center"/>
    </xf>
    <xf numFmtId="0" fontId="48" fillId="36" borderId="17" xfId="0" applyNumberFormat="1" applyFont="1" applyFill="1" applyBorder="1" applyAlignment="1" applyProtection="1">
      <alignment horizontal="center" vertical="center"/>
    </xf>
    <xf numFmtId="0" fontId="48" fillId="36" borderId="40" xfId="0" applyNumberFormat="1" applyFont="1" applyFill="1" applyBorder="1" applyAlignment="1" applyProtection="1">
      <alignment horizontal="center" vertical="center"/>
    </xf>
    <xf numFmtId="0" fontId="48" fillId="36" borderId="42" xfId="0" applyNumberFormat="1" applyFont="1" applyFill="1" applyBorder="1" applyAlignment="1" applyProtection="1">
      <alignment horizontal="center" vertical="center"/>
    </xf>
    <xf numFmtId="0" fontId="3" fillId="30" borderId="15" xfId="0" applyNumberFormat="1" applyFont="1" applyFill="1" applyBorder="1" applyAlignment="1" applyProtection="1">
      <alignment horizontal="center" vertical="center"/>
    </xf>
    <xf numFmtId="0" fontId="3" fillId="30" borderId="16" xfId="0" applyNumberFormat="1" applyFont="1" applyFill="1" applyBorder="1" applyAlignment="1" applyProtection="1">
      <alignment horizontal="center" vertical="center"/>
    </xf>
    <xf numFmtId="0" fontId="3" fillId="30" borderId="17" xfId="0" applyNumberFormat="1" applyFont="1" applyFill="1" applyBorder="1" applyAlignment="1" applyProtection="1">
      <alignment horizontal="center" vertical="center"/>
    </xf>
    <xf numFmtId="0" fontId="3" fillId="30" borderId="40" xfId="0" applyNumberFormat="1" applyFont="1" applyFill="1" applyBorder="1" applyAlignment="1" applyProtection="1">
      <alignment horizontal="center" vertical="center"/>
    </xf>
    <xf numFmtId="0" fontId="3" fillId="30" borderId="41" xfId="0" applyNumberFormat="1" applyFont="1" applyFill="1" applyBorder="1" applyAlignment="1" applyProtection="1">
      <alignment horizontal="center" vertical="center"/>
    </xf>
    <xf numFmtId="0" fontId="3" fillId="30" borderId="42" xfId="0" applyNumberFormat="1" applyFont="1" applyFill="1" applyBorder="1" applyAlignment="1" applyProtection="1">
      <alignment horizontal="center" vertical="center"/>
    </xf>
    <xf numFmtId="166" fontId="57" fillId="0" borderId="0" xfId="232" applyNumberFormat="1" applyFont="1" applyBorder="1" applyAlignment="1">
      <alignment horizontal="left" vertical="top" wrapText="1"/>
    </xf>
    <xf numFmtId="0" fontId="6" fillId="0" borderId="0" xfId="232" applyFont="1" applyFill="1" applyBorder="1" applyAlignment="1" applyProtection="1">
      <alignment horizontal="left" vertical="center" wrapText="1"/>
    </xf>
    <xf numFmtId="0" fontId="3" fillId="0" borderId="15" xfId="232" applyFont="1" applyFill="1" applyBorder="1" applyAlignment="1" applyProtection="1">
      <alignment horizontal="center" vertical="center" wrapText="1"/>
      <protection locked="0"/>
    </xf>
    <xf numFmtId="0" fontId="3" fillId="0" borderId="16" xfId="232" applyFont="1" applyFill="1" applyBorder="1" applyAlignment="1" applyProtection="1">
      <alignment horizontal="center" vertical="center" wrapText="1"/>
      <protection locked="0"/>
    </xf>
    <xf numFmtId="0" fontId="3" fillId="0" borderId="17" xfId="232" applyFont="1" applyFill="1" applyBorder="1" applyAlignment="1" applyProtection="1">
      <alignment horizontal="center" vertical="center" wrapText="1"/>
      <protection locked="0"/>
    </xf>
    <xf numFmtId="0" fontId="3" fillId="0" borderId="40" xfId="232" applyFont="1" applyFill="1" applyBorder="1" applyAlignment="1" applyProtection="1">
      <alignment horizontal="center" vertical="center" wrapText="1"/>
      <protection locked="0"/>
    </xf>
    <xf numFmtId="0" fontId="3" fillId="0" borderId="41" xfId="232" applyFont="1" applyFill="1" applyBorder="1" applyAlignment="1" applyProtection="1">
      <alignment horizontal="center" vertical="center" wrapText="1"/>
      <protection locked="0"/>
    </xf>
    <xf numFmtId="0" fontId="3" fillId="0" borderId="42" xfId="232" applyFont="1" applyFill="1" applyBorder="1" applyAlignment="1" applyProtection="1">
      <alignment horizontal="center" vertical="center" wrapText="1"/>
      <protection locked="0"/>
    </xf>
    <xf numFmtId="0" fontId="3" fillId="0" borderId="15" xfId="232" applyFont="1" applyFill="1" applyBorder="1" applyAlignment="1" applyProtection="1">
      <alignment horizontal="center" vertical="center"/>
      <protection locked="0"/>
    </xf>
    <xf numFmtId="0" fontId="3" fillId="0" borderId="16" xfId="232" applyFont="1" applyFill="1" applyBorder="1" applyAlignment="1" applyProtection="1">
      <alignment horizontal="center" vertical="center"/>
      <protection locked="0"/>
    </xf>
    <xf numFmtId="0" fontId="3" fillId="0" borderId="17" xfId="232" applyFont="1" applyFill="1" applyBorder="1" applyAlignment="1" applyProtection="1">
      <alignment horizontal="center" vertical="center"/>
      <protection locked="0"/>
    </xf>
    <xf numFmtId="0" fontId="3" fillId="0" borderId="40" xfId="232" applyFont="1" applyFill="1" applyBorder="1" applyAlignment="1" applyProtection="1">
      <alignment horizontal="center" vertical="center"/>
      <protection locked="0"/>
    </xf>
    <xf numFmtId="0" fontId="3" fillId="0" borderId="41" xfId="232" applyFont="1" applyFill="1" applyBorder="1" applyAlignment="1" applyProtection="1">
      <alignment horizontal="center" vertical="center"/>
      <protection locked="0"/>
    </xf>
    <xf numFmtId="0" fontId="3" fillId="0" borderId="42" xfId="232" applyFont="1" applyFill="1" applyBorder="1" applyAlignment="1" applyProtection="1">
      <alignment horizontal="center" vertical="center"/>
      <protection locked="0"/>
    </xf>
    <xf numFmtId="0" fontId="3" fillId="0" borderId="54" xfId="232" applyFont="1" applyFill="1" applyBorder="1" applyAlignment="1" applyProtection="1">
      <alignment horizontal="center" vertical="center"/>
      <protection locked="0"/>
    </xf>
    <xf numFmtId="0" fontId="3" fillId="0" borderId="20" xfId="232" applyFont="1" applyFill="1" applyBorder="1" applyAlignment="1" applyProtection="1">
      <alignment horizontal="center" vertical="center"/>
      <protection locked="0"/>
    </xf>
    <xf numFmtId="0" fontId="3" fillId="0" borderId="37" xfId="232" applyFont="1" applyFill="1" applyBorder="1" applyAlignment="1" applyProtection="1">
      <alignment horizontal="center" vertical="center"/>
      <protection locked="0"/>
    </xf>
    <xf numFmtId="0" fontId="3" fillId="0" borderId="15" xfId="232" applyFont="1" applyFill="1" applyBorder="1" applyAlignment="1" applyProtection="1">
      <alignment horizontal="center" vertical="top" wrapText="1"/>
      <protection locked="0"/>
    </xf>
    <xf numFmtId="0" fontId="3" fillId="0" borderId="16" xfId="232" applyFont="1" applyFill="1" applyBorder="1" applyAlignment="1" applyProtection="1">
      <alignment horizontal="center" vertical="top" wrapText="1"/>
      <protection locked="0"/>
    </xf>
    <xf numFmtId="0" fontId="3" fillId="0" borderId="17" xfId="232" applyFont="1" applyFill="1" applyBorder="1" applyAlignment="1" applyProtection="1">
      <alignment horizontal="center" vertical="top" wrapText="1"/>
      <protection locked="0"/>
    </xf>
    <xf numFmtId="0" fontId="3" fillId="0" borderId="40" xfId="232" applyFont="1" applyFill="1" applyBorder="1" applyAlignment="1" applyProtection="1">
      <alignment horizontal="center" vertical="top" wrapText="1"/>
      <protection locked="0"/>
    </xf>
    <xf numFmtId="0" fontId="3" fillId="0" borderId="41" xfId="232" applyFont="1" applyFill="1" applyBorder="1" applyAlignment="1" applyProtection="1">
      <alignment horizontal="center" vertical="top" wrapText="1"/>
      <protection locked="0"/>
    </xf>
    <xf numFmtId="0" fontId="3" fillId="0" borderId="42" xfId="232" applyFont="1" applyFill="1" applyBorder="1" applyAlignment="1" applyProtection="1">
      <alignment horizontal="center" vertical="top" wrapText="1"/>
      <protection locked="0"/>
    </xf>
    <xf numFmtId="0" fontId="3" fillId="34" borderId="18" xfId="265" applyNumberFormat="1" applyFont="1" applyFill="1" applyBorder="1" applyAlignment="1" applyProtection="1">
      <alignment horizontal="center" vertical="center"/>
      <protection locked="0"/>
    </xf>
    <xf numFmtId="0" fontId="3" fillId="34" borderId="37" xfId="265" applyNumberFormat="1" applyFont="1" applyFill="1" applyBorder="1" applyAlignment="1" applyProtection="1">
      <alignment horizontal="center" vertical="center"/>
      <protection locked="0"/>
    </xf>
    <xf numFmtId="0" fontId="60" fillId="30" borderId="18" xfId="259" applyFont="1" applyFill="1" applyBorder="1" applyAlignment="1" applyProtection="1">
      <alignment horizontal="center"/>
      <protection locked="0"/>
    </xf>
    <xf numFmtId="0" fontId="60" fillId="30" borderId="20" xfId="259" applyFont="1" applyFill="1" applyBorder="1" applyAlignment="1" applyProtection="1">
      <alignment horizontal="center"/>
      <protection locked="0"/>
    </xf>
    <xf numFmtId="0" fontId="60" fillId="30" borderId="37" xfId="259" applyFont="1" applyFill="1" applyBorder="1" applyAlignment="1" applyProtection="1">
      <alignment horizontal="center"/>
      <protection locked="0"/>
    </xf>
    <xf numFmtId="0" fontId="10" fillId="0" borderId="158" xfId="22" applyBorder="1" applyAlignment="1" applyProtection="1">
      <alignment horizontal="center" vertical="center"/>
    </xf>
    <xf numFmtId="0" fontId="57" fillId="0" borderId="50" xfId="232" applyFont="1" applyBorder="1" applyAlignment="1">
      <alignment horizontal="center" vertical="center"/>
    </xf>
    <xf numFmtId="0" fontId="57" fillId="0" borderId="159" xfId="232" applyFont="1" applyBorder="1" applyAlignment="1">
      <alignment horizontal="center" vertical="center"/>
    </xf>
    <xf numFmtId="0" fontId="57" fillId="0" borderId="160" xfId="232" applyFont="1" applyBorder="1" applyAlignment="1">
      <alignment horizontal="center" vertical="center"/>
    </xf>
    <xf numFmtId="0" fontId="57" fillId="0" borderId="44" xfId="232" applyFont="1" applyBorder="1" applyAlignment="1">
      <alignment horizontal="center" vertical="center"/>
    </xf>
    <xf numFmtId="0" fontId="57" fillId="0" borderId="121" xfId="232" applyFont="1" applyBorder="1" applyAlignment="1">
      <alignment horizontal="center" vertical="center"/>
    </xf>
    <xf numFmtId="4" fontId="3" fillId="30" borderId="18" xfId="232" applyNumberFormat="1" applyFont="1" applyFill="1" applyBorder="1" applyAlignment="1" applyProtection="1">
      <alignment horizontal="center" vertical="center"/>
    </xf>
    <xf numFmtId="0" fontId="3" fillId="30" borderId="20" xfId="232" applyFont="1" applyFill="1" applyBorder="1" applyAlignment="1" applyProtection="1">
      <alignment horizontal="center" vertical="center"/>
    </xf>
    <xf numFmtId="0" fontId="3" fillId="30" borderId="37" xfId="232" applyFont="1" applyFill="1" applyBorder="1" applyAlignment="1" applyProtection="1">
      <alignment horizontal="center" vertical="center"/>
    </xf>
    <xf numFmtId="4" fontId="3" fillId="30" borderId="15" xfId="232" applyNumberFormat="1" applyFont="1" applyFill="1" applyBorder="1" applyAlignment="1" applyProtection="1">
      <alignment horizontal="center" vertical="center"/>
    </xf>
    <xf numFmtId="0" fontId="3" fillId="30" borderId="16" xfId="232" applyFont="1" applyFill="1" applyBorder="1" applyAlignment="1" applyProtection="1">
      <alignment horizontal="center" vertical="center"/>
    </xf>
    <xf numFmtId="0" fontId="3" fillId="30" borderId="17"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xf>
    <xf numFmtId="0" fontId="3" fillId="30" borderId="52" xfId="232" applyFont="1" applyFill="1" applyBorder="1" applyAlignment="1" applyProtection="1">
      <alignment horizontal="center" vertical="center"/>
    </xf>
    <xf numFmtId="0" fontId="3" fillId="30" borderId="0" xfId="232" applyFont="1" applyFill="1" applyBorder="1" applyAlignment="1" applyProtection="1">
      <alignment horizontal="center" vertical="center"/>
    </xf>
    <xf numFmtId="0" fontId="3" fillId="30" borderId="0" xfId="232" applyFont="1" applyFill="1" applyBorder="1" applyAlignment="1" applyProtection="1">
      <alignment horizontal="center"/>
    </xf>
    <xf numFmtId="0" fontId="3" fillId="30" borderId="18" xfId="0" applyFont="1" applyFill="1" applyBorder="1" applyAlignment="1" applyProtection="1">
      <alignment horizontal="center" vertical="center" wrapText="1"/>
    </xf>
    <xf numFmtId="0" fontId="3" fillId="30" borderId="20" xfId="0" applyFont="1" applyFill="1" applyBorder="1" applyAlignment="1" applyProtection="1">
      <alignment horizontal="center" vertical="center" wrapText="1"/>
    </xf>
    <xf numFmtId="0" fontId="3" fillId="30" borderId="37" xfId="0" applyFont="1" applyFill="1" applyBorder="1" applyAlignment="1" applyProtection="1">
      <alignment horizontal="center" vertical="center" wrapText="1"/>
    </xf>
    <xf numFmtId="0" fontId="39" fillId="30" borderId="15" xfId="232" applyFont="1" applyFill="1" applyBorder="1" applyAlignment="1" applyProtection="1">
      <alignment horizontal="center" vertical="center"/>
    </xf>
    <xf numFmtId="0" fontId="39" fillId="30" borderId="16" xfId="232" applyFont="1" applyFill="1" applyBorder="1" applyAlignment="1" applyProtection="1">
      <alignment horizontal="center" vertical="center"/>
    </xf>
    <xf numFmtId="0" fontId="39" fillId="30" borderId="17" xfId="232" applyFont="1" applyFill="1" applyBorder="1" applyAlignment="1" applyProtection="1">
      <alignment horizontal="center" vertical="center"/>
    </xf>
    <xf numFmtId="4" fontId="3" fillId="30" borderId="16" xfId="232" applyNumberFormat="1" applyFont="1" applyFill="1" applyBorder="1" applyAlignment="1" applyProtection="1">
      <alignment horizontal="center" vertical="center"/>
    </xf>
    <xf numFmtId="4" fontId="3" fillId="30" borderId="87" xfId="232" applyNumberFormat="1" applyFont="1" applyFill="1" applyBorder="1" applyAlignment="1" applyProtection="1">
      <alignment horizontal="center" vertical="center" wrapText="1"/>
    </xf>
    <xf numFmtId="0" fontId="3" fillId="30" borderId="27" xfId="232" applyFont="1" applyFill="1" applyBorder="1" applyAlignment="1" applyProtection="1">
      <alignment horizontal="center" vertical="center" wrapText="1"/>
    </xf>
    <xf numFmtId="0" fontId="3" fillId="30" borderId="101" xfId="232" applyFont="1" applyFill="1" applyBorder="1" applyAlignment="1" applyProtection="1">
      <alignment horizontal="center" vertical="center" wrapText="1"/>
    </xf>
    <xf numFmtId="4" fontId="3" fillId="30" borderId="20" xfId="232" applyNumberFormat="1" applyFont="1" applyFill="1" applyBorder="1" applyAlignment="1" applyProtection="1">
      <alignment horizontal="center" vertical="center"/>
    </xf>
    <xf numFmtId="4" fontId="3" fillId="30" borderId="37" xfId="232" applyNumberFormat="1" applyFont="1" applyFill="1" applyBorder="1" applyAlignment="1" applyProtection="1">
      <alignment horizontal="center" vertical="center"/>
    </xf>
    <xf numFmtId="0" fontId="35" fillId="30" borderId="18" xfId="259" applyFont="1" applyFill="1" applyBorder="1" applyAlignment="1" applyProtection="1">
      <alignment horizontal="center" vertical="center" wrapText="1"/>
    </xf>
    <xf numFmtId="0" fontId="35" fillId="30" borderId="20" xfId="259" applyFont="1" applyFill="1" applyBorder="1" applyAlignment="1" applyProtection="1">
      <alignment horizontal="center" vertical="center" wrapText="1"/>
    </xf>
    <xf numFmtId="0" fontId="35" fillId="30" borderId="37" xfId="259" applyFont="1" applyFill="1" applyBorder="1" applyAlignment="1" applyProtection="1">
      <alignment horizontal="center" vertical="center" wrapText="1"/>
    </xf>
    <xf numFmtId="0" fontId="3" fillId="30" borderId="15" xfId="232" applyFont="1" applyFill="1" applyBorder="1" applyAlignment="1" applyProtection="1">
      <alignment horizontal="center" vertical="center"/>
    </xf>
    <xf numFmtId="0" fontId="3" fillId="30" borderId="18" xfId="232" applyFont="1" applyFill="1" applyBorder="1" applyAlignment="1" applyProtection="1">
      <alignment horizontal="center" vertical="center"/>
    </xf>
    <xf numFmtId="0" fontId="3" fillId="30" borderId="53" xfId="232" applyFont="1" applyFill="1" applyBorder="1" applyAlignment="1" applyProtection="1">
      <alignment horizontal="center" vertical="center" wrapText="1"/>
    </xf>
    <xf numFmtId="0" fontId="3" fillId="30" borderId="52" xfId="232" applyFont="1" applyFill="1" applyBorder="1" applyAlignment="1" applyProtection="1">
      <alignment horizontal="center" vertical="center" wrapText="1"/>
    </xf>
    <xf numFmtId="0" fontId="42" fillId="30" borderId="0" xfId="259" applyFont="1" applyFill="1" applyAlignment="1" applyProtection="1">
      <alignment horizontal="left" vertical="top" wrapText="1"/>
    </xf>
    <xf numFmtId="0" fontId="3" fillId="30" borderId="24" xfId="254" applyFont="1" applyFill="1" applyBorder="1" applyAlignment="1" applyProtection="1">
      <alignment horizontal="left" wrapText="1"/>
      <protection locked="0"/>
    </xf>
    <xf numFmtId="0" fontId="3" fillId="30" borderId="25" xfId="254" applyFont="1" applyFill="1" applyBorder="1" applyAlignment="1" applyProtection="1">
      <alignment horizontal="left" wrapText="1"/>
      <protection locked="0"/>
    </xf>
    <xf numFmtId="0" fontId="3" fillId="30" borderId="53" xfId="254" applyFont="1" applyFill="1" applyBorder="1" applyAlignment="1" applyProtection="1">
      <alignment horizontal="center" vertical="center"/>
      <protection locked="0"/>
    </xf>
    <xf numFmtId="0" fontId="3" fillId="30" borderId="38" xfId="254" applyFont="1" applyFill="1" applyBorder="1" applyAlignment="1" applyProtection="1">
      <alignment horizontal="center" vertical="center"/>
      <protection locked="0"/>
    </xf>
    <xf numFmtId="0" fontId="3" fillId="30" borderId="15" xfId="254" applyFont="1" applyFill="1" applyBorder="1" applyAlignment="1" applyProtection="1">
      <alignment horizontal="center" vertical="center"/>
      <protection locked="0"/>
    </xf>
    <xf numFmtId="0" fontId="3" fillId="30" borderId="17" xfId="254" applyFont="1" applyFill="1" applyBorder="1" applyAlignment="1" applyProtection="1">
      <alignment horizontal="center" vertical="center"/>
      <protection locked="0"/>
    </xf>
    <xf numFmtId="0" fontId="3" fillId="30" borderId="14" xfId="254" applyFont="1" applyFill="1" applyBorder="1" applyAlignment="1" applyProtection="1">
      <alignment horizontal="center" vertical="center"/>
      <protection locked="0"/>
    </xf>
    <xf numFmtId="0" fontId="3" fillId="30" borderId="22" xfId="254" applyFont="1" applyFill="1" applyBorder="1" applyAlignment="1" applyProtection="1">
      <alignment horizontal="center" vertical="center"/>
      <protection locked="0"/>
    </xf>
    <xf numFmtId="0" fontId="3" fillId="30" borderId="40" xfId="254" applyFont="1" applyFill="1" applyBorder="1" applyAlignment="1" applyProtection="1">
      <alignment horizontal="center" vertical="center"/>
      <protection locked="0"/>
    </xf>
    <xf numFmtId="0" fontId="3" fillId="30" borderId="42" xfId="254" applyFont="1" applyFill="1" applyBorder="1" applyAlignment="1" applyProtection="1">
      <alignment horizontal="center" vertical="center"/>
      <protection locked="0"/>
    </xf>
    <xf numFmtId="0" fontId="3" fillId="30" borderId="18" xfId="0" applyFont="1" applyFill="1" applyBorder="1" applyAlignment="1" applyProtection="1">
      <alignment horizontal="center"/>
    </xf>
    <xf numFmtId="0" fontId="3" fillId="30" borderId="20" xfId="0" applyFont="1" applyFill="1" applyBorder="1" applyAlignment="1" applyProtection="1">
      <alignment horizontal="center"/>
    </xf>
    <xf numFmtId="0" fontId="3" fillId="30" borderId="37" xfId="0" applyFont="1" applyFill="1" applyBorder="1" applyAlignment="1" applyProtection="1">
      <alignment horizontal="center"/>
    </xf>
    <xf numFmtId="0" fontId="39" fillId="30" borderId="15" xfId="232" applyFont="1" applyFill="1" applyBorder="1" applyAlignment="1" applyProtection="1">
      <alignment horizontal="center"/>
    </xf>
    <xf numFmtId="0" fontId="39" fillId="30" borderId="16" xfId="232" applyFont="1" applyFill="1" applyBorder="1" applyAlignment="1" applyProtection="1">
      <alignment horizontal="center"/>
    </xf>
    <xf numFmtId="0" fontId="39" fillId="30" borderId="17" xfId="232" applyFont="1" applyFill="1" applyBorder="1" applyAlignment="1" applyProtection="1">
      <alignment horizontal="center"/>
    </xf>
    <xf numFmtId="0" fontId="37" fillId="30" borderId="15" xfId="225" applyFont="1" applyFill="1" applyBorder="1" applyAlignment="1" applyProtection="1">
      <alignment horizontal="center" vertical="center"/>
    </xf>
    <xf numFmtId="0" fontId="37" fillId="30" borderId="16" xfId="225" applyFont="1" applyFill="1" applyBorder="1" applyAlignment="1" applyProtection="1">
      <alignment horizontal="center" vertical="center"/>
    </xf>
    <xf numFmtId="0" fontId="37" fillId="30" borderId="17" xfId="225" applyFont="1" applyFill="1" applyBorder="1" applyAlignment="1" applyProtection="1">
      <alignment horizontal="center" vertical="center"/>
    </xf>
    <xf numFmtId="0" fontId="37" fillId="30" borderId="14" xfId="225" applyFont="1" applyFill="1" applyBorder="1" applyAlignment="1" applyProtection="1">
      <alignment horizontal="center" vertical="center"/>
    </xf>
    <xf numFmtId="0" fontId="37" fillId="30" borderId="0" xfId="225" applyFont="1" applyFill="1" applyBorder="1" applyAlignment="1" applyProtection="1">
      <alignment horizontal="center" vertical="center"/>
    </xf>
    <xf numFmtId="0" fontId="37" fillId="30" borderId="22" xfId="225" applyFont="1" applyFill="1" applyBorder="1" applyAlignment="1" applyProtection="1">
      <alignment horizontal="center" vertical="center"/>
    </xf>
    <xf numFmtId="0" fontId="37" fillId="30" borderId="40" xfId="225" applyFont="1" applyFill="1" applyBorder="1" applyAlignment="1" applyProtection="1">
      <alignment horizontal="center" vertical="center"/>
    </xf>
    <xf numFmtId="0" fontId="37" fillId="30" borderId="41" xfId="225" applyFont="1" applyFill="1" applyBorder="1" applyAlignment="1" applyProtection="1">
      <alignment horizontal="center" vertical="center"/>
    </xf>
    <xf numFmtId="0" fontId="37" fillId="30" borderId="42" xfId="225" applyFont="1" applyFill="1" applyBorder="1" applyAlignment="1" applyProtection="1">
      <alignment horizontal="center" vertical="center"/>
    </xf>
    <xf numFmtId="0" fontId="48" fillId="36" borderId="18" xfId="225" applyFont="1" applyFill="1" applyBorder="1" applyAlignment="1" applyProtection="1">
      <alignment horizontal="center" vertical="center" wrapText="1"/>
    </xf>
    <xf numFmtId="0" fontId="48" fillId="36" borderId="37" xfId="225" applyFont="1" applyFill="1" applyBorder="1" applyAlignment="1" applyProtection="1">
      <alignment horizontal="center" vertical="center" wrapText="1"/>
    </xf>
    <xf numFmtId="0" fontId="3" fillId="30" borderId="18" xfId="225" applyFont="1" applyFill="1" applyBorder="1" applyAlignment="1" applyProtection="1">
      <alignment horizontal="center" vertical="center"/>
    </xf>
    <xf numFmtId="0" fontId="3" fillId="30" borderId="20" xfId="225" applyFont="1" applyFill="1" applyBorder="1" applyAlignment="1" applyProtection="1">
      <alignment horizontal="center" vertical="center"/>
    </xf>
    <xf numFmtId="0" fontId="3" fillId="30" borderId="37" xfId="225" applyFont="1" applyFill="1" applyBorder="1" applyAlignment="1" applyProtection="1">
      <alignment horizontal="center" vertical="center"/>
    </xf>
    <xf numFmtId="0" fontId="3" fillId="30" borderId="15" xfId="225" applyFont="1" applyFill="1" applyBorder="1" applyAlignment="1" applyProtection="1">
      <alignment horizontal="center" vertical="center"/>
    </xf>
    <xf numFmtId="0" fontId="3" fillId="30" borderId="16" xfId="225" applyFont="1" applyFill="1" applyBorder="1" applyAlignment="1" applyProtection="1">
      <alignment horizontal="center" vertical="center"/>
    </xf>
    <xf numFmtId="0" fontId="3" fillId="30" borderId="17" xfId="225" applyFont="1" applyFill="1" applyBorder="1" applyAlignment="1" applyProtection="1">
      <alignment horizontal="center" vertical="center"/>
    </xf>
    <xf numFmtId="0" fontId="3" fillId="30" borderId="40" xfId="225" applyFont="1" applyFill="1" applyBorder="1" applyAlignment="1" applyProtection="1">
      <alignment horizontal="center" vertical="center"/>
    </xf>
    <xf numFmtId="0" fontId="3" fillId="30" borderId="41" xfId="225" applyFont="1" applyFill="1" applyBorder="1" applyAlignment="1" applyProtection="1">
      <alignment horizontal="center" vertical="center"/>
    </xf>
    <xf numFmtId="0" fontId="3" fillId="30" borderId="42" xfId="225" applyFont="1" applyFill="1" applyBorder="1" applyAlignment="1" applyProtection="1">
      <alignment horizontal="center" vertical="center"/>
    </xf>
    <xf numFmtId="4" fontId="2" fillId="34" borderId="23" xfId="265" applyNumberFormat="1" applyFont="1" applyFill="1" applyBorder="1" applyAlignment="1" applyProtection="1">
      <alignment horizontal="center"/>
      <protection locked="0"/>
    </xf>
    <xf numFmtId="4" fontId="2" fillId="34" borderId="24" xfId="265" applyNumberFormat="1" applyFont="1" applyFill="1" applyBorder="1" applyAlignment="1" applyProtection="1">
      <alignment horizontal="center"/>
      <protection locked="0"/>
    </xf>
    <xf numFmtId="4" fontId="2" fillId="34" borderId="25" xfId="265" applyNumberFormat="1" applyFont="1" applyFill="1" applyBorder="1" applyAlignment="1" applyProtection="1">
      <alignment horizontal="center"/>
      <protection locked="0"/>
    </xf>
    <xf numFmtId="0" fontId="3" fillId="30" borderId="0" xfId="270" applyFont="1" applyFill="1" applyBorder="1" applyAlignment="1">
      <alignment horizontal="left" vertical="top" wrapText="1"/>
    </xf>
    <xf numFmtId="0" fontId="3" fillId="30" borderId="14" xfId="225" applyFont="1" applyFill="1" applyBorder="1" applyAlignment="1" applyProtection="1">
      <alignment horizontal="center" vertical="center"/>
      <protection locked="0"/>
    </xf>
    <xf numFmtId="0" fontId="3" fillId="30" borderId="0" xfId="225" applyFont="1" applyFill="1" applyBorder="1" applyAlignment="1" applyProtection="1">
      <alignment horizontal="center" vertical="center"/>
      <protection locked="0"/>
    </xf>
    <xf numFmtId="0" fontId="3" fillId="30" borderId="22" xfId="225" applyFont="1" applyFill="1" applyBorder="1" applyAlignment="1" applyProtection="1">
      <alignment horizontal="center" vertical="center"/>
      <protection locked="0"/>
    </xf>
    <xf numFmtId="0" fontId="37" fillId="30" borderId="15" xfId="225" applyFont="1" applyFill="1" applyBorder="1" applyAlignment="1" applyProtection="1">
      <alignment horizontal="center" vertical="center"/>
      <protection locked="0"/>
    </xf>
    <xf numFmtId="0" fontId="37" fillId="30" borderId="16" xfId="225" applyFont="1" applyFill="1" applyBorder="1" applyAlignment="1" applyProtection="1">
      <alignment horizontal="center" vertical="center"/>
      <protection locked="0"/>
    </xf>
    <xf numFmtId="0" fontId="37" fillId="30" borderId="17" xfId="225" applyFont="1" applyFill="1" applyBorder="1" applyAlignment="1" applyProtection="1">
      <alignment horizontal="center" vertical="center"/>
      <protection locked="0"/>
    </xf>
    <xf numFmtId="0" fontId="37" fillId="30" borderId="14" xfId="225" applyFont="1" applyFill="1" applyBorder="1" applyAlignment="1" applyProtection="1">
      <alignment horizontal="center" vertical="center"/>
      <protection locked="0"/>
    </xf>
    <xf numFmtId="0" fontId="37" fillId="30" borderId="0" xfId="225" applyFont="1" applyFill="1" applyBorder="1" applyAlignment="1" applyProtection="1">
      <alignment horizontal="center" vertical="center"/>
      <protection locked="0"/>
    </xf>
    <xf numFmtId="0" fontId="37" fillId="30" borderId="22" xfId="225" applyFont="1" applyFill="1" applyBorder="1" applyAlignment="1" applyProtection="1">
      <alignment horizontal="center" vertical="center"/>
      <protection locked="0"/>
    </xf>
    <xf numFmtId="0" fontId="3" fillId="30" borderId="15" xfId="225" applyFont="1" applyFill="1" applyBorder="1" applyAlignment="1" applyProtection="1">
      <alignment horizontal="center" vertical="center"/>
      <protection locked="0"/>
    </xf>
    <xf numFmtId="0" fontId="3" fillId="30" borderId="16" xfId="225" applyFont="1" applyFill="1" applyBorder="1" applyAlignment="1" applyProtection="1">
      <alignment horizontal="center" vertical="center"/>
      <protection locked="0"/>
    </xf>
    <xf numFmtId="0" fontId="3" fillId="30" borderId="40" xfId="225" applyFont="1" applyFill="1" applyBorder="1" applyAlignment="1" applyProtection="1">
      <alignment horizontal="center" vertical="center"/>
      <protection locked="0"/>
    </xf>
    <xf numFmtId="0" fontId="3" fillId="30" borderId="41" xfId="225" applyFont="1" applyFill="1" applyBorder="1" applyAlignment="1" applyProtection="1">
      <alignment horizontal="center" vertical="center"/>
      <protection locked="0"/>
    </xf>
    <xf numFmtId="0" fontId="3" fillId="30" borderId="17" xfId="225" applyFont="1" applyFill="1" applyBorder="1" applyAlignment="1" applyProtection="1">
      <alignment horizontal="center" vertical="center"/>
      <protection locked="0"/>
    </xf>
    <xf numFmtId="0" fontId="3" fillId="30" borderId="18" xfId="232" applyFont="1" applyFill="1" applyBorder="1" applyAlignment="1" applyProtection="1">
      <alignment horizontal="center"/>
    </xf>
    <xf numFmtId="0" fontId="3" fillId="30" borderId="20" xfId="232" applyFont="1" applyFill="1" applyBorder="1" applyAlignment="1" applyProtection="1">
      <alignment horizontal="center"/>
    </xf>
    <xf numFmtId="0" fontId="3" fillId="30" borderId="37" xfId="232" applyFont="1" applyFill="1" applyBorder="1" applyAlignment="1" applyProtection="1">
      <alignment horizontal="center"/>
    </xf>
    <xf numFmtId="0" fontId="39" fillId="30" borderId="53" xfId="152" applyFont="1" applyFill="1" applyBorder="1" applyAlignment="1" applyProtection="1">
      <alignment horizontal="center" vertical="center" wrapText="1"/>
    </xf>
    <xf numFmtId="0" fontId="39" fillId="30" borderId="45" xfId="152" applyFont="1" applyFill="1" applyBorder="1" applyAlignment="1" applyProtection="1">
      <alignment horizontal="center" vertical="center" wrapText="1"/>
    </xf>
    <xf numFmtId="0" fontId="39" fillId="30" borderId="18" xfId="152" applyFont="1" applyFill="1" applyBorder="1" applyAlignment="1" applyProtection="1">
      <alignment horizontal="center" vertical="center"/>
    </xf>
    <xf numFmtId="0" fontId="39" fillId="30" borderId="20" xfId="152" applyFont="1" applyFill="1" applyBorder="1" applyAlignment="1" applyProtection="1">
      <alignment horizontal="center" vertical="center"/>
    </xf>
    <xf numFmtId="0" fontId="39" fillId="30" borderId="37" xfId="152" applyFont="1" applyFill="1" applyBorder="1" applyAlignment="1" applyProtection="1">
      <alignment horizontal="center" vertical="center"/>
    </xf>
    <xf numFmtId="0" fontId="39" fillId="30" borderId="16" xfId="152" applyFont="1" applyFill="1" applyBorder="1" applyAlignment="1" applyProtection="1">
      <alignment horizontal="center" vertical="center"/>
    </xf>
    <xf numFmtId="0" fontId="39" fillId="30" borderId="17" xfId="152" applyFont="1" applyFill="1" applyBorder="1" applyAlignment="1" applyProtection="1">
      <alignment horizontal="center" vertical="center"/>
    </xf>
    <xf numFmtId="0" fontId="39" fillId="30" borderId="18" xfId="152" applyFont="1" applyFill="1" applyBorder="1" applyAlignment="1" applyProtection="1">
      <alignment horizontal="center" vertical="center" wrapText="1"/>
    </xf>
    <xf numFmtId="0" fontId="39" fillId="30" borderId="20" xfId="152" applyFont="1" applyFill="1" applyBorder="1" applyAlignment="1" applyProtection="1">
      <alignment horizontal="center" vertical="center" wrapText="1"/>
    </xf>
    <xf numFmtId="0" fontId="39" fillId="30" borderId="37" xfId="152" applyFont="1" applyFill="1" applyBorder="1" applyAlignment="1" applyProtection="1">
      <alignment horizontal="center" vertical="center" wrapText="1"/>
    </xf>
    <xf numFmtId="0" fontId="39" fillId="30" borderId="109" xfId="152" applyFont="1" applyFill="1" applyBorder="1" applyAlignment="1" applyProtection="1">
      <alignment horizontal="center" vertical="center" wrapText="1"/>
    </xf>
    <xf numFmtId="0" fontId="39" fillId="30" borderId="156" xfId="152" applyFont="1" applyFill="1" applyBorder="1" applyAlignment="1" applyProtection="1">
      <alignment horizontal="center" vertical="center" wrapText="1"/>
    </xf>
    <xf numFmtId="0" fontId="39" fillId="30" borderId="110" xfId="152" applyFont="1" applyFill="1" applyBorder="1" applyAlignment="1" applyProtection="1">
      <alignment horizontal="center" vertical="center"/>
    </xf>
    <xf numFmtId="0" fontId="39" fillId="30" borderId="122" xfId="152" applyFont="1" applyFill="1" applyBorder="1" applyAlignment="1" applyProtection="1">
      <alignment horizontal="center" vertical="center"/>
    </xf>
    <xf numFmtId="0" fontId="39" fillId="30" borderId="87" xfId="152" applyFont="1" applyFill="1" applyBorder="1" applyAlignment="1" applyProtection="1">
      <alignment horizontal="center" vertical="center"/>
    </xf>
    <xf numFmtId="0" fontId="39" fillId="30" borderId="27" xfId="152" applyFont="1" applyFill="1" applyBorder="1" applyAlignment="1" applyProtection="1">
      <alignment horizontal="center" vertical="center"/>
    </xf>
    <xf numFmtId="0" fontId="39" fillId="30" borderId="157" xfId="152" applyFont="1" applyFill="1" applyBorder="1" applyAlignment="1" applyProtection="1">
      <alignment horizontal="center" vertical="center"/>
    </xf>
    <xf numFmtId="0" fontId="39" fillId="30" borderId="116" xfId="152" applyFont="1" applyFill="1" applyBorder="1" applyAlignment="1" applyProtection="1">
      <alignment horizontal="center" vertical="center"/>
    </xf>
    <xf numFmtId="0" fontId="39" fillId="30" borderId="118" xfId="152" applyFont="1" applyFill="1" applyBorder="1" applyAlignment="1" applyProtection="1">
      <alignment horizontal="center" vertical="center"/>
    </xf>
    <xf numFmtId="0" fontId="58" fillId="30" borderId="14" xfId="152" applyFont="1" applyFill="1" applyBorder="1" applyAlignment="1" applyProtection="1">
      <alignment horizontal="left" vertical="center"/>
    </xf>
    <xf numFmtId="0" fontId="58" fillId="30" borderId="22" xfId="152" applyFont="1" applyFill="1" applyBorder="1" applyAlignment="1" applyProtection="1">
      <alignment horizontal="left" vertical="center"/>
    </xf>
    <xf numFmtId="0" fontId="39" fillId="30" borderId="117" xfId="152" applyFont="1" applyFill="1" applyBorder="1" applyAlignment="1" applyProtection="1">
      <alignment horizontal="center" vertical="center" wrapText="1"/>
    </xf>
    <xf numFmtId="0" fontId="39" fillId="30" borderId="119" xfId="152" applyFont="1" applyFill="1" applyBorder="1" applyAlignment="1" applyProtection="1">
      <alignment horizontal="center" vertical="center" wrapText="1"/>
    </xf>
    <xf numFmtId="0" fontId="39" fillId="30" borderId="120" xfId="152" applyFont="1" applyFill="1" applyBorder="1" applyAlignment="1" applyProtection="1">
      <alignment horizontal="center" vertical="center"/>
    </xf>
  </cellXfs>
  <cellStyles count="273">
    <cellStyle name="_x000d__x000a_JournalTemplate=C:\COMFO\CTALK\JOURSTD.TPL_x000d__x000a_LbStateAddress=3 3 0 251 1 89 2 311_x000d__x000a_LbStateJou" xfId="1"/>
    <cellStyle name="Bad" xfId="2"/>
    <cellStyle name="Calculation" xfId="3"/>
    <cellStyle name="Check Cell" xfId="4"/>
    <cellStyle name="Comma" xfId="5"/>
    <cellStyle name="Comma 2" xfId="6"/>
    <cellStyle name="Comma0" xfId="7"/>
    <cellStyle name="Currency" xfId="8"/>
    <cellStyle name="Currency0" xfId="9"/>
    <cellStyle name="Date" xfId="10"/>
    <cellStyle name="E&amp;Y House" xfId="11"/>
    <cellStyle name="Euro" xfId="12"/>
    <cellStyle name="Explanatory Text" xfId="13"/>
    <cellStyle name="Fixed" xfId="14"/>
    <cellStyle name="Good" xfId="15"/>
    <cellStyle name="Heading 1" xfId="16"/>
    <cellStyle name="Heading 2" xfId="17"/>
    <cellStyle name="Heading 3" xfId="18"/>
    <cellStyle name="Heading 4" xfId="19"/>
    <cellStyle name="Heading1" xfId="20"/>
    <cellStyle name="Heading2" xfId="21"/>
    <cellStyle name="Hyperlink" xfId="22" builtinId="8"/>
    <cellStyle name="Hyperlink 2" xfId="268"/>
    <cellStyle name="Input" xfId="23"/>
    <cellStyle name="Komma 10" xfId="24"/>
    <cellStyle name="Komma 11" xfId="25"/>
    <cellStyle name="Komma 12" xfId="26"/>
    <cellStyle name="Komma 13" xfId="27"/>
    <cellStyle name="Komma 2" xfId="28"/>
    <cellStyle name="Komma 2 2" xfId="29"/>
    <cellStyle name="Komma 2 2 2" xfId="30"/>
    <cellStyle name="Komma 2 3" xfId="31"/>
    <cellStyle name="Komma 2 4" xfId="32"/>
    <cellStyle name="Komma 2 5" xfId="33"/>
    <cellStyle name="Komma 2 6" xfId="34"/>
    <cellStyle name="Komma 2 7" xfId="35"/>
    <cellStyle name="Komma 2_Tabel 7" xfId="36"/>
    <cellStyle name="Komma 3" xfId="37"/>
    <cellStyle name="Komma 3 2" xfId="38"/>
    <cellStyle name="Komma 3 3" xfId="39"/>
    <cellStyle name="Komma 4" xfId="40"/>
    <cellStyle name="Komma 4 2" xfId="41"/>
    <cellStyle name="Komma 4 3" xfId="42"/>
    <cellStyle name="Komma 4 4" xfId="43"/>
    <cellStyle name="Komma 4 5" xfId="269"/>
    <cellStyle name="Komma 5" xfId="44"/>
    <cellStyle name="Komma 5 2" xfId="45"/>
    <cellStyle name="Komma 6" xfId="46"/>
    <cellStyle name="Komma 6 2" xfId="47"/>
    <cellStyle name="Komma 7" xfId="48"/>
    <cellStyle name="Komma 7 2" xfId="49"/>
    <cellStyle name="Komma 8" xfId="50"/>
    <cellStyle name="Komma 9" xfId="51"/>
    <cellStyle name="Linked Cell" xfId="52"/>
    <cellStyle name="Milliers 2" xfId="53"/>
    <cellStyle name="Milliers 5" xfId="54"/>
    <cellStyle name="Milliers 8" xfId="55"/>
    <cellStyle name="Neutral" xfId="56"/>
    <cellStyle name="Normal 10" xfId="57"/>
    <cellStyle name="Normal 13" xfId="58"/>
    <cellStyle name="Normal 14" xfId="59"/>
    <cellStyle name="Normal 15" xfId="60"/>
    <cellStyle name="Normal 16" xfId="61"/>
    <cellStyle name="Normal 17" xfId="62"/>
    <cellStyle name="Normal 18" xfId="63"/>
    <cellStyle name="Normal 19" xfId="64"/>
    <cellStyle name="Normal 2" xfId="65"/>
    <cellStyle name="Normal 2 11" xfId="66"/>
    <cellStyle name="Normal 2 12" xfId="67"/>
    <cellStyle name="Normal 2 13" xfId="68"/>
    <cellStyle name="Normal 2 2" xfId="69"/>
    <cellStyle name="Normal 2 2 2" xfId="70"/>
    <cellStyle name="Normal 20" xfId="71"/>
    <cellStyle name="Normal 21" xfId="72"/>
    <cellStyle name="Normal 22" xfId="73"/>
    <cellStyle name="Normal 23" xfId="74"/>
    <cellStyle name="Normal 24" xfId="75"/>
    <cellStyle name="Normal 25" xfId="76"/>
    <cellStyle name="Normal 26" xfId="77"/>
    <cellStyle name="Normal 27" xfId="78"/>
    <cellStyle name="Normal 28" xfId="79"/>
    <cellStyle name="Normal 29" xfId="80"/>
    <cellStyle name="Normal 3" xfId="81"/>
    <cellStyle name="Normal 3 2" xfId="82"/>
    <cellStyle name="Normal 3 3" xfId="83"/>
    <cellStyle name="Normal 30" xfId="84"/>
    <cellStyle name="Normal 31" xfId="85"/>
    <cellStyle name="Normal 32" xfId="86"/>
    <cellStyle name="Normal 33" xfId="87"/>
    <cellStyle name="Normal 34" xfId="88"/>
    <cellStyle name="Normal 35" xfId="89"/>
    <cellStyle name="Normal 36" xfId="90"/>
    <cellStyle name="Normal 37" xfId="91"/>
    <cellStyle name="Normal 38" xfId="92"/>
    <cellStyle name="Normal 39" xfId="93"/>
    <cellStyle name="Normal 4" xfId="94"/>
    <cellStyle name="Normal 40" xfId="95"/>
    <cellStyle name="Normal 41" xfId="96"/>
    <cellStyle name="Normal 42" xfId="97"/>
    <cellStyle name="Normal 43" xfId="98"/>
    <cellStyle name="Normal 44" xfId="99"/>
    <cellStyle name="Normal 45" xfId="100"/>
    <cellStyle name="Normal 46" xfId="101"/>
    <cellStyle name="Normal 47" xfId="102"/>
    <cellStyle name="Normal 48" xfId="103"/>
    <cellStyle name="Normal 49" xfId="104"/>
    <cellStyle name="Normal 50" xfId="105"/>
    <cellStyle name="Normal 51" xfId="106"/>
    <cellStyle name="Normal 52" xfId="107"/>
    <cellStyle name="Normal 53" xfId="108"/>
    <cellStyle name="Normal 54" xfId="109"/>
    <cellStyle name="Normal 56" xfId="110"/>
    <cellStyle name="Normal 57" xfId="111"/>
    <cellStyle name="Normal 58" xfId="112"/>
    <cellStyle name="Normal 59" xfId="113"/>
    <cellStyle name="Normal 60" xfId="114"/>
    <cellStyle name="Normal 61" xfId="115"/>
    <cellStyle name="Normal 62" xfId="116"/>
    <cellStyle name="Normal 63" xfId="117"/>
    <cellStyle name="Normal 64" xfId="118"/>
    <cellStyle name="Normal 65" xfId="119"/>
    <cellStyle name="Normal 66" xfId="120"/>
    <cellStyle name="Normal 67" xfId="121"/>
    <cellStyle name="Normal 68" xfId="122"/>
    <cellStyle name="Normal 69"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79" xfId="133"/>
    <cellStyle name="Normal 80" xfId="134"/>
    <cellStyle name="Normal 81" xfId="135"/>
    <cellStyle name="Normal 82" xfId="136"/>
    <cellStyle name="Normal 83" xfId="137"/>
    <cellStyle name="Normal 84" xfId="138"/>
    <cellStyle name="Normal 85" xfId="139"/>
    <cellStyle name="Normal 86" xfId="140"/>
    <cellStyle name="Normal 87" xfId="141"/>
    <cellStyle name="Normal 88" xfId="142"/>
    <cellStyle name="Normal 89" xfId="143"/>
    <cellStyle name="Normal 9" xfId="144"/>
    <cellStyle name="Normal 90" xfId="145"/>
    <cellStyle name="Normal 91" xfId="146"/>
    <cellStyle name="Normal 92" xfId="147"/>
    <cellStyle name="Normal 93" xfId="148"/>
    <cellStyle name="Normal 94" xfId="149"/>
    <cellStyle name="Normal 95 2" xfId="150"/>
    <cellStyle name="Normal_237 FOUT_FA" xfId="151"/>
    <cellStyle name="Normal_Tableaux CREG Sibelga Gaz 2004" xfId="152"/>
    <cellStyle name="Note" xfId="153"/>
    <cellStyle name="Ongedefinieerd" xfId="154"/>
    <cellStyle name="Output" xfId="155"/>
    <cellStyle name="Percent" xfId="156"/>
    <cellStyle name="Percent 2" xfId="157"/>
    <cellStyle name="Pourcentage 2" xfId="158"/>
    <cellStyle name="Procent" xfId="159" builtinId="5"/>
    <cellStyle name="Procent 2" xfId="160"/>
    <cellStyle name="Procent 2 2" xfId="161"/>
    <cellStyle name="Procent 3" xfId="162"/>
    <cellStyle name="Procent 3 2" xfId="163"/>
    <cellStyle name="Procent 3 3" xfId="164"/>
    <cellStyle name="Procent 3 4" xfId="165"/>
    <cellStyle name="Procent 3 5" xfId="166"/>
    <cellStyle name="Procent 3 6" xfId="167"/>
    <cellStyle name="Procent 4" xfId="168"/>
    <cellStyle name="Procent 4 2" xfId="169"/>
    <cellStyle name="Procent 4 3" xfId="170"/>
    <cellStyle name="Procent 4 4" xfId="171"/>
    <cellStyle name="Procent 4 5" xfId="172"/>
    <cellStyle name="Procent 5" xfId="173"/>
    <cellStyle name="Procent 6" xfId="174"/>
    <cellStyle name="Procent 7" xfId="175"/>
    <cellStyle name="SAPBEXaggData" xfId="176"/>
    <cellStyle name="SAPBEXaggDataEmph" xfId="177"/>
    <cellStyle name="SAPBEXaggItem" xfId="178"/>
    <cellStyle name="SAPBEXaggItemX" xfId="179"/>
    <cellStyle name="SAPBEXchaText" xfId="180"/>
    <cellStyle name="SAPBEXchaText 2" xfId="181"/>
    <cellStyle name="SAPBEXexcBad7" xfId="182"/>
    <cellStyle name="SAPBEXexcBad8" xfId="183"/>
    <cellStyle name="SAPBEXexcBad9" xfId="184"/>
    <cellStyle name="SAPBEXexcCritical4" xfId="185"/>
    <cellStyle name="SAPBEXexcCritical5" xfId="186"/>
    <cellStyle name="SAPBEXexcCritical6" xfId="187"/>
    <cellStyle name="SAPBEXexcGood1" xfId="188"/>
    <cellStyle name="SAPBEXexcGood2" xfId="189"/>
    <cellStyle name="SAPBEXexcGood3" xfId="190"/>
    <cellStyle name="SAPBEXfilterDrill" xfId="191"/>
    <cellStyle name="SAPBEXfilterItem" xfId="192"/>
    <cellStyle name="SAPBEXfilterText" xfId="193"/>
    <cellStyle name="SAPBEXformats" xfId="194"/>
    <cellStyle name="SAPBEXheaderItem" xfId="195"/>
    <cellStyle name="SAPBEXheaderText" xfId="196"/>
    <cellStyle name="SAPBEXHLevel0" xfId="197"/>
    <cellStyle name="SAPBEXHLevel0X" xfId="198"/>
    <cellStyle name="SAPBEXHLevel1" xfId="199"/>
    <cellStyle name="SAPBEXHLevel1X" xfId="200"/>
    <cellStyle name="SAPBEXHLevel2" xfId="201"/>
    <cellStyle name="SAPBEXHLevel2X" xfId="202"/>
    <cellStyle name="SAPBEXHLevel3" xfId="203"/>
    <cellStyle name="SAPBEXHLevel3X" xfId="204"/>
    <cellStyle name="SAPBEXinputData" xfId="205"/>
    <cellStyle name="SAPBEXresData" xfId="206"/>
    <cellStyle name="SAPBEXresDataEmph" xfId="207"/>
    <cellStyle name="SAPBEXresItem" xfId="208"/>
    <cellStyle name="SAPBEXresItemX" xfId="209"/>
    <cellStyle name="SAPBEXstdData" xfId="210"/>
    <cellStyle name="SAPBEXstdDataEmph" xfId="211"/>
    <cellStyle name="SAPBEXstdItem" xfId="212"/>
    <cellStyle name="SAPBEXstdItem 2" xfId="213"/>
    <cellStyle name="SAPBEXstdItemX" xfId="214"/>
    <cellStyle name="SAPBEXtitle" xfId="215"/>
    <cellStyle name="SAPBEXundefined" xfId="216"/>
    <cellStyle name="Sheet Title" xfId="217"/>
    <cellStyle name="Standaard" xfId="0" builtinId="0"/>
    <cellStyle name="Standaard 10" xfId="218"/>
    <cellStyle name="Standaard 11" xfId="219"/>
    <cellStyle name="Standaard 12" xfId="220"/>
    <cellStyle name="Standaard 14" xfId="270"/>
    <cellStyle name="Standaard 2" xfId="221"/>
    <cellStyle name="Standaard 2 2" xfId="222"/>
    <cellStyle name="Standaard 2 2 2" xfId="223"/>
    <cellStyle name="Standaard 2 2 2 2" xfId="224"/>
    <cellStyle name="Standaard 2 3" xfId="225"/>
    <cellStyle name="Standaard 2 4" xfId="226"/>
    <cellStyle name="Standaard 2 5" xfId="227"/>
    <cellStyle name="Standaard 2 6" xfId="228"/>
    <cellStyle name="Standaard 2 7" xfId="229"/>
    <cellStyle name="Standaard 2 8" xfId="230"/>
    <cellStyle name="Standaard 2_B2009_doorvervoer ELEK_MATRIX_versie DEF" xfId="231"/>
    <cellStyle name="Standaard 3" xfId="232"/>
    <cellStyle name="Standaard 3 2" xfId="233"/>
    <cellStyle name="Standaard 3 2 2" xfId="234"/>
    <cellStyle name="Standaard 3 2 3" xfId="235"/>
    <cellStyle name="Standaard 3 3" xfId="236"/>
    <cellStyle name="Standaard 4" xfId="237"/>
    <cellStyle name="Standaard 4 2" xfId="238"/>
    <cellStyle name="Standaard 4 3" xfId="239"/>
    <cellStyle name="Standaard 4 4" xfId="240"/>
    <cellStyle name="Standaard 4 5" xfId="241"/>
    <cellStyle name="Standaard 4 6" xfId="242"/>
    <cellStyle name="Standaard 4 7" xfId="243"/>
    <cellStyle name="Standaard 4_B2009_doorvervoer ELEK_MATRIX_versie DEF" xfId="244"/>
    <cellStyle name="Standaard 5" xfId="245"/>
    <cellStyle name="Standaard 6" xfId="246"/>
    <cellStyle name="Standaard 6 2" xfId="247"/>
    <cellStyle name="Standaard 6 3" xfId="248"/>
    <cellStyle name="Standaard 6 4" xfId="249"/>
    <cellStyle name="Standaard 6 5" xfId="250"/>
    <cellStyle name="Standaard 6 6" xfId="251"/>
    <cellStyle name="Standaard 7" xfId="252"/>
    <cellStyle name="Standaard 7 2" xfId="253"/>
    <cellStyle name="Standaard 8" xfId="254"/>
    <cellStyle name="Standaard 8 2" xfId="255"/>
    <cellStyle name="Standaard 8 3" xfId="256"/>
    <cellStyle name="Standaard 9" xfId="257"/>
    <cellStyle name="Standaard 9 2" xfId="272"/>
    <cellStyle name="Standaard 9 3" xfId="271"/>
    <cellStyle name="Standaard_20100727 Rekenmodel NE5R v1.9" xfId="258"/>
    <cellStyle name="Standaard_Balans IL-Glob. PLAU" xfId="259"/>
    <cellStyle name="Standaard_Balans IL-Glob. PLAU 2" xfId="260"/>
    <cellStyle name="Stijl 1" xfId="261"/>
    <cellStyle name="Style 1" xfId="262"/>
    <cellStyle name="Title" xfId="263"/>
    <cellStyle name="Total" xfId="264"/>
    <cellStyle name="Valuta 2" xfId="265"/>
    <cellStyle name="Warning Text" xfId="266"/>
    <cellStyle name="wittelijn" xfId="267"/>
  </cellStyles>
  <dxfs count="187">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reg.be/Users/BS/AppData/Local/Microsoft/Windows/Temporary%20Internet%20Files/Content.Outlook/FG8WOXLH/RAPPORTERINGMODEL%20ELEKTRICITEIT_WVEM_vCREG0312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vreg.be/bkh/alg/budget%20WVEM/elektriciteit/CREG%20EL%202007%20AANGEPASTBUDGET/Tarieven%20aansluitingen%20Infrax%202007%20v5%201%20filter%20WVE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vreg.be/BH/BUDGET/Budget-2004/Rapporten/Versie%20Def-30_09_03/Berekeningen%20nettarief%20nieuw%20voorstel%202004%20v2.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vreg.be/Net/Tarification/EIA026/SAS%20DATA/bt%20proposition%202004/aardprov%20sup%2056%20kva%20%2022%20augu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H/kwartaalafsluitingen/2006/4&#176;%20kwartaal%202006/balans%20per%20act_in%20detail_25_04_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vreg.be/bkh/alg/budget%20WVEM/gas/CREG%20GAS%202007%20BUDGET/Kopie%20van%20Tarieven%20aansluitingen%20Infrax%202007%20v5%201%20filter%20WVEM%20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vreg.be/DOCUME~1/ima/LOCALS~1/Temp/Tijdelijke%20map%201%20voor%20test.zip/Stappenplande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rc%20-%20tarieven/TARIEVEN/Eandis%20informatie/cpi_hist1920_tcm325-659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vreg.be/FIN/CONTR/BUDG&amp;CREG/Rab/Realiteit/2008/AfschrijvingenGAS2008_IVEG_v2704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vreg.be/DOCUME~1/Santj/LOCALS~1/Temp/notes23684D/Tarieven%20aansluitingen%20Infrax%202007%20v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INHOUD"/>
      <sheetName val="Assumpties"/>
      <sheetName val="Check list KB (art 2)"/>
      <sheetName val="Checklist KB (art 4-8)"/>
      <sheetName val="Checklist KB (art 9-14)"/>
      <sheetName val="Checklist KB (art 17)"/>
      <sheetName val="Checklist KB (art 21)"/>
      <sheetName val="Checklist KB (art 32-34)"/>
      <sheetName val="Tabel 1A"/>
      <sheetName val="Tabel 1B"/>
      <sheetName val="Tabel 1C"/>
      <sheetName val="Tabel 1D"/>
      <sheetName val="Tabel 2A"/>
      <sheetName val="Tabel 2B"/>
      <sheetName val="Tabel 2C"/>
      <sheetName val="Tabel 2D"/>
      <sheetName val="Tabel 3A"/>
      <sheetName val="Tabel 3B"/>
      <sheetName val="Tabel 3C"/>
      <sheetName val="Tabel 3D"/>
      <sheetName val="Tabel 4A"/>
      <sheetName val="Tabel 4B"/>
      <sheetName val="Tabel 4C"/>
      <sheetName val="Tabel 4D"/>
      <sheetName val="Tabel 5"/>
      <sheetName val="Tabel 6A"/>
      <sheetName val="Tabel 6B"/>
      <sheetName val="Tabel 6C"/>
      <sheetName val="Tabel 6D"/>
      <sheetName val="tabel 6E"/>
      <sheetName val="tabel 6F"/>
      <sheetName val="Tabel 6G"/>
      <sheetName val="Tabel 6H"/>
      <sheetName val="Tabel 6I"/>
      <sheetName val="Tabel 6J"/>
      <sheetName val="Tabel 6K"/>
      <sheetName val="Tabel 6L"/>
      <sheetName val="Tabel 6M"/>
      <sheetName val="tabel 6N"/>
      <sheetName val="Tabel 6O"/>
      <sheetName val="Tabel6O_2"/>
      <sheetName val="Tabel 6P"/>
      <sheetName val="Tabel 6Q"/>
      <sheetName val="Tabel 7A"/>
      <sheetName val="Tabel 7B"/>
      <sheetName val="Tabel 7C"/>
      <sheetName val="Tabel 7D"/>
      <sheetName val="Tabel 7E"/>
      <sheetName val="Tabel 7F"/>
      <sheetName val="Tabel 7G"/>
      <sheetName val="T7G_SODV"/>
      <sheetName val="T7G_REG"/>
      <sheetName val="T7G2_REG"/>
      <sheetName val="T7G_100kWh"/>
      <sheetName val="T7G_OV"/>
      <sheetName val="Tabel 7H"/>
      <sheetName val="Tabel 7I"/>
      <sheetName val="Tabel 7J"/>
      <sheetName val="Tabel 7K"/>
      <sheetName val="Tabel 7L"/>
      <sheetName val="Tabel 7M"/>
      <sheetName val="Tabel 7M_2"/>
      <sheetName val="Tabel 7N"/>
      <sheetName val="Tabel 7N_INFRAX"/>
      <sheetName val="Tabel 8A"/>
      <sheetName val="tabel 8B"/>
      <sheetName val="Tabel 9A"/>
      <sheetName val="Tabel 9B"/>
      <sheetName val="Tabel 10"/>
      <sheetName val="Tabel 11A"/>
      <sheetName val="Tabel 11B"/>
      <sheetName val="Tabel 11C"/>
      <sheetName val="Tabel 11D"/>
      <sheetName val="Tabel 12"/>
      <sheetName val="Tabel 13"/>
      <sheetName val="Tabel 14"/>
      <sheetName val="Tabel 15"/>
      <sheetName val="Tabel 16"/>
      <sheetName val="Tabel16_Infrax"/>
      <sheetName val="Tabel 17A"/>
      <sheetName val="Tabel 17B"/>
      <sheetName val="Tabel 18"/>
      <sheetName val="Tabel 19"/>
      <sheetName val="Tabel 20A"/>
      <sheetName val="Tabel 20B"/>
      <sheetName val="Tabel 21A"/>
      <sheetName val="Tabel 21B"/>
      <sheetName val="Tabel 21C"/>
      <sheetName val="Tabel 21D"/>
      <sheetName val="Tabel 22A"/>
      <sheetName val="Tabel 22B"/>
      <sheetName val="Tabel 22C"/>
      <sheetName val="Tabel 22D"/>
      <sheetName val="Tabel 23A"/>
      <sheetName val="Tabel 23B"/>
      <sheetName val="Tabel 23C"/>
      <sheetName val="Tabel 23D"/>
      <sheetName val="Tabel 23E"/>
      <sheetName val="tarWV08"/>
      <sheetName val="TE08"/>
      <sheetName val="Tabel 24"/>
      <sheetName val="Tabel 25"/>
      <sheetName val="Tabel 26"/>
      <sheetName val="Tabel 27"/>
      <sheetName val="Tabel 28"/>
      <sheetName val="#VER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refreshError="1"/>
      <sheetData sheetId="1" refreshError="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sheetData sheetId="1" refreshError="1">
        <row r="5">
          <cell r="E5">
            <v>4</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sheetData sheetId="1"/>
      <sheetData sheetId="2" refreshError="1">
        <row r="9">
          <cell r="T9">
            <v>1.0049999999999999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OEFF.XLS"/>
      <sheetName val="general index"/>
      <sheetName val="health index"/>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sheetData sheetId="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frax.be/nl/Aansluitingen/tarieven/uren-dag-nachttarie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A117"/>
  <sheetViews>
    <sheetView showGridLines="0" tabSelected="1" view="pageBreakPreview" zoomScale="60" zoomScaleNormal="90" workbookViewId="0">
      <selection activeCell="B58" sqref="B58"/>
    </sheetView>
  </sheetViews>
  <sheetFormatPr defaultColWidth="8.88671875" defaultRowHeight="13.2"/>
  <cols>
    <col min="1" max="1" width="8.88671875" style="12"/>
    <col min="2" max="2" width="31.88671875" style="12" customWidth="1"/>
    <col min="3" max="3" width="20.88671875" style="12" customWidth="1"/>
    <col min="4" max="4" width="11" style="12" customWidth="1"/>
    <col min="5" max="12" width="8.88671875" style="12"/>
    <col min="13" max="13" width="9.109375" style="12" customWidth="1"/>
    <col min="14" max="14" width="8.88671875" style="12"/>
    <col min="15" max="15" width="11" style="12" bestFit="1" customWidth="1"/>
    <col min="16" max="16" width="8.88671875" style="12"/>
    <col min="17" max="17" width="25.5546875" style="12" customWidth="1"/>
    <col min="18" max="16384" width="8.88671875" style="12"/>
  </cols>
  <sheetData>
    <row r="1" spans="1:15">
      <c r="B1" s="13"/>
      <c r="C1" s="14"/>
      <c r="O1" s="956"/>
    </row>
    <row r="2" spans="1:15" s="18" customFormat="1" ht="24.6">
      <c r="A2" s="15"/>
      <c r="B2" s="16" t="s">
        <v>279</v>
      </c>
      <c r="C2" s="17"/>
      <c r="D2" s="17"/>
      <c r="E2" s="17"/>
      <c r="F2" s="15"/>
      <c r="G2" s="15"/>
      <c r="H2" s="15"/>
      <c r="I2" s="15"/>
      <c r="J2" s="15"/>
      <c r="K2" s="15"/>
      <c r="L2" s="15"/>
      <c r="M2" s="15"/>
    </row>
    <row r="3" spans="1:15">
      <c r="B3" s="13"/>
      <c r="C3" s="14"/>
      <c r="O3" s="1402"/>
    </row>
    <row r="4" spans="1:15" ht="13.8" thickBot="1">
      <c r="B4" s="13"/>
      <c r="C4" s="14"/>
    </row>
    <row r="5" spans="1:15" ht="13.8" thickBot="1">
      <c r="B5" s="13" t="s">
        <v>280</v>
      </c>
      <c r="C5" s="1007">
        <v>2017</v>
      </c>
    </row>
    <row r="6" spans="1:15" ht="8.25" customHeight="1" thickBot="1">
      <c r="B6" s="13"/>
      <c r="C6" s="14"/>
    </row>
    <row r="7" spans="1:15" ht="13.8" thickBot="1">
      <c r="B7" s="13" t="s">
        <v>0</v>
      </c>
      <c r="C7" s="1576" t="s">
        <v>420</v>
      </c>
      <c r="D7" s="1577"/>
      <c r="E7" s="1577"/>
      <c r="F7" s="1578"/>
    </row>
    <row r="8" spans="1:15" ht="13.8" thickBot="1">
      <c r="B8" s="13" t="s">
        <v>1</v>
      </c>
      <c r="C8" s="1576" t="s">
        <v>421</v>
      </c>
      <c r="D8" s="1577"/>
      <c r="E8" s="1577"/>
      <c r="F8" s="1578"/>
    </row>
    <row r="9" spans="1:15" ht="13.8" thickBot="1">
      <c r="B9" s="13" t="s">
        <v>322</v>
      </c>
      <c r="C9" s="1576" t="s">
        <v>422</v>
      </c>
      <c r="D9" s="1577"/>
      <c r="E9" s="1577"/>
      <c r="F9" s="1578"/>
    </row>
    <row r="10" spans="1:15" ht="13.8" thickBot="1">
      <c r="B10" s="13" t="s">
        <v>2</v>
      </c>
      <c r="C10" s="1576" t="s">
        <v>423</v>
      </c>
      <c r="D10" s="1577"/>
      <c r="E10" s="1577"/>
      <c r="F10" s="1578"/>
    </row>
    <row r="11" spans="1:15" s="19" customFormat="1" ht="13.8" thickBot="1">
      <c r="B11" s="20"/>
      <c r="C11" s="21"/>
      <c r="D11" s="21"/>
      <c r="E11" s="21"/>
      <c r="F11" s="21"/>
    </row>
    <row r="12" spans="1:15" ht="13.8" thickBot="1">
      <c r="B12" s="22" t="s">
        <v>3</v>
      </c>
      <c r="C12" s="13"/>
      <c r="D12" s="22" t="s">
        <v>4</v>
      </c>
      <c r="E12" s="1008">
        <v>2017</v>
      </c>
    </row>
    <row r="13" spans="1:15" ht="13.8" thickBot="1">
      <c r="B13" s="22"/>
      <c r="C13" s="13"/>
      <c r="D13" s="22" t="s">
        <v>5</v>
      </c>
      <c r="E13" s="1008">
        <v>2020</v>
      </c>
    </row>
    <row r="14" spans="1:15">
      <c r="B14" s="23"/>
      <c r="C14" s="14"/>
    </row>
    <row r="16" spans="1:15">
      <c r="A16" s="1573" t="s">
        <v>11</v>
      </c>
      <c r="B16" s="1574"/>
      <c r="C16" s="1574"/>
      <c r="D16" s="1574"/>
      <c r="E16" s="1574"/>
      <c r="F16" s="1574"/>
      <c r="G16" s="1574"/>
      <c r="H16" s="1574"/>
      <c r="I16" s="1575"/>
    </row>
    <row r="17" spans="1:12">
      <c r="A17" s="24"/>
    </row>
    <row r="18" spans="1:12">
      <c r="A18" s="24" t="s">
        <v>361</v>
      </c>
    </row>
    <row r="19" spans="1:12">
      <c r="A19" s="25" t="s">
        <v>332</v>
      </c>
    </row>
    <row r="20" spans="1:12">
      <c r="A20" s="24" t="s">
        <v>12</v>
      </c>
    </row>
    <row r="21" spans="1:12">
      <c r="A21" s="24" t="s">
        <v>263</v>
      </c>
    </row>
    <row r="22" spans="1:12">
      <c r="A22" s="24" t="s">
        <v>13</v>
      </c>
    </row>
    <row r="23" spans="1:12">
      <c r="A23" s="24" t="s">
        <v>327</v>
      </c>
    </row>
    <row r="24" spans="1:12">
      <c r="A24" s="24" t="s">
        <v>328</v>
      </c>
    </row>
    <row r="25" spans="1:12">
      <c r="A25" s="24"/>
    </row>
    <row r="26" spans="1:12">
      <c r="A26" s="24" t="s">
        <v>300</v>
      </c>
    </row>
    <row r="27" spans="1:12">
      <c r="A27" s="24"/>
    </row>
    <row r="28" spans="1:12" s="26" customFormat="1"/>
    <row r="29" spans="1:12">
      <c r="A29" s="1573" t="s">
        <v>6</v>
      </c>
      <c r="B29" s="1574"/>
      <c r="C29" s="1574"/>
      <c r="D29" s="1574"/>
      <c r="E29" s="1574"/>
      <c r="F29" s="1574"/>
      <c r="G29" s="1574"/>
      <c r="H29" s="1574"/>
      <c r="I29" s="1575"/>
    </row>
    <row r="30" spans="1:12" s="24" customFormat="1">
      <c r="A30" s="27"/>
      <c r="B30" s="27"/>
      <c r="C30" s="12"/>
      <c r="D30" s="12"/>
      <c r="E30" s="12"/>
      <c r="F30" s="12"/>
      <c r="G30" s="12"/>
      <c r="H30" s="12"/>
      <c r="I30" s="12"/>
      <c r="J30" s="12"/>
      <c r="K30" s="12"/>
      <c r="L30" s="12"/>
    </row>
    <row r="31" spans="1:12">
      <c r="A31" s="27"/>
      <c r="B31" s="28"/>
      <c r="D31" s="29" t="s">
        <v>7</v>
      </c>
    </row>
    <row r="32" spans="1:12">
      <c r="A32" s="27"/>
      <c r="B32" s="30"/>
    </row>
    <row r="33" spans="1:12" ht="15" customHeight="1">
      <c r="A33" s="27"/>
      <c r="B33" s="31"/>
      <c r="C33" s="32"/>
      <c r="D33" s="33" t="s">
        <v>8</v>
      </c>
      <c r="E33" s="34"/>
      <c r="F33" s="34"/>
      <c r="G33" s="34"/>
    </row>
    <row r="34" spans="1:12">
      <c r="A34" s="27"/>
      <c r="B34" s="35"/>
    </row>
    <row r="35" spans="1:12">
      <c r="A35" s="27"/>
      <c r="B35" s="36"/>
      <c r="D35" s="12" t="s">
        <v>9</v>
      </c>
    </row>
    <row r="36" spans="1:12">
      <c r="A36" s="27"/>
      <c r="B36" s="27"/>
    </row>
    <row r="37" spans="1:12" s="19" customFormat="1">
      <c r="A37" s="37"/>
      <c r="B37" s="38"/>
      <c r="D37" s="39" t="s">
        <v>264</v>
      </c>
      <c r="E37" s="40"/>
      <c r="F37" s="40"/>
      <c r="G37" s="40"/>
      <c r="H37" s="40"/>
      <c r="I37" s="40"/>
      <c r="J37" s="40"/>
      <c r="K37" s="40"/>
    </row>
    <row r="38" spans="1:12" s="19" customFormat="1" ht="14.25" customHeight="1">
      <c r="A38" s="37"/>
      <c r="B38" s="37"/>
      <c r="D38" s="40"/>
      <c r="E38" s="40"/>
      <c r="F38" s="40"/>
      <c r="G38" s="40"/>
      <c r="H38" s="40"/>
      <c r="I38" s="40"/>
      <c r="J38" s="40"/>
      <c r="K38" s="40"/>
    </row>
    <row r="39" spans="1:12">
      <c r="A39" s="27"/>
      <c r="B39" s="27"/>
    </row>
    <row r="41" spans="1:12" s="24" customFormat="1">
      <c r="A41" s="1573" t="s">
        <v>10</v>
      </c>
      <c r="B41" s="1574"/>
      <c r="C41" s="1574"/>
      <c r="D41" s="1574"/>
      <c r="E41" s="1574"/>
      <c r="F41" s="1574"/>
      <c r="G41" s="1574"/>
      <c r="H41" s="1574"/>
      <c r="I41" s="1575"/>
      <c r="J41" s="12"/>
      <c r="K41" s="12"/>
      <c r="L41" s="12"/>
    </row>
    <row r="42" spans="1:12">
      <c r="A42" s="24"/>
      <c r="B42" s="24"/>
      <c r="C42" s="24"/>
      <c r="D42" s="24"/>
      <c r="E42" s="24"/>
      <c r="F42" s="24"/>
      <c r="G42" s="24"/>
      <c r="H42" s="24"/>
      <c r="I42" s="24"/>
      <c r="J42" s="24"/>
      <c r="K42" s="24"/>
      <c r="L42" s="24"/>
    </row>
    <row r="43" spans="1:12" s="13" customFormat="1">
      <c r="A43" s="11" t="s">
        <v>265</v>
      </c>
      <c r="B43" s="10"/>
    </row>
    <row r="44" spans="1:12">
      <c r="A44" s="24" t="s">
        <v>362</v>
      </c>
    </row>
    <row r="45" spans="1:12">
      <c r="A45" s="24" t="s">
        <v>266</v>
      </c>
    </row>
    <row r="46" spans="1:12">
      <c r="A46" s="24"/>
    </row>
    <row r="47" spans="1:12" ht="14.4">
      <c r="A47" s="11" t="str">
        <f>+'T1'!A1:M1</f>
        <v>TABEL 1: Overzicht door de VREG toegelaten inkomen voor gereguleerde activiteiten 'elektriciteit' en 'gas' voor boekjaar 2017</v>
      </c>
      <c r="B47"/>
      <c r="C47"/>
      <c r="D47"/>
      <c r="E47"/>
    </row>
    <row r="48" spans="1:12">
      <c r="A48" s="24" t="str">
        <f>"In deze tabel dient de distributienetbeheerder het door de VREG toegelaten inkomen voor de gereguleerde activiteiten 'elektriciteit' en 'gas' m.b.t. boekjaar "&amp;C5&amp;" op te geven, uitsgeplitst over"</f>
        <v>In deze tabel dient de distributienetbeheerder het door de VREG toegelaten inkomen voor de gereguleerde activiteiten 'elektriciteit' en 'gas' m.b.t. boekjaar 2017 op te geven, uitsgeplitst over</v>
      </c>
    </row>
    <row r="49" spans="1:27">
      <c r="A49" s="25" t="s">
        <v>345</v>
      </c>
    </row>
    <row r="50" spans="1:27">
      <c r="A50" s="24" t="s">
        <v>348</v>
      </c>
    </row>
    <row r="51" spans="1:27">
      <c r="A51" s="24" t="s">
        <v>363</v>
      </c>
    </row>
    <row r="52" spans="1:27">
      <c r="A52" s="24" t="s">
        <v>383</v>
      </c>
    </row>
    <row r="53" spans="1:27">
      <c r="A53" s="24"/>
    </row>
    <row r="54" spans="1:27">
      <c r="A54" s="11" t="str">
        <f>+'T2'!A1:J1</f>
        <v>TABEL 2: Opdeling gebudgetteerd inkomen voor gereguleerde activiteit 'elektriciteit' volgens tariefcomponenten</v>
      </c>
      <c r="B54" s="11"/>
      <c r="C54" s="11"/>
      <c r="D54" s="11"/>
      <c r="E54" s="11"/>
      <c r="F54" s="11"/>
      <c r="G54" s="11"/>
      <c r="H54" s="10"/>
    </row>
    <row r="55" spans="1:27">
      <c r="A55" s="24" t="s">
        <v>267</v>
      </c>
    </row>
    <row r="56" spans="1:27" ht="12.75" customHeight="1">
      <c r="A56" s="25" t="s">
        <v>271</v>
      </c>
      <c r="Q56" s="1330"/>
      <c r="R56" s="1330"/>
      <c r="S56" s="1330"/>
      <c r="T56" s="1330"/>
      <c r="U56" s="1330"/>
      <c r="V56" s="1330"/>
      <c r="W56" s="1330"/>
      <c r="X56" s="1330"/>
      <c r="Y56" s="1330"/>
      <c r="Z56" s="1330"/>
      <c r="AA56" s="1330"/>
    </row>
    <row r="57" spans="1:27">
      <c r="A57" s="24" t="s">
        <v>374</v>
      </c>
      <c r="Q57" s="1330"/>
      <c r="R57" s="1330"/>
      <c r="S57" s="1330"/>
      <c r="T57" s="1330"/>
      <c r="U57" s="1330"/>
      <c r="V57" s="1330"/>
      <c r="W57" s="1330"/>
      <c r="X57" s="1330"/>
      <c r="Y57" s="1330"/>
      <c r="Z57" s="1330"/>
      <c r="AA57" s="1330"/>
    </row>
    <row r="58" spans="1:27">
      <c r="A58" s="24" t="s">
        <v>349</v>
      </c>
      <c r="Q58" s="1330"/>
      <c r="R58" s="1330"/>
      <c r="S58" s="1330"/>
      <c r="T58" s="1330"/>
      <c r="U58" s="1330"/>
      <c r="V58" s="1330"/>
      <c r="W58" s="1330"/>
      <c r="X58" s="1330"/>
      <c r="Y58" s="1330"/>
      <c r="Z58" s="1330"/>
      <c r="AA58" s="1330"/>
    </row>
    <row r="59" spans="1:27">
      <c r="A59" s="24"/>
      <c r="Q59" s="1330"/>
      <c r="R59" s="1330"/>
      <c r="S59" s="1330"/>
      <c r="T59" s="1330"/>
      <c r="U59" s="1330"/>
      <c r="V59" s="1330"/>
      <c r="W59" s="1330"/>
      <c r="X59" s="1330"/>
      <c r="Y59" s="1330"/>
      <c r="Z59" s="1330"/>
      <c r="AA59" s="1330"/>
    </row>
    <row r="60" spans="1:27">
      <c r="A60" s="11" t="str">
        <f>+'T3'!A1:W1</f>
        <v>TABEL 3: Opdeling gebudgetteerd inkomen voor gereguleerde activiteit 'elektriciteit' volgens klantengroep en energierichting</v>
      </c>
      <c r="B60" s="11"/>
      <c r="C60" s="11"/>
      <c r="D60" s="11"/>
      <c r="E60" s="11"/>
      <c r="F60" s="11"/>
      <c r="G60" s="10"/>
      <c r="Q60" s="1330"/>
      <c r="R60" s="1330"/>
      <c r="S60" s="1330"/>
      <c r="T60" s="1330"/>
      <c r="U60" s="1330"/>
      <c r="V60" s="1330"/>
      <c r="W60" s="1330"/>
      <c r="X60" s="1330"/>
      <c r="Y60" s="1330"/>
      <c r="Z60" s="1330"/>
      <c r="AA60" s="1330"/>
    </row>
    <row r="61" spans="1:27">
      <c r="A61" s="24" t="s">
        <v>375</v>
      </c>
      <c r="Q61" s="1330"/>
      <c r="R61" s="1330"/>
      <c r="S61" s="1330"/>
      <c r="T61" s="1330"/>
      <c r="U61" s="1330"/>
      <c r="V61" s="1330"/>
      <c r="W61" s="1330"/>
      <c r="X61" s="1330"/>
      <c r="Y61" s="1330"/>
      <c r="Z61" s="1330"/>
      <c r="AA61" s="1330"/>
    </row>
    <row r="62" spans="1:27">
      <c r="A62" s="24" t="s">
        <v>376</v>
      </c>
      <c r="Q62" s="1330"/>
      <c r="R62" s="1330"/>
      <c r="S62" s="1330"/>
      <c r="T62" s="1330"/>
      <c r="U62" s="1330"/>
      <c r="V62" s="1330"/>
      <c r="W62" s="1330"/>
      <c r="X62" s="1330"/>
      <c r="Y62" s="1330"/>
      <c r="Z62" s="1330"/>
      <c r="AA62" s="1330"/>
    </row>
    <row r="63" spans="1:27" ht="12.75" customHeight="1">
      <c r="A63" s="24" t="s">
        <v>377</v>
      </c>
      <c r="Q63" s="1330"/>
      <c r="R63" s="1330"/>
      <c r="S63" s="1330"/>
      <c r="T63" s="1330"/>
      <c r="U63" s="1330"/>
      <c r="V63" s="1330"/>
      <c r="W63" s="1330"/>
      <c r="X63" s="1330"/>
      <c r="Y63" s="1330"/>
      <c r="Z63" s="1330"/>
      <c r="AA63" s="1330"/>
    </row>
    <row r="64" spans="1:27">
      <c r="A64" s="24" t="s">
        <v>268</v>
      </c>
      <c r="Q64" s="1330"/>
      <c r="R64" s="1330"/>
      <c r="S64" s="1330"/>
      <c r="T64" s="1330"/>
      <c r="U64" s="1330"/>
      <c r="V64" s="1330"/>
      <c r="W64" s="1330"/>
      <c r="X64" s="1330"/>
      <c r="Y64" s="1330"/>
      <c r="Z64" s="1330"/>
      <c r="AA64" s="1330"/>
    </row>
    <row r="65" spans="1:13">
      <c r="A65" s="25" t="s">
        <v>315</v>
      </c>
    </row>
    <row r="66" spans="1:13">
      <c r="A66" s="25" t="s">
        <v>314</v>
      </c>
    </row>
    <row r="67" spans="1:13">
      <c r="A67" s="25" t="s">
        <v>378</v>
      </c>
    </row>
    <row r="68" spans="1:13">
      <c r="A68" s="25" t="s">
        <v>370</v>
      </c>
    </row>
    <row r="69" spans="1:13">
      <c r="A69" s="25"/>
    </row>
    <row r="70" spans="1:13">
      <c r="A70" s="11" t="str">
        <f>+'T4'!A1:T1</f>
        <v>TABEL 4: Inter-energa - ELEKTRICITEIT - Tarieflijst distributienettarieven 2017 - Afname</v>
      </c>
      <c r="B70" s="11"/>
      <c r="C70" s="11"/>
      <c r="D70" s="11"/>
      <c r="E70" s="10"/>
      <c r="F70" s="10"/>
      <c r="G70" s="10"/>
    </row>
    <row r="71" spans="1:13">
      <c r="A71" s="24" t="s">
        <v>371</v>
      </c>
    </row>
    <row r="72" spans="1:13">
      <c r="A72" s="25" t="s">
        <v>269</v>
      </c>
    </row>
    <row r="73" spans="1:13">
      <c r="A73" s="25" t="s">
        <v>323</v>
      </c>
    </row>
    <row r="74" spans="1:13">
      <c r="A74" s="25" t="s">
        <v>324</v>
      </c>
    </row>
    <row r="75" spans="1:13">
      <c r="A75" s="24"/>
    </row>
    <row r="76" spans="1:13">
      <c r="A76" s="11" t="str">
        <f>+'T5'!A1:J1</f>
        <v>TABEL 5: Reconciliatie van het gebudgetteerd inkomen voor de gereguleerde activiteit 'elektriciteit' met de geraamde omzet voor de periodieke tarieven (afname)</v>
      </c>
      <c r="B76" s="11"/>
      <c r="C76" s="11"/>
      <c r="D76" s="11"/>
      <c r="E76" s="11"/>
      <c r="F76" s="11"/>
      <c r="G76" s="11"/>
      <c r="H76" s="11"/>
      <c r="I76" s="11"/>
      <c r="J76" s="11"/>
      <c r="K76" s="11"/>
      <c r="L76" s="11"/>
      <c r="M76" s="10"/>
    </row>
    <row r="77" spans="1:13">
      <c r="A77" s="24" t="s">
        <v>364</v>
      </c>
    </row>
    <row r="78" spans="1:13">
      <c r="A78" s="24" t="s">
        <v>320</v>
      </c>
    </row>
    <row r="79" spans="1:13">
      <c r="A79" s="24" t="s">
        <v>365</v>
      </c>
    </row>
    <row r="80" spans="1:13">
      <c r="A80" s="24"/>
    </row>
    <row r="81" spans="1:13" s="19" customFormat="1">
      <c r="A81" s="1345"/>
    </row>
    <row r="82" spans="1:13">
      <c r="A82" s="11" t="str">
        <f>+'T7'!A1:S1</f>
        <v>TABEL 7: Inter-energa - ELEKTRICITEIT - Tarieflijst distributienettarieven 2017 - Injectie</v>
      </c>
      <c r="B82" s="11"/>
      <c r="C82" s="11"/>
      <c r="D82" s="11"/>
      <c r="E82" s="10"/>
      <c r="F82" s="10"/>
      <c r="G82" s="10"/>
    </row>
    <row r="83" spans="1:13">
      <c r="A83" s="12" t="s">
        <v>372</v>
      </c>
    </row>
    <row r="84" spans="1:13">
      <c r="A84" s="42" t="s">
        <v>270</v>
      </c>
    </row>
    <row r="85" spans="1:13">
      <c r="A85" s="25" t="s">
        <v>325</v>
      </c>
    </row>
    <row r="87" spans="1:13">
      <c r="A87" s="11" t="str">
        <f>+'T8'!A1:K1</f>
        <v xml:space="preserve">TABEL 8: Reconciliatie van het gebudgetteerd inkomen voor de gereguleerde activiteit 'elektriciteit' met de geraamde omzet voor de periodieke tarieven (injectie) </v>
      </c>
      <c r="B87" s="11"/>
      <c r="C87" s="11"/>
      <c r="D87" s="11"/>
      <c r="E87" s="11"/>
      <c r="F87" s="11"/>
      <c r="G87" s="11"/>
      <c r="H87" s="11"/>
      <c r="I87" s="11"/>
      <c r="J87" s="11"/>
      <c r="K87" s="11"/>
      <c r="L87" s="10"/>
      <c r="M87" s="10"/>
    </row>
    <row r="88" spans="1:13">
      <c r="A88" s="24" t="s">
        <v>366</v>
      </c>
    </row>
    <row r="89" spans="1:13">
      <c r="A89" s="24" t="s">
        <v>321</v>
      </c>
    </row>
    <row r="90" spans="1:13">
      <c r="A90" s="24" t="s">
        <v>367</v>
      </c>
    </row>
    <row r="91" spans="1:13">
      <c r="A91" s="24" t="s">
        <v>379</v>
      </c>
    </row>
    <row r="92" spans="1:13">
      <c r="A92" s="24" t="s">
        <v>350</v>
      </c>
    </row>
    <row r="93" spans="1:13">
      <c r="A93" s="41"/>
    </row>
    <row r="94" spans="1:13">
      <c r="A94" s="11" t="str">
        <f>+'T9'!A1:I1</f>
        <v>TABEL 9: Opdeling gebudgetteerd inkomen voor gereguleerde activiteit 'gas' volgens tariefcomponenten</v>
      </c>
      <c r="B94" s="11"/>
      <c r="C94" s="11"/>
      <c r="D94" s="11"/>
      <c r="E94" s="11"/>
      <c r="F94" s="11"/>
      <c r="G94" s="10"/>
    </row>
    <row r="95" spans="1:13">
      <c r="A95" s="24" t="s">
        <v>267</v>
      </c>
    </row>
    <row r="96" spans="1:13">
      <c r="A96" s="25" t="s">
        <v>333</v>
      </c>
    </row>
    <row r="97" spans="1:8">
      <c r="A97" s="24" t="s">
        <v>374</v>
      </c>
    </row>
    <row r="98" spans="1:8">
      <c r="A98" s="24" t="s">
        <v>384</v>
      </c>
    </row>
    <row r="100" spans="1:8">
      <c r="A100" s="11" t="str">
        <f>+'T10'!A1:G1</f>
        <v>TABEL 10: Opdeling gebudgetteerd inkomen voor gereguleerde activiteit 'gas' volgens klantengroep (afname)</v>
      </c>
      <c r="B100" s="11"/>
      <c r="C100" s="11"/>
      <c r="D100" s="11"/>
      <c r="E100" s="11"/>
      <c r="F100" s="11"/>
      <c r="G100" s="10"/>
      <c r="H100" s="10"/>
    </row>
    <row r="101" spans="1:8">
      <c r="A101" s="24" t="s">
        <v>380</v>
      </c>
    </row>
    <row r="102" spans="1:8">
      <c r="A102" s="24" t="s">
        <v>381</v>
      </c>
    </row>
    <row r="103" spans="1:8">
      <c r="A103" s="24" t="s">
        <v>334</v>
      </c>
    </row>
    <row r="104" spans="1:8">
      <c r="A104" s="25" t="s">
        <v>315</v>
      </c>
    </row>
    <row r="105" spans="1:8">
      <c r="A105" s="25" t="s">
        <v>378</v>
      </c>
    </row>
    <row r="106" spans="1:8" ht="13.5" customHeight="1">
      <c r="A106" s="25" t="s">
        <v>382</v>
      </c>
    </row>
    <row r="108" spans="1:8">
      <c r="A108" s="11" t="str">
        <f>+'T11'!A1:K1</f>
        <v>TABEL 11: Inter-energa - AARDGAS - Tarieflijst distributienettarieven 2017 - Afname</v>
      </c>
      <c r="B108" s="11"/>
      <c r="C108" s="11"/>
      <c r="D108" s="10"/>
      <c r="E108" s="10"/>
      <c r="F108" s="10"/>
      <c r="G108" s="10"/>
    </row>
    <row r="109" spans="1:8">
      <c r="A109" s="12" t="s">
        <v>373</v>
      </c>
    </row>
    <row r="110" spans="1:8" ht="14.25" customHeight="1">
      <c r="A110" s="12" t="s">
        <v>272</v>
      </c>
    </row>
    <row r="111" spans="1:8">
      <c r="A111" s="25" t="s">
        <v>326</v>
      </c>
    </row>
    <row r="112" spans="1:8">
      <c r="A112" s="25" t="s">
        <v>319</v>
      </c>
    </row>
    <row r="114" spans="1:11">
      <c r="A114" s="11" t="str">
        <f>+'T12'!A1:M1</f>
        <v>TABEL 12: Reconciliatie van het gebudgetteerd inkomen voor de gereguleerde activiteit 'gas' met de geraamde omzet voor de periodieke tarieven</v>
      </c>
      <c r="B114" s="11"/>
      <c r="C114" s="11"/>
      <c r="D114" s="11"/>
      <c r="E114" s="11"/>
      <c r="F114" s="11"/>
      <c r="G114" s="11"/>
      <c r="H114" s="11"/>
      <c r="I114" s="11"/>
      <c r="J114" s="11"/>
      <c r="K114" s="10"/>
    </row>
    <row r="115" spans="1:11">
      <c r="A115" s="24" t="s">
        <v>368</v>
      </c>
    </row>
    <row r="116" spans="1:11">
      <c r="A116" s="24" t="s">
        <v>321</v>
      </c>
    </row>
    <row r="117" spans="1:11">
      <c r="A117" s="24" t="s">
        <v>369</v>
      </c>
    </row>
  </sheetData>
  <mergeCells count="7">
    <mergeCell ref="A29:I29"/>
    <mergeCell ref="A41:I41"/>
    <mergeCell ref="C7:F7"/>
    <mergeCell ref="C8:F8"/>
    <mergeCell ref="C9:F9"/>
    <mergeCell ref="C10:F10"/>
    <mergeCell ref="A16:I16"/>
  </mergeCells>
  <hyperlinks>
    <hyperlink ref="A43:B43" location="TITELBLAD!A1" display="TITELBLAD"/>
    <hyperlink ref="A47" location="'T1'!A1" display="'T1'!A1"/>
    <hyperlink ref="A54:H54" location="'T2'!A1" display="'T2'!A1"/>
    <hyperlink ref="A60:G60" location="'T3'!A1" display="'T3'!A1"/>
    <hyperlink ref="A70:G70" location="'T4'!A1" display="'T4'!A1"/>
    <hyperlink ref="A76:M76" location="'T5'!A1" display="'T5'!A1"/>
    <hyperlink ref="A82:G82" location="'T7'!A1" display="'T7'!A1"/>
    <hyperlink ref="A87:M87" location="'T8'!A1" display="'T8'!A1"/>
    <hyperlink ref="A94:G94" location="'T9'!A1" display="'T9'!A1"/>
    <hyperlink ref="A100:H100" location="'T10'!A1" display="'T10'!A1"/>
    <hyperlink ref="A108:G108" location="'T11'!A1" display="'T11'!A1"/>
    <hyperlink ref="A114:K114" location="'T12'!A1" display="'T12'!A1"/>
  </hyperlinks>
  <pageMargins left="0.98425196850393704" right="0.23622047244094491" top="0.82677165354330717" bottom="0.70866141732283472" header="0.74803149606299213" footer="0.47244094488188981"/>
  <pageSetup paperSize="9" scale="43" orientation="portrait" r:id="rId1"/>
  <headerFooter alignWithMargins="0"/>
  <rowBreaks count="1" manualBreakCount="1">
    <brk id="98" max="16" man="1"/>
  </rowBreaks>
  <colBreaks count="1" manualBreakCount="1">
    <brk id="1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A1:BF49"/>
  <sheetViews>
    <sheetView view="pageBreakPreview" zoomScale="60" zoomScaleNormal="80" workbookViewId="0">
      <selection activeCell="N15" sqref="N15"/>
    </sheetView>
  </sheetViews>
  <sheetFormatPr defaultColWidth="9.109375" defaultRowHeight="13.2"/>
  <cols>
    <col min="1" max="1" width="8.5546875" style="415" customWidth="1"/>
    <col min="2" max="2" width="72.44140625" style="415" bestFit="1" customWidth="1"/>
    <col min="3" max="3" width="27" style="415" bestFit="1" customWidth="1"/>
    <col min="4" max="15" width="20.6640625" style="415" customWidth="1"/>
    <col min="16" max="16" width="22.109375" style="415" customWidth="1"/>
    <col min="17" max="17" width="14.109375" style="415" customWidth="1"/>
    <col min="18" max="18" width="20.6640625" style="415" customWidth="1"/>
    <col min="19" max="19" width="13.6640625" style="415" customWidth="1"/>
    <col min="20" max="20" width="20.6640625" style="415" customWidth="1"/>
    <col min="21" max="22" width="29" style="415" customWidth="1"/>
    <col min="23" max="16384" width="9.109375" style="415"/>
  </cols>
  <sheetData>
    <row r="1" spans="1:58" ht="18" thickBot="1">
      <c r="A1" s="1594" t="str">
        <f>"TABEL 10: Opdeling gebudgetteerd inkomen voor gereguleerde activiteit 'gas' volgens klantengroep (afname)"</f>
        <v>TABEL 10: Opdeling gebudgetteerd inkomen voor gereguleerde activiteit 'gas' volgens klantengroep (afname)</v>
      </c>
      <c r="B1" s="1595"/>
      <c r="C1" s="1595"/>
      <c r="D1" s="1595"/>
      <c r="E1" s="1595"/>
      <c r="F1" s="1595"/>
      <c r="G1" s="1596"/>
      <c r="H1" s="292"/>
      <c r="I1" s="292"/>
      <c r="J1" s="292"/>
      <c r="K1" s="292"/>
      <c r="L1" s="292"/>
      <c r="M1" s="292"/>
      <c r="N1" s="292"/>
      <c r="O1" s="292"/>
    </row>
    <row r="3" spans="1:58" s="51" customFormat="1" ht="14.4">
      <c r="A3" s="413"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s="51" customFormat="1" ht="24.75" customHeight="1">
      <c r="A4" s="1633" t="s">
        <v>385</v>
      </c>
      <c r="B4" s="1633"/>
      <c r="C4" s="1633"/>
      <c r="D4" s="1633"/>
      <c r="E4" s="1633"/>
      <c r="F4" s="1633"/>
      <c r="G4" s="1633"/>
      <c r="H4" s="1633"/>
      <c r="I4" s="1633"/>
      <c r="J4" s="1633"/>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s="51" customFormat="1"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s="51" customFormat="1" ht="15" thickBot="1">
      <c r="A6" s="46" t="s">
        <v>14</v>
      </c>
      <c r="B6" s="47"/>
      <c r="C6" s="1601" t="str">
        <f>+TITELBLAD!$C$7</f>
        <v>Inter-energa</v>
      </c>
      <c r="D6" s="1602"/>
      <c r="E6" s="1602"/>
      <c r="F6" s="1603"/>
      <c r="G6" s="49"/>
      <c r="H6" s="49"/>
      <c r="I6" s="49"/>
      <c r="J6" s="49"/>
      <c r="K6" s="49"/>
      <c r="L6" s="49"/>
      <c r="M6" s="49"/>
      <c r="N6" s="49"/>
      <c r="O6" s="49"/>
      <c r="P6" s="49"/>
      <c r="Q6" s="49"/>
      <c r="R6" s="49"/>
      <c r="S6" s="49"/>
      <c r="T6" s="49"/>
      <c r="U6" s="49"/>
      <c r="V6" s="49"/>
      <c r="W6" s="49"/>
      <c r="X6" s="49"/>
      <c r="Y6" s="49"/>
      <c r="Z6" s="49"/>
      <c r="AA6" s="49"/>
      <c r="AB6" s="49"/>
      <c r="AC6" s="49"/>
      <c r="AD6" s="49"/>
      <c r="AE6" s="49"/>
      <c r="AF6" s="50"/>
    </row>
    <row r="8" spans="1:58" ht="15" customHeight="1" thickBot="1"/>
    <row r="9" spans="1:58" ht="21" customHeight="1" thickBot="1">
      <c r="A9" s="1731"/>
      <c r="B9" s="1732"/>
      <c r="C9" s="1733"/>
      <c r="D9" s="1739" t="s">
        <v>226</v>
      </c>
      <c r="E9" s="1740"/>
      <c r="F9" s="1741"/>
      <c r="G9" s="1739" t="s">
        <v>240</v>
      </c>
      <c r="H9" s="1740"/>
      <c r="I9" s="1741"/>
      <c r="J9" s="1739" t="s">
        <v>247</v>
      </c>
      <c r="K9" s="1740"/>
      <c r="L9" s="1741"/>
      <c r="M9" s="1739" t="s">
        <v>273</v>
      </c>
      <c r="N9" s="1740"/>
      <c r="O9" s="1741"/>
      <c r="P9" s="1739" t="s">
        <v>78</v>
      </c>
      <c r="Q9" s="1740"/>
      <c r="R9" s="1740"/>
      <c r="S9" s="1740"/>
      <c r="T9" s="1741"/>
      <c r="U9" s="1737" t="s">
        <v>312</v>
      </c>
      <c r="V9" s="1738"/>
    </row>
    <row r="10" spans="1:58" s="19" customFormat="1" ht="21" customHeight="1">
      <c r="A10" s="1731"/>
      <c r="B10" s="1732"/>
      <c r="C10" s="1733"/>
      <c r="D10" s="1742" t="s">
        <v>255</v>
      </c>
      <c r="E10" s="1743"/>
      <c r="F10" s="1744"/>
      <c r="G10" s="1742" t="s">
        <v>239</v>
      </c>
      <c r="H10" s="1743"/>
      <c r="I10" s="1744"/>
      <c r="J10" s="1742" t="s">
        <v>187</v>
      </c>
      <c r="K10" s="1743"/>
      <c r="L10" s="1744"/>
      <c r="M10" s="1742"/>
      <c r="N10" s="1743"/>
      <c r="O10" s="1744"/>
      <c r="P10" s="613"/>
      <c r="Q10" s="614"/>
      <c r="R10" s="614"/>
      <c r="S10" s="614"/>
      <c r="T10" s="615"/>
      <c r="U10" s="1331"/>
      <c r="V10" s="1332"/>
    </row>
    <row r="11" spans="1:58" s="19" customFormat="1" ht="18" customHeight="1" thickBot="1">
      <c r="A11" s="1734"/>
      <c r="B11" s="1735"/>
      <c r="C11" s="1736"/>
      <c r="D11" s="1745"/>
      <c r="E11" s="1746"/>
      <c r="F11" s="1747"/>
      <c r="G11" s="1745"/>
      <c r="H11" s="1746"/>
      <c r="I11" s="1747"/>
      <c r="J11" s="1745"/>
      <c r="K11" s="1746"/>
      <c r="L11" s="1747"/>
      <c r="M11" s="1745"/>
      <c r="N11" s="1746"/>
      <c r="O11" s="1747"/>
      <c r="P11" s="616"/>
      <c r="Q11" s="617"/>
      <c r="R11" s="617"/>
      <c r="S11" s="617"/>
      <c r="T11" s="618"/>
      <c r="U11" s="1333"/>
      <c r="V11" s="1334"/>
    </row>
    <row r="12" spans="1:58" s="19" customFormat="1" ht="18" customHeight="1" thickBot="1">
      <c r="A12" s="548"/>
      <c r="B12" s="550"/>
      <c r="C12" s="551"/>
      <c r="D12" s="619" t="s">
        <v>100</v>
      </c>
      <c r="E12" s="620" t="s">
        <v>317</v>
      </c>
      <c r="F12" s="621" t="s">
        <v>78</v>
      </c>
      <c r="G12" s="619" t="s">
        <v>100</v>
      </c>
      <c r="H12" s="620" t="s">
        <v>317</v>
      </c>
      <c r="I12" s="1006" t="s">
        <v>78</v>
      </c>
      <c r="J12" s="619" t="s">
        <v>100</v>
      </c>
      <c r="K12" s="620" t="s">
        <v>317</v>
      </c>
      <c r="L12" s="1006" t="s">
        <v>78</v>
      </c>
      <c r="M12" s="619" t="s">
        <v>100</v>
      </c>
      <c r="N12" s="620" t="s">
        <v>317</v>
      </c>
      <c r="O12" s="1006" t="s">
        <v>78</v>
      </c>
      <c r="P12" s="622" t="s">
        <v>100</v>
      </c>
      <c r="Q12" s="620" t="s">
        <v>277</v>
      </c>
      <c r="R12" s="623" t="s">
        <v>317</v>
      </c>
      <c r="S12" s="620" t="s">
        <v>277</v>
      </c>
      <c r="T12" s="621" t="s">
        <v>78</v>
      </c>
      <c r="U12" s="1335" t="s">
        <v>100</v>
      </c>
      <c r="V12" s="1335" t="s">
        <v>317</v>
      </c>
    </row>
    <row r="13" spans="1:58" s="19" customFormat="1" ht="18.75" customHeight="1">
      <c r="A13" s="552" t="s">
        <v>195</v>
      </c>
      <c r="B13" s="553"/>
      <c r="C13" s="554"/>
      <c r="D13" s="624">
        <f>SUM(D15,D20,D22)</f>
        <v>-5720890.9325679345</v>
      </c>
      <c r="E13" s="625">
        <f>SUM(E15,E20,E22)</f>
        <v>49572190.55249168</v>
      </c>
      <c r="F13" s="558">
        <f>SUM(D13:E13)</f>
        <v>43851299.619923748</v>
      </c>
      <c r="G13" s="626">
        <f t="shared" ref="G13:M13" si="0">SUM(G15,G20,G22)</f>
        <v>-217690.49227149173</v>
      </c>
      <c r="H13" s="625">
        <f>SUM(H15,H20,H22)</f>
        <v>1876910.1876242547</v>
      </c>
      <c r="I13" s="558">
        <f>SUM(G13:H13)</f>
        <v>1659219.6953527629</v>
      </c>
      <c r="J13" s="626">
        <f t="shared" si="0"/>
        <v>-79608.399527689791</v>
      </c>
      <c r="K13" s="627">
        <f>SUM(K15,K20,K22)</f>
        <v>697221.30702891434</v>
      </c>
      <c r="L13" s="628">
        <f>SUM(J13:K13)</f>
        <v>617612.90750122454</v>
      </c>
      <c r="M13" s="629">
        <f t="shared" si="0"/>
        <v>0</v>
      </c>
      <c r="N13" s="626">
        <f>SUM(N15,N20,N22)</f>
        <v>54566.513144856901</v>
      </c>
      <c r="O13" s="557">
        <f>SUM(M13:N13)</f>
        <v>54566.513144856901</v>
      </c>
      <c r="P13" s="630">
        <f>SUM(P15,P20,P22)</f>
        <v>-6018189.8243671162</v>
      </c>
      <c r="Q13" s="631">
        <f>P13/T13</f>
        <v>-0.13031264930574418</v>
      </c>
      <c r="R13" s="632">
        <f>SUM(R15,R20,R22)</f>
        <v>52200888.560289711</v>
      </c>
      <c r="S13" s="631">
        <f>R13/T13</f>
        <v>1.1303126493057443</v>
      </c>
      <c r="T13" s="628">
        <f>SUM(T15,T20,T22)</f>
        <v>46182698.73592259</v>
      </c>
      <c r="U13" s="1336">
        <f>+P13-'T9'!E11</f>
        <v>0</v>
      </c>
      <c r="V13" s="1336">
        <f>+R13-'T9'!G11</f>
        <v>0</v>
      </c>
    </row>
    <row r="14" spans="1:58" s="20" customFormat="1" ht="18" customHeight="1">
      <c r="A14" s="559"/>
      <c r="B14" s="553"/>
      <c r="C14" s="554"/>
      <c r="D14" s="633"/>
      <c r="E14" s="634"/>
      <c r="F14" s="635"/>
      <c r="G14" s="636"/>
      <c r="H14" s="634"/>
      <c r="I14" s="635"/>
      <c r="J14" s="636"/>
      <c r="K14" s="634"/>
      <c r="L14" s="635"/>
      <c r="M14" s="636"/>
      <c r="N14" s="636"/>
      <c r="O14" s="637"/>
      <c r="P14" s="638"/>
      <c r="Q14" s="639"/>
      <c r="R14" s="637"/>
      <c r="S14" s="639"/>
      <c r="T14" s="635"/>
      <c r="U14" s="1337"/>
      <c r="V14" s="1337"/>
    </row>
    <row r="15" spans="1:58" s="19" customFormat="1" ht="18" customHeight="1">
      <c r="A15" s="561" t="s">
        <v>196</v>
      </c>
      <c r="B15" s="562" t="s">
        <v>197</v>
      </c>
      <c r="C15" s="563"/>
      <c r="D15" s="180">
        <v>-5855340.7771950085</v>
      </c>
      <c r="E15" s="702">
        <v>48734610.397118755</v>
      </c>
      <c r="F15" s="640">
        <f>SUM(D15:E15)</f>
        <v>42879269.619923748</v>
      </c>
      <c r="G15" s="180">
        <v>-222160.39667667318</v>
      </c>
      <c r="H15" s="702">
        <v>1849064.0920294363</v>
      </c>
      <c r="I15" s="640">
        <f>SUM(G15:H15)</f>
        <v>1626903.6953527632</v>
      </c>
      <c r="J15" s="180">
        <v>-81988.171321573522</v>
      </c>
      <c r="K15" s="702">
        <v>682396.0788227981</v>
      </c>
      <c r="L15" s="640">
        <f>SUM(J15:K15)</f>
        <v>600407.90750122454</v>
      </c>
      <c r="M15" s="180">
        <v>0</v>
      </c>
      <c r="N15" s="702">
        <v>54566.513144856901</v>
      </c>
      <c r="O15" s="640">
        <f>SUM(M15:N15)</f>
        <v>54566.513144856901</v>
      </c>
      <c r="P15" s="130">
        <f>SUM(D15,G15,J15,M15)</f>
        <v>-6159489.3451932557</v>
      </c>
      <c r="Q15" s="641">
        <f>P15/T15</f>
        <v>-0.13638912326167046</v>
      </c>
      <c r="R15" s="132">
        <f>SUM(E15,H15,K15,N15)</f>
        <v>51320637.081115849</v>
      </c>
      <c r="S15" s="641">
        <f>R15/T15</f>
        <v>1.1363891232616705</v>
      </c>
      <c r="T15" s="640">
        <f>SUM(P15,R15)</f>
        <v>45161147.73592259</v>
      </c>
      <c r="U15" s="1338">
        <f>+P15-'T9'!E13</f>
        <v>0</v>
      </c>
      <c r="V15" s="1338">
        <f>+R15-'T9'!G13</f>
        <v>0</v>
      </c>
    </row>
    <row r="16" spans="1:58" s="19" customFormat="1" ht="18" customHeight="1">
      <c r="A16" s="559"/>
      <c r="B16" s="566" t="s">
        <v>198</v>
      </c>
      <c r="C16" s="567"/>
      <c r="D16" s="633"/>
      <c r="E16" s="642"/>
      <c r="F16" s="643"/>
      <c r="G16" s="644"/>
      <c r="H16" s="642"/>
      <c r="I16" s="643"/>
      <c r="J16" s="644"/>
      <c r="K16" s="642"/>
      <c r="L16" s="643"/>
      <c r="M16" s="644"/>
      <c r="N16" s="645"/>
      <c r="O16" s="646"/>
      <c r="P16" s="638"/>
      <c r="Q16" s="639"/>
      <c r="R16" s="637"/>
      <c r="S16" s="639"/>
      <c r="T16" s="635"/>
      <c r="U16" s="1337"/>
      <c r="V16" s="1337"/>
    </row>
    <row r="17" spans="1:22" s="19" customFormat="1" ht="18" customHeight="1">
      <c r="A17" s="559"/>
      <c r="B17" s="566" t="s">
        <v>199</v>
      </c>
      <c r="C17" s="567"/>
      <c r="D17" s="633"/>
      <c r="E17" s="642"/>
      <c r="F17" s="643"/>
      <c r="G17" s="644"/>
      <c r="H17" s="642"/>
      <c r="I17" s="643"/>
      <c r="J17" s="644"/>
      <c r="K17" s="642"/>
      <c r="L17" s="643"/>
      <c r="M17" s="644"/>
      <c r="N17" s="644"/>
      <c r="O17" s="647"/>
      <c r="P17" s="648"/>
      <c r="Q17" s="649"/>
      <c r="R17" s="650"/>
      <c r="S17" s="649"/>
      <c r="T17" s="643"/>
      <c r="U17" s="1305"/>
      <c r="V17" s="1305"/>
    </row>
    <row r="18" spans="1:22" s="19" customFormat="1" ht="17.25" customHeight="1">
      <c r="A18" s="559"/>
      <c r="B18" s="566" t="s">
        <v>200</v>
      </c>
      <c r="C18" s="567"/>
      <c r="D18" s="633"/>
      <c r="E18" s="634"/>
      <c r="F18" s="635"/>
      <c r="G18" s="636"/>
      <c r="H18" s="634"/>
      <c r="I18" s="635"/>
      <c r="J18" s="636"/>
      <c r="K18" s="634"/>
      <c r="L18" s="635"/>
      <c r="M18" s="636"/>
      <c r="N18" s="636"/>
      <c r="O18" s="637"/>
      <c r="P18" s="648"/>
      <c r="Q18" s="649"/>
      <c r="R18" s="650"/>
      <c r="S18" s="649"/>
      <c r="T18" s="643"/>
      <c r="U18" s="1305"/>
      <c r="V18" s="1305"/>
    </row>
    <row r="19" spans="1:22" s="19" customFormat="1" ht="18" customHeight="1">
      <c r="A19" s="559"/>
      <c r="B19" s="553"/>
      <c r="C19" s="572"/>
      <c r="D19" s="633"/>
      <c r="E19" s="634"/>
      <c r="F19" s="635"/>
      <c r="G19" s="636"/>
      <c r="H19" s="634"/>
      <c r="I19" s="635"/>
      <c r="J19" s="636"/>
      <c r="K19" s="634"/>
      <c r="L19" s="635"/>
      <c r="M19" s="636"/>
      <c r="N19" s="636"/>
      <c r="O19" s="637"/>
      <c r="P19" s="638"/>
      <c r="Q19" s="639"/>
      <c r="R19" s="637"/>
      <c r="S19" s="639"/>
      <c r="T19" s="635"/>
      <c r="U19" s="1337"/>
      <c r="V19" s="1337"/>
    </row>
    <row r="20" spans="1:22" s="19" customFormat="1" ht="19.5" customHeight="1">
      <c r="A20" s="561" t="s">
        <v>201</v>
      </c>
      <c r="B20" s="562" t="s">
        <v>202</v>
      </c>
      <c r="C20" s="567"/>
      <c r="D20" s="180">
        <v>0</v>
      </c>
      <c r="E20" s="702">
        <v>0</v>
      </c>
      <c r="F20" s="640">
        <f>SUM(D20:E20)</f>
        <v>0</v>
      </c>
      <c r="G20" s="180">
        <v>0</v>
      </c>
      <c r="H20" s="702">
        <v>0</v>
      </c>
      <c r="I20" s="640">
        <f>SUM(G20:H20)</f>
        <v>0</v>
      </c>
      <c r="J20" s="180">
        <v>0</v>
      </c>
      <c r="K20" s="702">
        <v>0</v>
      </c>
      <c r="L20" s="640">
        <f>SUM(J20:K20)</f>
        <v>0</v>
      </c>
      <c r="M20" s="180">
        <v>0</v>
      </c>
      <c r="N20" s="702">
        <v>0</v>
      </c>
      <c r="O20" s="640">
        <f>SUM(M20:N20)</f>
        <v>0</v>
      </c>
      <c r="P20" s="130">
        <f>SUM(D20,G20,J20,M20)</f>
        <v>0</v>
      </c>
      <c r="Q20" s="641" t="e">
        <f>P20/T20</f>
        <v>#DIV/0!</v>
      </c>
      <c r="R20" s="132">
        <f>SUM(E20,H20,K20,N20)</f>
        <v>0</v>
      </c>
      <c r="S20" s="641" t="e">
        <f>R20/T20</f>
        <v>#DIV/0!</v>
      </c>
      <c r="T20" s="640">
        <f>SUM(P20,R20)</f>
        <v>0</v>
      </c>
      <c r="U20" s="1338">
        <f>+P20-'T9'!E18</f>
        <v>0</v>
      </c>
      <c r="V20" s="1338">
        <f>+R20-'T9'!G18</f>
        <v>0</v>
      </c>
    </row>
    <row r="21" spans="1:22" s="19" customFormat="1" ht="14.25" customHeight="1">
      <c r="A21" s="559"/>
      <c r="B21" s="553"/>
      <c r="C21" s="572"/>
      <c r="D21" s="636"/>
      <c r="E21" s="634"/>
      <c r="F21" s="635"/>
      <c r="G21" s="636"/>
      <c r="H21" s="634"/>
      <c r="I21" s="635"/>
      <c r="J21" s="636"/>
      <c r="K21" s="634"/>
      <c r="L21" s="635"/>
      <c r="M21" s="636"/>
      <c r="N21" s="636"/>
      <c r="O21" s="637"/>
      <c r="P21" s="638"/>
      <c r="Q21" s="639"/>
      <c r="R21" s="637"/>
      <c r="S21" s="639"/>
      <c r="T21" s="635"/>
      <c r="U21" s="1337"/>
      <c r="V21" s="1337"/>
    </row>
    <row r="22" spans="1:22" s="19" customFormat="1" ht="18" customHeight="1">
      <c r="A22" s="561" t="s">
        <v>203</v>
      </c>
      <c r="B22" s="575" t="s">
        <v>204</v>
      </c>
      <c r="C22" s="572"/>
      <c r="D22" s="180">
        <v>134449.84462707402</v>
      </c>
      <c r="E22" s="702">
        <v>837580.15537292592</v>
      </c>
      <c r="F22" s="640">
        <f>SUM(D22:E22)</f>
        <v>972030</v>
      </c>
      <c r="G22" s="180">
        <v>4469.904405181449</v>
      </c>
      <c r="H22" s="702">
        <v>27846.095594818551</v>
      </c>
      <c r="I22" s="640">
        <f>SUM(G22:H22)</f>
        <v>32316</v>
      </c>
      <c r="J22" s="180">
        <v>2379.7717938837363</v>
      </c>
      <c r="K22" s="702">
        <v>14825.22820611626</v>
      </c>
      <c r="L22" s="640">
        <f>SUM(J22:K22)</f>
        <v>17204.999999999996</v>
      </c>
      <c r="M22" s="180">
        <v>0</v>
      </c>
      <c r="N22" s="702">
        <v>0</v>
      </c>
      <c r="O22" s="640">
        <f>SUM(M22:N22)</f>
        <v>0</v>
      </c>
      <c r="P22" s="651">
        <f>SUM(D22,G22,J22,M22)</f>
        <v>141299.5208261392</v>
      </c>
      <c r="Q22" s="652">
        <f>P22/T22</f>
        <v>0.13831861632570394</v>
      </c>
      <c r="R22" s="653">
        <f>SUM(E22,H22,K22,N22)</f>
        <v>880251.47917386075</v>
      </c>
      <c r="S22" s="652">
        <f>R22/T22</f>
        <v>0.86168138367429603</v>
      </c>
      <c r="T22" s="654">
        <f>SUM(P22,R22)</f>
        <v>1021551</v>
      </c>
      <c r="U22" s="1339">
        <f>+P22-'T9'!E20</f>
        <v>0</v>
      </c>
      <c r="V22" s="1339">
        <f>+R22-'T9'!G20</f>
        <v>0</v>
      </c>
    </row>
    <row r="23" spans="1:22" s="19" customFormat="1" ht="18" customHeight="1">
      <c r="A23" s="559"/>
      <c r="B23" s="566" t="s">
        <v>38</v>
      </c>
      <c r="C23" s="567"/>
      <c r="D23" s="655"/>
      <c r="E23" s="656"/>
      <c r="F23" s="657"/>
      <c r="G23" s="656"/>
      <c r="H23" s="656"/>
      <c r="I23" s="657"/>
      <c r="J23" s="656"/>
      <c r="K23" s="656"/>
      <c r="L23" s="657"/>
      <c r="M23" s="656"/>
      <c r="N23" s="656"/>
      <c r="O23" s="658"/>
      <c r="P23" s="659"/>
      <c r="Q23" s="641"/>
      <c r="R23" s="660"/>
      <c r="S23" s="641"/>
      <c r="T23" s="661"/>
      <c r="U23" s="1340"/>
      <c r="V23" s="1340"/>
    </row>
    <row r="24" spans="1:22" s="19" customFormat="1" ht="18" customHeight="1">
      <c r="A24" s="559"/>
      <c r="B24" s="566" t="s">
        <v>37</v>
      </c>
      <c r="C24" s="567"/>
      <c r="D24" s="655"/>
      <c r="E24" s="656"/>
      <c r="F24" s="657"/>
      <c r="G24" s="656"/>
      <c r="H24" s="656"/>
      <c r="I24" s="657"/>
      <c r="J24" s="656"/>
      <c r="K24" s="656"/>
      <c r="L24" s="657"/>
      <c r="M24" s="656"/>
      <c r="N24" s="656"/>
      <c r="O24" s="658"/>
      <c r="P24" s="662"/>
      <c r="Q24" s="663"/>
      <c r="R24" s="664"/>
      <c r="S24" s="663"/>
      <c r="T24" s="665"/>
      <c r="U24" s="1341"/>
      <c r="V24" s="1341"/>
    </row>
    <row r="25" spans="1:22" s="19" customFormat="1" ht="21" customHeight="1">
      <c r="A25" s="559"/>
      <c r="B25" s="566" t="s">
        <v>36</v>
      </c>
      <c r="C25" s="567"/>
      <c r="D25" s="666"/>
      <c r="E25" s="667"/>
      <c r="F25" s="668"/>
      <c r="G25" s="667"/>
      <c r="H25" s="667"/>
      <c r="I25" s="668"/>
      <c r="J25" s="667"/>
      <c r="K25" s="667"/>
      <c r="L25" s="668"/>
      <c r="M25" s="667"/>
      <c r="N25" s="669"/>
      <c r="O25" s="670"/>
      <c r="P25" s="662"/>
      <c r="Q25" s="663"/>
      <c r="R25" s="664"/>
      <c r="S25" s="663"/>
      <c r="T25" s="665"/>
      <c r="U25" s="1341"/>
      <c r="V25" s="1341"/>
    </row>
    <row r="26" spans="1:22" s="19" customFormat="1" ht="18" customHeight="1">
      <c r="A26" s="559"/>
      <c r="B26" s="553"/>
      <c r="C26" s="572"/>
      <c r="D26" s="633"/>
      <c r="E26" s="634"/>
      <c r="F26" s="635"/>
      <c r="G26" s="636"/>
      <c r="H26" s="636"/>
      <c r="I26" s="671"/>
      <c r="J26" s="636"/>
      <c r="K26" s="636"/>
      <c r="L26" s="672"/>
      <c r="M26" s="673"/>
      <c r="N26" s="636"/>
      <c r="O26" s="674"/>
      <c r="P26" s="638"/>
      <c r="Q26" s="639"/>
      <c r="R26" s="637"/>
      <c r="S26" s="639"/>
      <c r="T26" s="635"/>
      <c r="U26" s="1337"/>
      <c r="V26" s="1337"/>
    </row>
    <row r="27" spans="1:22" s="20" customFormat="1" ht="18" customHeight="1">
      <c r="A27" s="552" t="s">
        <v>205</v>
      </c>
      <c r="B27" s="562"/>
      <c r="C27" s="675"/>
      <c r="D27" s="183">
        <v>-251439.74623360945</v>
      </c>
      <c r="E27" s="703">
        <v>1358526.0000000002</v>
      </c>
      <c r="F27" s="640">
        <f>SUM(D27:E27)</f>
        <v>1107086.2537663907</v>
      </c>
      <c r="G27" s="183">
        <v>0</v>
      </c>
      <c r="H27" s="703">
        <v>0</v>
      </c>
      <c r="I27" s="640">
        <f>SUM(G27:H27)</f>
        <v>0</v>
      </c>
      <c r="J27" s="183">
        <v>0</v>
      </c>
      <c r="K27" s="703">
        <v>0</v>
      </c>
      <c r="L27" s="640">
        <f>SUM(J27:K27)</f>
        <v>0</v>
      </c>
      <c r="M27" s="183">
        <v>0</v>
      </c>
      <c r="N27" s="703">
        <v>0</v>
      </c>
      <c r="O27" s="640">
        <f>SUM(M27:N27)</f>
        <v>0</v>
      </c>
      <c r="P27" s="130">
        <f>SUM(D27,G27,J27,M27)</f>
        <v>-251439.74623360945</v>
      </c>
      <c r="Q27" s="641">
        <f>P27/T27</f>
        <v>-0.22711847914125255</v>
      </c>
      <c r="R27" s="132">
        <f>SUM(E27,H27,K27,N27)</f>
        <v>1358526.0000000002</v>
      </c>
      <c r="S27" s="641">
        <f>R27/T27</f>
        <v>1.2271184791412526</v>
      </c>
      <c r="T27" s="640">
        <f>SUM(P27,R27)</f>
        <v>1107086.2537663907</v>
      </c>
      <c r="U27" s="1338">
        <f>+P27-'T9'!E25</f>
        <v>0</v>
      </c>
      <c r="V27" s="1338">
        <f>+R27-'T9'!G25</f>
        <v>0</v>
      </c>
    </row>
    <row r="28" spans="1:22" s="19" customFormat="1" ht="18" customHeight="1">
      <c r="A28" s="559"/>
      <c r="B28" s="553"/>
      <c r="C28" s="572"/>
      <c r="D28" s="633"/>
      <c r="E28" s="634"/>
      <c r="F28" s="635"/>
      <c r="G28" s="636"/>
      <c r="H28" s="634"/>
      <c r="I28" s="635"/>
      <c r="J28" s="636"/>
      <c r="K28" s="634"/>
      <c r="L28" s="635"/>
      <c r="M28" s="636"/>
      <c r="N28" s="636"/>
      <c r="O28" s="637"/>
      <c r="P28" s="638"/>
      <c r="Q28" s="639"/>
      <c r="R28" s="637"/>
      <c r="S28" s="639"/>
      <c r="T28" s="635"/>
      <c r="U28" s="1337"/>
      <c r="V28" s="1337"/>
    </row>
    <row r="29" spans="1:22" s="20" customFormat="1" ht="20.25" customHeight="1">
      <c r="A29" s="552" t="s">
        <v>309</v>
      </c>
      <c r="B29" s="562"/>
      <c r="C29" s="675"/>
      <c r="D29" s="183">
        <v>0</v>
      </c>
      <c r="E29" s="703">
        <v>0</v>
      </c>
      <c r="F29" s="640">
        <f>SUM(D29:E29)</f>
        <v>0</v>
      </c>
      <c r="G29" s="183">
        <v>0</v>
      </c>
      <c r="H29" s="703">
        <v>0</v>
      </c>
      <c r="I29" s="640">
        <f>SUM(G29:H29)</f>
        <v>0</v>
      </c>
      <c r="J29" s="183">
        <v>0</v>
      </c>
      <c r="K29" s="703">
        <v>0</v>
      </c>
      <c r="L29" s="640">
        <f>SUM(J29:K29)</f>
        <v>0</v>
      </c>
      <c r="M29" s="183">
        <v>0</v>
      </c>
      <c r="N29" s="703">
        <v>0</v>
      </c>
      <c r="O29" s="640">
        <f>SUM(M29:N29)</f>
        <v>0</v>
      </c>
      <c r="P29" s="130">
        <f>SUM(D29,G29,J29,M29)</f>
        <v>0</v>
      </c>
      <c r="Q29" s="641" t="e">
        <f>P29/T29</f>
        <v>#DIV/0!</v>
      </c>
      <c r="R29" s="132">
        <f>SUM(E29,H29,K29,N29)</f>
        <v>0</v>
      </c>
      <c r="S29" s="641" t="e">
        <f>R29/T29</f>
        <v>#DIV/0!</v>
      </c>
      <c r="T29" s="640">
        <f>SUM(P29,R29)</f>
        <v>0</v>
      </c>
      <c r="U29" s="1338">
        <f>+P29-'T9'!E27</f>
        <v>0</v>
      </c>
      <c r="V29" s="1338">
        <f>+R29-'T9'!G27</f>
        <v>0</v>
      </c>
    </row>
    <row r="30" spans="1:22" s="19" customFormat="1" ht="18" customHeight="1">
      <c r="A30" s="559"/>
      <c r="B30" s="553"/>
      <c r="C30" s="572"/>
      <c r="D30" s="633"/>
      <c r="E30" s="634"/>
      <c r="F30" s="635"/>
      <c r="G30" s="636"/>
      <c r="H30" s="634"/>
      <c r="I30" s="635"/>
      <c r="J30" s="636"/>
      <c r="K30" s="634"/>
      <c r="L30" s="635"/>
      <c r="M30" s="636"/>
      <c r="N30" s="636"/>
      <c r="O30" s="637"/>
      <c r="P30" s="638"/>
      <c r="Q30" s="639"/>
      <c r="R30" s="637"/>
      <c r="S30" s="639"/>
      <c r="T30" s="635"/>
      <c r="U30" s="1337"/>
      <c r="V30" s="1337"/>
    </row>
    <row r="31" spans="1:22" s="20" customFormat="1" ht="17.25" customHeight="1">
      <c r="A31" s="552" t="s">
        <v>310</v>
      </c>
      <c r="B31" s="562"/>
      <c r="C31" s="675"/>
      <c r="D31" s="183">
        <v>0</v>
      </c>
      <c r="E31" s="703">
        <v>0</v>
      </c>
      <c r="F31" s="640">
        <f>SUM(D31:E31)</f>
        <v>0</v>
      </c>
      <c r="G31" s="183">
        <v>0</v>
      </c>
      <c r="H31" s="703">
        <v>0</v>
      </c>
      <c r="I31" s="640">
        <f>SUM(G31:H31)</f>
        <v>0</v>
      </c>
      <c r="J31" s="183">
        <v>0</v>
      </c>
      <c r="K31" s="703">
        <v>0</v>
      </c>
      <c r="L31" s="640">
        <f>SUM(J31:K31)</f>
        <v>0</v>
      </c>
      <c r="M31" s="183">
        <v>0</v>
      </c>
      <c r="N31" s="703">
        <v>0</v>
      </c>
      <c r="O31" s="640">
        <f>SUM(M31:N31)</f>
        <v>0</v>
      </c>
      <c r="P31" s="130">
        <f>SUM(D31,G31,J31,M31)</f>
        <v>0</v>
      </c>
      <c r="Q31" s="641" t="e">
        <f>P31/T31</f>
        <v>#DIV/0!</v>
      </c>
      <c r="R31" s="132">
        <f>SUM(E31,H31,K31,N31)</f>
        <v>0</v>
      </c>
      <c r="S31" s="641" t="e">
        <f>R31/T31</f>
        <v>#DIV/0!</v>
      </c>
      <c r="T31" s="640">
        <f>SUM(P31,R31)</f>
        <v>0</v>
      </c>
      <c r="U31" s="1338">
        <f>+P31-'T9'!E29</f>
        <v>0</v>
      </c>
      <c r="V31" s="1338">
        <f>+R31-'T9'!G29</f>
        <v>0</v>
      </c>
    </row>
    <row r="32" spans="1:22" s="19" customFormat="1" ht="18" customHeight="1">
      <c r="A32" s="559"/>
      <c r="B32" s="553"/>
      <c r="C32" s="572"/>
      <c r="D32" s="633"/>
      <c r="E32" s="634"/>
      <c r="F32" s="635"/>
      <c r="G32" s="636"/>
      <c r="H32" s="634"/>
      <c r="I32" s="635"/>
      <c r="J32" s="636"/>
      <c r="K32" s="634"/>
      <c r="L32" s="635"/>
      <c r="M32" s="636"/>
      <c r="N32" s="636"/>
      <c r="O32" s="637"/>
      <c r="P32" s="638"/>
      <c r="Q32" s="639"/>
      <c r="R32" s="637"/>
      <c r="S32" s="639"/>
      <c r="T32" s="635"/>
      <c r="U32" s="1337"/>
      <c r="V32" s="1337"/>
    </row>
    <row r="33" spans="1:22" s="20" customFormat="1" ht="22.5" customHeight="1">
      <c r="A33" s="576" t="s">
        <v>311</v>
      </c>
      <c r="B33" s="562"/>
      <c r="C33" s="676"/>
      <c r="D33" s="130">
        <f>SUM(D34:D39)</f>
        <v>11001678.494084474</v>
      </c>
      <c r="E33" s="677">
        <f t="shared" ref="E33:N33" si="1">SUM(E34:E39)</f>
        <v>0</v>
      </c>
      <c r="F33" s="640">
        <f t="shared" ref="F33:F39" si="2">SUM(D33:E33)</f>
        <v>11001678.494084474</v>
      </c>
      <c r="G33" s="130">
        <f t="shared" si="1"/>
        <v>416547.30639043578</v>
      </c>
      <c r="H33" s="677">
        <f t="shared" si="1"/>
        <v>0</v>
      </c>
      <c r="I33" s="640">
        <f t="shared" ref="I33:I39" si="3">SUM(G33:H33)</f>
        <v>416547.30639043578</v>
      </c>
      <c r="J33" s="130">
        <f t="shared" si="1"/>
        <v>154736.04401312707</v>
      </c>
      <c r="K33" s="677">
        <f t="shared" si="1"/>
        <v>0</v>
      </c>
      <c r="L33" s="640">
        <f t="shared" ref="L33:L39" si="4">SUM(J33:K33)</f>
        <v>154736.04401312707</v>
      </c>
      <c r="M33" s="130">
        <f t="shared" si="1"/>
        <v>0</v>
      </c>
      <c r="N33" s="677">
        <f t="shared" si="1"/>
        <v>0</v>
      </c>
      <c r="O33" s="640">
        <f t="shared" ref="O33:O39" si="5">SUM(M33:N33)</f>
        <v>0</v>
      </c>
      <c r="P33" s="130">
        <f>SUM(P34:P39)</f>
        <v>11572961.844488038</v>
      </c>
      <c r="Q33" s="641">
        <f t="shared" ref="Q33:Q39" si="6">P33/T33</f>
        <v>1</v>
      </c>
      <c r="R33" s="132">
        <f>SUM(R34:R39)</f>
        <v>0</v>
      </c>
      <c r="S33" s="641">
        <f t="shared" ref="S33:S41" si="7">R33/T33</f>
        <v>0</v>
      </c>
      <c r="T33" s="640">
        <f>SUM(T34:T39)</f>
        <v>11572961.844488038</v>
      </c>
      <c r="U33" s="1338">
        <f>+P33-'T9'!E31</f>
        <v>0</v>
      </c>
      <c r="V33" s="1338">
        <f>+R33-'T9'!G31</f>
        <v>0</v>
      </c>
    </row>
    <row r="34" spans="1:22" s="19" customFormat="1" ht="18" customHeight="1">
      <c r="A34" s="561" t="s">
        <v>196</v>
      </c>
      <c r="B34" s="660" t="s">
        <v>215</v>
      </c>
      <c r="C34" s="567"/>
      <c r="D34" s="180">
        <v>0</v>
      </c>
      <c r="E34" s="702">
        <v>0</v>
      </c>
      <c r="F34" s="640">
        <f t="shared" si="2"/>
        <v>0</v>
      </c>
      <c r="G34" s="180">
        <v>0</v>
      </c>
      <c r="H34" s="702">
        <v>0</v>
      </c>
      <c r="I34" s="640">
        <f t="shared" si="3"/>
        <v>0</v>
      </c>
      <c r="J34" s="180">
        <v>0</v>
      </c>
      <c r="K34" s="702">
        <v>0</v>
      </c>
      <c r="L34" s="640">
        <f t="shared" si="4"/>
        <v>0</v>
      </c>
      <c r="M34" s="180">
        <v>0</v>
      </c>
      <c r="N34" s="702">
        <v>0</v>
      </c>
      <c r="O34" s="640">
        <f t="shared" si="5"/>
        <v>0</v>
      </c>
      <c r="P34" s="130">
        <f t="shared" ref="P34:P39" si="8">SUM(D34,G34,J34,M34)</f>
        <v>0</v>
      </c>
      <c r="Q34" s="641" t="e">
        <f t="shared" si="6"/>
        <v>#DIV/0!</v>
      </c>
      <c r="R34" s="132">
        <f t="shared" ref="R34:R39" si="9">SUM(E34,H34,K34,N34)</f>
        <v>0</v>
      </c>
      <c r="S34" s="641" t="e">
        <f t="shared" si="7"/>
        <v>#DIV/0!</v>
      </c>
      <c r="T34" s="640">
        <f t="shared" ref="T34:T39" si="10">SUM(P34,R34)</f>
        <v>0</v>
      </c>
      <c r="U34" s="1338">
        <f>+P34-'T9'!E32</f>
        <v>0</v>
      </c>
      <c r="V34" s="1338">
        <f>+R34-'T9'!G32</f>
        <v>0</v>
      </c>
    </row>
    <row r="35" spans="1:22" s="19" customFormat="1" ht="18" customHeight="1">
      <c r="A35" s="561" t="s">
        <v>201</v>
      </c>
      <c r="B35" s="562" t="s">
        <v>296</v>
      </c>
      <c r="C35" s="567"/>
      <c r="D35" s="180">
        <v>0</v>
      </c>
      <c r="E35" s="702">
        <v>0</v>
      </c>
      <c r="F35" s="640">
        <f t="shared" si="2"/>
        <v>0</v>
      </c>
      <c r="G35" s="180">
        <v>0</v>
      </c>
      <c r="H35" s="702">
        <v>0</v>
      </c>
      <c r="I35" s="640">
        <f t="shared" si="3"/>
        <v>0</v>
      </c>
      <c r="J35" s="180">
        <v>0</v>
      </c>
      <c r="K35" s="702">
        <v>0</v>
      </c>
      <c r="L35" s="640">
        <f t="shared" si="4"/>
        <v>0</v>
      </c>
      <c r="M35" s="180">
        <v>0</v>
      </c>
      <c r="N35" s="702">
        <v>0</v>
      </c>
      <c r="O35" s="640">
        <f t="shared" si="5"/>
        <v>0</v>
      </c>
      <c r="P35" s="130">
        <f t="shared" si="8"/>
        <v>0</v>
      </c>
      <c r="Q35" s="641" t="e">
        <f t="shared" si="6"/>
        <v>#DIV/0!</v>
      </c>
      <c r="R35" s="132">
        <f t="shared" si="9"/>
        <v>0</v>
      </c>
      <c r="S35" s="641" t="e">
        <f t="shared" si="7"/>
        <v>#DIV/0!</v>
      </c>
      <c r="T35" s="640">
        <f t="shared" si="10"/>
        <v>0</v>
      </c>
      <c r="U35" s="1338">
        <f>+P35-'T9'!E33</f>
        <v>0</v>
      </c>
      <c r="V35" s="1338">
        <f>+R35-'T9'!G33</f>
        <v>0</v>
      </c>
    </row>
    <row r="36" spans="1:22" s="19" customFormat="1" ht="18" customHeight="1">
      <c r="A36" s="678" t="s">
        <v>203</v>
      </c>
      <c r="B36" s="660" t="s">
        <v>58</v>
      </c>
      <c r="C36" s="567"/>
      <c r="D36" s="180">
        <v>0</v>
      </c>
      <c r="E36" s="702">
        <v>0</v>
      </c>
      <c r="F36" s="640">
        <f t="shared" si="2"/>
        <v>0</v>
      </c>
      <c r="G36" s="180">
        <v>0</v>
      </c>
      <c r="H36" s="702">
        <v>0</v>
      </c>
      <c r="I36" s="640">
        <f t="shared" si="3"/>
        <v>0</v>
      </c>
      <c r="J36" s="180">
        <v>0</v>
      </c>
      <c r="K36" s="702">
        <v>0</v>
      </c>
      <c r="L36" s="640">
        <f t="shared" si="4"/>
        <v>0</v>
      </c>
      <c r="M36" s="180">
        <v>0</v>
      </c>
      <c r="N36" s="702">
        <v>0</v>
      </c>
      <c r="O36" s="640">
        <f t="shared" si="5"/>
        <v>0</v>
      </c>
      <c r="P36" s="130">
        <f t="shared" si="8"/>
        <v>0</v>
      </c>
      <c r="Q36" s="641" t="e">
        <f t="shared" si="6"/>
        <v>#DIV/0!</v>
      </c>
      <c r="R36" s="132">
        <f t="shared" si="9"/>
        <v>0</v>
      </c>
      <c r="S36" s="641" t="e">
        <f t="shared" si="7"/>
        <v>#DIV/0!</v>
      </c>
      <c r="T36" s="640">
        <f t="shared" si="10"/>
        <v>0</v>
      </c>
      <c r="U36" s="1338">
        <f>+P36-'T9'!E34</f>
        <v>0</v>
      </c>
      <c r="V36" s="1338">
        <f>+R36-'T9'!G34</f>
        <v>0</v>
      </c>
    </row>
    <row r="37" spans="1:22" s="19" customFormat="1" ht="18" customHeight="1">
      <c r="A37" s="678" t="s">
        <v>211</v>
      </c>
      <c r="B37" s="562" t="s">
        <v>212</v>
      </c>
      <c r="C37" s="567"/>
      <c r="D37" s="180">
        <v>7305611.1470209677</v>
      </c>
      <c r="E37" s="702">
        <v>0</v>
      </c>
      <c r="F37" s="640">
        <f t="shared" si="2"/>
        <v>7305611.1470209677</v>
      </c>
      <c r="G37" s="180">
        <v>276606.21481202141</v>
      </c>
      <c r="H37" s="702">
        <v>0</v>
      </c>
      <c r="I37" s="640">
        <f t="shared" si="3"/>
        <v>276606.21481202141</v>
      </c>
      <c r="J37" s="180">
        <v>102751.71816701048</v>
      </c>
      <c r="K37" s="702">
        <v>0</v>
      </c>
      <c r="L37" s="640">
        <f t="shared" si="4"/>
        <v>102751.71816701048</v>
      </c>
      <c r="M37" s="180">
        <v>0</v>
      </c>
      <c r="N37" s="702">
        <v>0</v>
      </c>
      <c r="O37" s="640">
        <f t="shared" si="5"/>
        <v>0</v>
      </c>
      <c r="P37" s="130">
        <f t="shared" si="8"/>
        <v>7684969.0800000001</v>
      </c>
      <c r="Q37" s="641">
        <f t="shared" si="6"/>
        <v>1</v>
      </c>
      <c r="R37" s="132">
        <f t="shared" si="9"/>
        <v>0</v>
      </c>
      <c r="S37" s="641">
        <f t="shared" si="7"/>
        <v>0</v>
      </c>
      <c r="T37" s="640">
        <f t="shared" si="10"/>
        <v>7684969.0800000001</v>
      </c>
      <c r="U37" s="1338">
        <f>+P37-'T9'!E35</f>
        <v>0</v>
      </c>
      <c r="V37" s="1338">
        <f>+R37-'T9'!G35</f>
        <v>0</v>
      </c>
    </row>
    <row r="38" spans="1:22" s="19" customFormat="1" ht="15.75" customHeight="1">
      <c r="A38" s="678" t="s">
        <v>213</v>
      </c>
      <c r="B38" s="562" t="s">
        <v>294</v>
      </c>
      <c r="C38" s="567"/>
      <c r="D38" s="180">
        <v>0</v>
      </c>
      <c r="E38" s="702">
        <v>0</v>
      </c>
      <c r="F38" s="640">
        <f t="shared" si="2"/>
        <v>0</v>
      </c>
      <c r="G38" s="180">
        <v>0</v>
      </c>
      <c r="H38" s="702">
        <v>0</v>
      </c>
      <c r="I38" s="640">
        <f t="shared" si="3"/>
        <v>0</v>
      </c>
      <c r="J38" s="180">
        <v>0</v>
      </c>
      <c r="K38" s="702">
        <v>0</v>
      </c>
      <c r="L38" s="640">
        <f t="shared" si="4"/>
        <v>0</v>
      </c>
      <c r="M38" s="180">
        <v>0</v>
      </c>
      <c r="N38" s="702">
        <v>0</v>
      </c>
      <c r="O38" s="640">
        <f t="shared" si="5"/>
        <v>0</v>
      </c>
      <c r="P38" s="130">
        <f t="shared" si="8"/>
        <v>0</v>
      </c>
      <c r="Q38" s="641" t="e">
        <f t="shared" si="6"/>
        <v>#DIV/0!</v>
      </c>
      <c r="R38" s="132">
        <f t="shared" si="9"/>
        <v>0</v>
      </c>
      <c r="S38" s="641" t="e">
        <f t="shared" si="7"/>
        <v>#DIV/0!</v>
      </c>
      <c r="T38" s="640">
        <f t="shared" si="10"/>
        <v>0</v>
      </c>
      <c r="U38" s="1338">
        <f>+P38-'T9'!E36</f>
        <v>0</v>
      </c>
      <c r="V38" s="1338">
        <f>+R38-'T9'!G36</f>
        <v>0</v>
      </c>
    </row>
    <row r="39" spans="1:22" s="19" customFormat="1" ht="31.5" customHeight="1">
      <c r="A39" s="589" t="s">
        <v>214</v>
      </c>
      <c r="B39" s="590" t="s">
        <v>216</v>
      </c>
      <c r="C39" s="591"/>
      <c r="D39" s="611">
        <v>3696067.3470635065</v>
      </c>
      <c r="E39" s="704">
        <v>0</v>
      </c>
      <c r="F39" s="679">
        <f t="shared" si="2"/>
        <v>3696067.3470635065</v>
      </c>
      <c r="G39" s="611">
        <v>139941.0915784144</v>
      </c>
      <c r="H39" s="704">
        <v>0</v>
      </c>
      <c r="I39" s="679">
        <f t="shared" si="3"/>
        <v>139941.0915784144</v>
      </c>
      <c r="J39" s="611">
        <v>51984.32584611659</v>
      </c>
      <c r="K39" s="704">
        <v>0</v>
      </c>
      <c r="L39" s="679">
        <f t="shared" si="4"/>
        <v>51984.32584611659</v>
      </c>
      <c r="M39" s="611">
        <v>0</v>
      </c>
      <c r="N39" s="704">
        <v>0</v>
      </c>
      <c r="O39" s="679">
        <f t="shared" si="5"/>
        <v>0</v>
      </c>
      <c r="P39" s="680">
        <f t="shared" si="8"/>
        <v>3887992.7644880372</v>
      </c>
      <c r="Q39" s="681">
        <f t="shared" si="6"/>
        <v>1</v>
      </c>
      <c r="R39" s="682">
        <f t="shared" si="9"/>
        <v>0</v>
      </c>
      <c r="S39" s="681">
        <f t="shared" si="7"/>
        <v>0</v>
      </c>
      <c r="T39" s="679">
        <f t="shared" si="10"/>
        <v>3887992.7644880372</v>
      </c>
      <c r="U39" s="1342">
        <f>+P39-'T9'!E37</f>
        <v>0</v>
      </c>
      <c r="V39" s="1342">
        <f>+R39-'T9'!G37</f>
        <v>0</v>
      </c>
    </row>
    <row r="40" spans="1:22" s="19" customFormat="1" ht="15.75" customHeight="1" thickBot="1">
      <c r="A40" s="683"/>
      <c r="B40" s="597"/>
      <c r="C40" s="598"/>
      <c r="D40" s="684"/>
      <c r="E40" s="685"/>
      <c r="F40" s="686"/>
      <c r="G40" s="687"/>
      <c r="H40" s="685"/>
      <c r="I40" s="686"/>
      <c r="J40" s="687"/>
      <c r="K40" s="685"/>
      <c r="L40" s="688"/>
      <c r="M40" s="687"/>
      <c r="N40" s="689"/>
      <c r="O40" s="690"/>
      <c r="P40" s="684"/>
      <c r="Q40" s="691"/>
      <c r="R40" s="687"/>
      <c r="S40" s="691"/>
      <c r="T40" s="688"/>
      <c r="U40" s="1343"/>
      <c r="V40" s="1343"/>
    </row>
    <row r="41" spans="1:22" ht="14.4" thickBot="1">
      <c r="A41" s="692"/>
      <c r="B41" s="693" t="s">
        <v>217</v>
      </c>
      <c r="C41" s="694"/>
      <c r="D41" s="695">
        <f>SUM(D33,D31,D29,D27,D13)</f>
        <v>5029347.8152829306</v>
      </c>
      <c r="E41" s="696">
        <f>SUM(E33,E31,E29,E27,E13)</f>
        <v>50930716.55249168</v>
      </c>
      <c r="F41" s="697">
        <f>SUM(D41:E41)</f>
        <v>55960064.367774613</v>
      </c>
      <c r="G41" s="698">
        <f t="shared" ref="G41:M41" si="11">SUM(G33,G31,G29,G27,G13)</f>
        <v>198856.81411894405</v>
      </c>
      <c r="H41" s="696">
        <f>SUM(H33,H31,H29,H27,H13)</f>
        <v>1876910.1876242547</v>
      </c>
      <c r="I41" s="697">
        <f>SUM(G41:H41)</f>
        <v>2075767.0017431988</v>
      </c>
      <c r="J41" s="698">
        <f t="shared" si="11"/>
        <v>75127.644485437282</v>
      </c>
      <c r="K41" s="696">
        <f>SUM(K33,K31,K29,K27,K13)</f>
        <v>697221.30702891434</v>
      </c>
      <c r="L41" s="697">
        <f>SUM(J41:K41)</f>
        <v>772348.95151435165</v>
      </c>
      <c r="M41" s="698">
        <f t="shared" si="11"/>
        <v>0</v>
      </c>
      <c r="N41" s="698">
        <f>SUM(N33,N31,N29,N27,N13)</f>
        <v>54566.513144856901</v>
      </c>
      <c r="O41" s="698">
        <f>SUM(M41:N41)</f>
        <v>54566.513144856901</v>
      </c>
      <c r="P41" s="699">
        <f>SUM(D41,G41,J41,M41)</f>
        <v>5303332.273887312</v>
      </c>
      <c r="Q41" s="700">
        <f>P41/T41</f>
        <v>9.009658160920346E-2</v>
      </c>
      <c r="R41" s="699">
        <f>SUM(E41,H41,K41,N41)</f>
        <v>53559414.560289703</v>
      </c>
      <c r="S41" s="700">
        <f t="shared" si="7"/>
        <v>0.90990341839079647</v>
      </c>
      <c r="T41" s="697">
        <f>SUM(F41,I41,L41,O41)</f>
        <v>58862746.834177017</v>
      </c>
      <c r="U41" s="1344">
        <f>+P41-'T9'!E39</f>
        <v>0</v>
      </c>
      <c r="V41" s="1344">
        <f>+R41-'T9'!G39</f>
        <v>0</v>
      </c>
    </row>
    <row r="43" spans="1:22">
      <c r="O43" s="1306" t="s">
        <v>308</v>
      </c>
      <c r="P43" s="1307">
        <f>+P41-SUM(P33,P31,P29,P27,P13)</f>
        <v>0</v>
      </c>
      <c r="Q43" s="1307"/>
      <c r="R43" s="1307">
        <f>+R41-SUM(R33,R31,R29,R27,R13)</f>
        <v>0</v>
      </c>
      <c r="S43" s="1307"/>
      <c r="T43" s="1307">
        <f>+T41-SUM(T33,T31,T29,T27,T13)</f>
        <v>0</v>
      </c>
    </row>
    <row r="44" spans="1:22">
      <c r="O44" s="609"/>
      <c r="P44" s="610"/>
      <c r="Q44" s="610"/>
      <c r="R44" s="610"/>
      <c r="S44" s="610"/>
      <c r="T44" s="609"/>
    </row>
    <row r="46" spans="1:22" s="701" customFormat="1">
      <c r="A46" s="415"/>
      <c r="B46" s="272" t="s">
        <v>318</v>
      </c>
      <c r="C46" s="415"/>
      <c r="D46" s="994">
        <f>D41/F41</f>
        <v>8.9873874737341278E-2</v>
      </c>
      <c r="E46" s="994">
        <f>E41/F41</f>
        <v>0.91012612526265868</v>
      </c>
      <c r="F46" s="994">
        <f>+F41/F41</f>
        <v>1</v>
      </c>
      <c r="G46" s="994">
        <f>G41/I41</f>
        <v>9.5799198056403731E-2</v>
      </c>
      <c r="H46" s="994">
        <f>H41/I41</f>
        <v>0.9042008019435962</v>
      </c>
      <c r="I46" s="994">
        <f>+I41/I41</f>
        <v>1</v>
      </c>
      <c r="J46" s="994">
        <f>J41/L41</f>
        <v>9.7271633939728694E-2</v>
      </c>
      <c r="K46" s="994">
        <f>K41/L41</f>
        <v>0.90272836606027129</v>
      </c>
      <c r="L46" s="994">
        <f>+L41/L41</f>
        <v>1</v>
      </c>
      <c r="M46" s="994">
        <f>M41/O41</f>
        <v>0</v>
      </c>
      <c r="N46" s="994">
        <f>N41/O41</f>
        <v>1</v>
      </c>
      <c r="O46" s="994">
        <f>+O41/O41</f>
        <v>1</v>
      </c>
      <c r="P46" s="994">
        <f>P41/T41</f>
        <v>9.009658160920346E-2</v>
      </c>
      <c r="Q46" s="994"/>
      <c r="R46" s="994">
        <f>R41/T41</f>
        <v>0.90990341839079647</v>
      </c>
      <c r="S46" s="994"/>
      <c r="T46" s="994">
        <f>+T41/T41</f>
        <v>1</v>
      </c>
    </row>
    <row r="47" spans="1:22">
      <c r="B47" s="272"/>
      <c r="D47" s="995"/>
      <c r="E47" s="995"/>
      <c r="F47" s="995"/>
      <c r="G47" s="995"/>
      <c r="H47" s="995"/>
      <c r="I47" s="995"/>
      <c r="J47" s="995"/>
      <c r="K47" s="995"/>
      <c r="L47" s="995"/>
      <c r="M47" s="995"/>
      <c r="N47" s="995"/>
      <c r="O47" s="995"/>
      <c r="P47" s="995"/>
      <c r="Q47" s="995"/>
      <c r="R47" s="995"/>
      <c r="S47" s="995"/>
      <c r="T47" s="995"/>
    </row>
    <row r="48" spans="1:22">
      <c r="B48" s="272" t="s">
        <v>89</v>
      </c>
      <c r="D48" s="996"/>
      <c r="E48" s="996"/>
      <c r="F48" s="994">
        <f>F41/$T$41</f>
        <v>0.95068727467680725</v>
      </c>
      <c r="G48" s="996"/>
      <c r="H48" s="996"/>
      <c r="I48" s="994">
        <f>I41/$T$41</f>
        <v>3.526452830328948E-2</v>
      </c>
      <c r="J48" s="996"/>
      <c r="K48" s="996"/>
      <c r="L48" s="994">
        <f>L41/$T$41</f>
        <v>1.3121184332259343E-2</v>
      </c>
      <c r="M48" s="996"/>
      <c r="N48" s="996"/>
      <c r="O48" s="994">
        <f>O41/$T$41</f>
        <v>9.2701268764396787E-4</v>
      </c>
      <c r="P48" s="996"/>
      <c r="Q48" s="996"/>
      <c r="R48" s="996"/>
      <c r="S48" s="996"/>
      <c r="T48" s="994">
        <f>+T41/T41</f>
        <v>1</v>
      </c>
    </row>
    <row r="49" spans="4:20">
      <c r="D49" s="995"/>
      <c r="E49" s="995"/>
      <c r="F49" s="995"/>
      <c r="G49" s="995"/>
      <c r="H49" s="995"/>
      <c r="I49" s="995"/>
      <c r="J49" s="995"/>
      <c r="K49" s="995"/>
      <c r="L49" s="995"/>
      <c r="M49" s="995"/>
      <c r="N49" s="995"/>
      <c r="O49" s="995"/>
      <c r="P49" s="995"/>
      <c r="Q49" s="995"/>
      <c r="R49" s="995"/>
      <c r="S49" s="995"/>
      <c r="T49" s="995"/>
    </row>
  </sheetData>
  <mergeCells count="14">
    <mergeCell ref="U9:V9"/>
    <mergeCell ref="A9:C11"/>
    <mergeCell ref="C6:F6"/>
    <mergeCell ref="P9:T9"/>
    <mergeCell ref="A1:G1"/>
    <mergeCell ref="D10:F11"/>
    <mergeCell ref="G10:I11"/>
    <mergeCell ref="J10:L11"/>
    <mergeCell ref="M10:O11"/>
    <mergeCell ref="D9:F9"/>
    <mergeCell ref="A4:J4"/>
    <mergeCell ref="G9:I9"/>
    <mergeCell ref="J9:L9"/>
    <mergeCell ref="M9:O9"/>
  </mergeCells>
  <pageMargins left="0.19685039370078741" right="0.19685039370078741" top="0.39370078740157483" bottom="0.39370078740157483" header="0.51181102362204722" footer="0.19685039370078741"/>
  <pageSetup paperSize="8" scale="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63"/>
  <sheetViews>
    <sheetView view="pageBreakPreview" zoomScale="60" zoomScaleNormal="80" workbookViewId="0">
      <selection activeCell="B2" sqref="B2"/>
    </sheetView>
  </sheetViews>
  <sheetFormatPr defaultColWidth="9.109375" defaultRowHeight="13.2"/>
  <cols>
    <col min="1" max="1" width="8.5546875" style="476" customWidth="1"/>
    <col min="2" max="2" width="75.109375" style="476" customWidth="1"/>
    <col min="3" max="3" width="27" style="476" bestFit="1" customWidth="1"/>
    <col min="4" max="11" width="20.6640625" style="476" customWidth="1"/>
    <col min="12" max="16384" width="9.109375" style="476"/>
  </cols>
  <sheetData>
    <row r="1" spans="1:11" ht="21.6" thickBot="1">
      <c r="A1" s="1673" t="str">
        <f>"TABEL 11: "&amp;TITELBLAD!C7&amp;" - AARDGAS - Tarieflijst distributienettarieven "&amp;TITELBLAD!C5&amp;" - Afname"</f>
        <v>TABEL 11: Inter-energa - AARDGAS - Tarieflijst distributienettarieven 2017 - Afname</v>
      </c>
      <c r="B1" s="1674"/>
      <c r="C1" s="1674"/>
      <c r="D1" s="1674"/>
      <c r="E1" s="1674"/>
      <c r="F1" s="1674"/>
      <c r="G1" s="1674"/>
      <c r="H1" s="1674"/>
      <c r="I1" s="1674"/>
      <c r="J1" s="1674"/>
      <c r="K1" s="1675"/>
    </row>
    <row r="2" spans="1:11">
      <c r="J2" s="705"/>
      <c r="K2" s="705"/>
    </row>
    <row r="3" spans="1:11" ht="15" customHeight="1" thickBot="1">
      <c r="J3" s="706"/>
      <c r="K3" s="706"/>
    </row>
    <row r="4" spans="1:11" ht="15" customHeight="1">
      <c r="A4" s="1755"/>
      <c r="B4" s="1756"/>
      <c r="C4" s="1757"/>
      <c r="D4" s="1761" t="s">
        <v>436</v>
      </c>
      <c r="E4" s="1762"/>
      <c r="F4" s="1762"/>
      <c r="G4" s="1762"/>
      <c r="H4" s="1761" t="s">
        <v>437</v>
      </c>
      <c r="I4" s="1762"/>
      <c r="J4" s="1761" t="s">
        <v>438</v>
      </c>
      <c r="K4" s="1765"/>
    </row>
    <row r="5" spans="1:11" ht="21" customHeight="1" thickBot="1">
      <c r="A5" s="1758"/>
      <c r="B5" s="1759"/>
      <c r="C5" s="1760"/>
      <c r="D5" s="1763"/>
      <c r="E5" s="1764"/>
      <c r="F5" s="1764"/>
      <c r="G5" s="1764"/>
      <c r="H5" s="1752"/>
      <c r="I5" s="1753"/>
      <c r="J5" s="1752"/>
      <c r="K5" s="1754"/>
    </row>
    <row r="6" spans="1:11" ht="21" customHeight="1" thickBot="1">
      <c r="A6" s="1758"/>
      <c r="B6" s="1759"/>
      <c r="C6" s="1760"/>
      <c r="D6" s="707" t="s">
        <v>182</v>
      </c>
      <c r="E6" s="708" t="s">
        <v>183</v>
      </c>
      <c r="F6" s="709" t="s">
        <v>184</v>
      </c>
      <c r="G6" s="710" t="s">
        <v>185</v>
      </c>
      <c r="H6" s="707" t="s">
        <v>186</v>
      </c>
      <c r="I6" s="711" t="s">
        <v>187</v>
      </c>
      <c r="J6" s="712" t="s">
        <v>206</v>
      </c>
      <c r="K6" s="713" t="s">
        <v>207</v>
      </c>
    </row>
    <row r="7" spans="1:11" s="714" customFormat="1" ht="21" customHeight="1" thickBot="1">
      <c r="A7" s="1758"/>
      <c r="B7" s="1759"/>
      <c r="C7" s="1760"/>
      <c r="D7" s="1752" t="s">
        <v>188</v>
      </c>
      <c r="E7" s="1753"/>
      <c r="F7" s="1753"/>
      <c r="G7" s="1753"/>
      <c r="H7" s="1752" t="s">
        <v>188</v>
      </c>
      <c r="I7" s="1753"/>
      <c r="J7" s="1752" t="s">
        <v>208</v>
      </c>
      <c r="K7" s="1754"/>
    </row>
    <row r="8" spans="1:11" s="714" customFormat="1" ht="18" customHeight="1">
      <c r="A8" s="1758"/>
      <c r="B8" s="1759"/>
      <c r="C8" s="1760"/>
      <c r="D8" s="715" t="s">
        <v>189</v>
      </c>
      <c r="E8" s="716" t="s">
        <v>190</v>
      </c>
      <c r="F8" s="717" t="s">
        <v>191</v>
      </c>
      <c r="G8" s="718" t="s">
        <v>192</v>
      </c>
      <c r="H8" s="715" t="s">
        <v>193</v>
      </c>
      <c r="I8" s="719" t="s">
        <v>194</v>
      </c>
      <c r="J8" s="1752"/>
      <c r="K8" s="1754"/>
    </row>
    <row r="9" spans="1:11" s="714" customFormat="1" ht="18" customHeight="1" thickBot="1">
      <c r="A9" s="720"/>
      <c r="B9" s="721"/>
      <c r="C9" s="722"/>
      <c r="D9" s="723"/>
      <c r="E9" s="724"/>
      <c r="F9" s="725"/>
      <c r="G9" s="726"/>
      <c r="H9" s="723"/>
      <c r="I9" s="727"/>
      <c r="J9" s="723"/>
      <c r="K9" s="728"/>
    </row>
    <row r="10" spans="1:11" s="714" customFormat="1" ht="18.75" customHeight="1">
      <c r="A10" s="729" t="s">
        <v>195</v>
      </c>
      <c r="B10" s="730"/>
      <c r="C10" s="731"/>
      <c r="D10" s="732"/>
      <c r="E10" s="733"/>
      <c r="F10" s="733"/>
      <c r="G10" s="734"/>
      <c r="H10" s="732"/>
      <c r="I10" s="730"/>
      <c r="J10" s="732"/>
      <c r="K10" s="731"/>
    </row>
    <row r="11" spans="1:11" s="740" customFormat="1" ht="18" customHeight="1">
      <c r="A11" s="735"/>
      <c r="B11" s="730"/>
      <c r="C11" s="731"/>
      <c r="D11" s="736"/>
      <c r="E11" s="737"/>
      <c r="F11" s="737"/>
      <c r="G11" s="737"/>
      <c r="H11" s="736"/>
      <c r="I11" s="738"/>
      <c r="J11" s="736"/>
      <c r="K11" s="739"/>
    </row>
    <row r="12" spans="1:11" s="714" customFormat="1" ht="18" customHeight="1">
      <c r="A12" s="741" t="s">
        <v>196</v>
      </c>
      <c r="B12" s="742" t="s">
        <v>197</v>
      </c>
      <c r="C12" s="743"/>
      <c r="D12" s="744"/>
      <c r="E12" s="745"/>
      <c r="F12" s="745"/>
      <c r="G12" s="745"/>
      <c r="H12" s="746"/>
      <c r="I12" s="747"/>
      <c r="J12" s="746"/>
      <c r="K12" s="748"/>
    </row>
    <row r="13" spans="1:11" s="714" customFormat="1" ht="18" customHeight="1">
      <c r="A13" s="735"/>
      <c r="B13" s="749" t="s">
        <v>198</v>
      </c>
      <c r="C13" s="750" t="s">
        <v>209</v>
      </c>
      <c r="D13" s="538">
        <v>11.37</v>
      </c>
      <c r="E13" s="539">
        <v>56.88</v>
      </c>
      <c r="F13" s="474">
        <v>588.54999999999995</v>
      </c>
      <c r="G13" s="474">
        <v>3919.48</v>
      </c>
      <c r="H13" s="469"/>
      <c r="I13" s="474"/>
      <c r="J13" s="469"/>
      <c r="K13" s="751"/>
    </row>
    <row r="14" spans="1:11" s="714" customFormat="1" ht="18" customHeight="1">
      <c r="A14" s="735"/>
      <c r="B14" s="749" t="s">
        <v>199</v>
      </c>
      <c r="C14" s="750" t="s">
        <v>114</v>
      </c>
      <c r="D14" s="1308">
        <v>1.6387100000000002E-2</v>
      </c>
      <c r="E14" s="1294">
        <v>7.2836000000000003E-3</v>
      </c>
      <c r="F14" s="1102">
        <v>3.7391E-3</v>
      </c>
      <c r="G14" s="1102">
        <v>4.082E-4</v>
      </c>
      <c r="H14" s="1309"/>
      <c r="I14" s="1102"/>
      <c r="J14" s="1309">
        <v>7.1140000000000005E-4</v>
      </c>
      <c r="K14" s="1310">
        <v>7.1140000000000005E-4</v>
      </c>
    </row>
    <row r="15" spans="1:11" s="714" customFormat="1" ht="17.25" customHeight="1">
      <c r="A15" s="735"/>
      <c r="B15" s="749" t="s">
        <v>200</v>
      </c>
      <c r="C15" s="1565" t="s">
        <v>465</v>
      </c>
      <c r="D15" s="1308"/>
      <c r="E15" s="1294"/>
      <c r="F15" s="1102"/>
      <c r="G15" s="1102"/>
      <c r="H15" s="1309">
        <v>2.5475001000000002</v>
      </c>
      <c r="I15" s="1102">
        <v>2.0379999999999998</v>
      </c>
      <c r="J15" s="1309"/>
      <c r="K15" s="1310"/>
    </row>
    <row r="16" spans="1:11" s="714" customFormat="1" ht="18" customHeight="1">
      <c r="A16" s="735"/>
      <c r="B16" s="730"/>
      <c r="C16" s="752"/>
      <c r="D16" s="736"/>
      <c r="E16" s="737"/>
      <c r="F16" s="737"/>
      <c r="G16" s="737"/>
      <c r="H16" s="736"/>
      <c r="I16" s="738"/>
      <c r="J16" s="736"/>
      <c r="K16" s="753"/>
    </row>
    <row r="17" spans="1:11" s="714" customFormat="1" ht="19.5" customHeight="1">
      <c r="A17" s="741" t="s">
        <v>201</v>
      </c>
      <c r="B17" s="742" t="s">
        <v>202</v>
      </c>
      <c r="C17" s="750" t="s">
        <v>114</v>
      </c>
      <c r="D17" s="1308"/>
      <c r="E17" s="1294"/>
      <c r="F17" s="1102"/>
      <c r="G17" s="1102"/>
      <c r="H17" s="1309"/>
      <c r="I17" s="1102"/>
      <c r="J17" s="1309"/>
      <c r="K17" s="1310"/>
    </row>
    <row r="18" spans="1:11" s="714" customFormat="1" ht="14.25" customHeight="1">
      <c r="A18" s="735"/>
      <c r="B18" s="730"/>
      <c r="C18" s="752"/>
      <c r="D18" s="737"/>
      <c r="E18" s="737"/>
      <c r="F18" s="737"/>
      <c r="G18" s="737"/>
      <c r="H18" s="736"/>
      <c r="I18" s="738"/>
      <c r="J18" s="736"/>
      <c r="K18" s="739"/>
    </row>
    <row r="19" spans="1:11" s="714" customFormat="1" ht="18" customHeight="1">
      <c r="A19" s="741" t="s">
        <v>203</v>
      </c>
      <c r="B19" s="754" t="s">
        <v>204</v>
      </c>
      <c r="C19" s="752"/>
      <c r="D19" s="737"/>
      <c r="E19" s="737"/>
      <c r="F19" s="737"/>
      <c r="G19" s="737"/>
      <c r="H19" s="736"/>
      <c r="I19" s="738"/>
      <c r="J19" s="736"/>
      <c r="K19" s="739"/>
    </row>
    <row r="20" spans="1:11" s="714" customFormat="1" ht="18" customHeight="1">
      <c r="A20" s="735"/>
      <c r="B20" s="749" t="s">
        <v>38</v>
      </c>
      <c r="C20" s="750" t="s">
        <v>115</v>
      </c>
      <c r="D20" s="1748">
        <v>4.2</v>
      </c>
      <c r="E20" s="1749"/>
      <c r="F20" s="1749"/>
      <c r="G20" s="1750"/>
      <c r="H20" s="1748"/>
      <c r="I20" s="1749"/>
      <c r="J20" s="1748"/>
      <c r="K20" s="1750"/>
    </row>
    <row r="21" spans="1:11" s="714" customFormat="1" ht="18" customHeight="1">
      <c r="A21" s="735"/>
      <c r="B21" s="749" t="s">
        <v>37</v>
      </c>
      <c r="C21" s="750" t="s">
        <v>115</v>
      </c>
      <c r="D21" s="1748">
        <v>96</v>
      </c>
      <c r="E21" s="1749"/>
      <c r="F21" s="1749"/>
      <c r="G21" s="1750"/>
      <c r="H21" s="1748"/>
      <c r="I21" s="1749"/>
      <c r="J21" s="1748"/>
      <c r="K21" s="1750"/>
    </row>
    <row r="22" spans="1:11" s="714" customFormat="1" ht="21" customHeight="1">
      <c r="A22" s="735"/>
      <c r="B22" s="749" t="s">
        <v>36</v>
      </c>
      <c r="C22" s="750" t="s">
        <v>115</v>
      </c>
      <c r="D22" s="1748"/>
      <c r="E22" s="1749"/>
      <c r="F22" s="1749"/>
      <c r="G22" s="1750"/>
      <c r="H22" s="1748">
        <v>465</v>
      </c>
      <c r="I22" s="1749"/>
      <c r="J22" s="1748"/>
      <c r="K22" s="1750"/>
    </row>
    <row r="23" spans="1:11" s="714" customFormat="1" ht="18" customHeight="1">
      <c r="A23" s="735"/>
      <c r="B23" s="730"/>
      <c r="C23" s="752"/>
      <c r="D23" s="736"/>
      <c r="E23" s="737"/>
      <c r="F23" s="737"/>
      <c r="G23" s="755"/>
      <c r="H23" s="736"/>
      <c r="I23" s="738"/>
      <c r="J23" s="736"/>
      <c r="K23" s="739"/>
    </row>
    <row r="24" spans="1:11" s="714" customFormat="1" ht="18" customHeight="1">
      <c r="A24" s="729" t="s">
        <v>205</v>
      </c>
      <c r="B24" s="730"/>
      <c r="C24" s="750" t="s">
        <v>114</v>
      </c>
      <c r="D24" s="1308">
        <v>2.5109999999999998E-4</v>
      </c>
      <c r="E24" s="1294">
        <v>2.5109999999999998E-4</v>
      </c>
      <c r="F24" s="1102">
        <v>2.5109999999999998E-4</v>
      </c>
      <c r="G24" s="1102">
        <v>0</v>
      </c>
      <c r="H24" s="1309"/>
      <c r="I24" s="1102"/>
      <c r="J24" s="1309"/>
      <c r="K24" s="1310"/>
    </row>
    <row r="25" spans="1:11" s="714" customFormat="1" ht="18" customHeight="1">
      <c r="A25" s="735"/>
      <c r="B25" s="730"/>
      <c r="C25" s="752"/>
      <c r="D25" s="736"/>
      <c r="E25" s="737"/>
      <c r="F25" s="737"/>
      <c r="G25" s="737"/>
      <c r="H25" s="736"/>
      <c r="I25" s="738"/>
      <c r="J25" s="736"/>
      <c r="K25" s="739"/>
    </row>
    <row r="26" spans="1:11" s="714" customFormat="1" ht="20.25" customHeight="1">
      <c r="A26" s="552" t="s">
        <v>439</v>
      </c>
      <c r="B26" s="730"/>
      <c r="C26" s="750" t="s">
        <v>114</v>
      </c>
      <c r="D26" s="1308"/>
      <c r="E26" s="1294"/>
      <c r="F26" s="1102"/>
      <c r="G26" s="1102"/>
      <c r="H26" s="1309"/>
      <c r="I26" s="1102"/>
      <c r="J26" s="1309"/>
      <c r="K26" s="1310"/>
    </row>
    <row r="27" spans="1:11" s="714" customFormat="1" ht="18" customHeight="1">
      <c r="A27" s="559"/>
      <c r="B27" s="730"/>
      <c r="C27" s="752"/>
      <c r="D27" s="736"/>
      <c r="E27" s="737"/>
      <c r="F27" s="737"/>
      <c r="G27" s="737"/>
      <c r="H27" s="736"/>
      <c r="I27" s="738"/>
      <c r="J27" s="736"/>
      <c r="K27" s="739"/>
    </row>
    <row r="28" spans="1:11" s="714" customFormat="1" ht="17.25" customHeight="1">
      <c r="A28" s="552" t="s">
        <v>440</v>
      </c>
      <c r="B28" s="730"/>
      <c r="C28" s="750" t="s">
        <v>114</v>
      </c>
      <c r="D28" s="1308"/>
      <c r="E28" s="1294"/>
      <c r="F28" s="1102"/>
      <c r="G28" s="1102"/>
      <c r="H28" s="1309"/>
      <c r="I28" s="1102"/>
      <c r="J28" s="1309"/>
      <c r="K28" s="1310"/>
    </row>
    <row r="29" spans="1:11" s="714" customFormat="1" ht="18" customHeight="1">
      <c r="A29" s="559"/>
      <c r="B29" s="730"/>
      <c r="C29" s="752"/>
      <c r="D29" s="736"/>
      <c r="E29" s="737"/>
      <c r="F29" s="737"/>
      <c r="G29" s="737"/>
      <c r="H29" s="736"/>
      <c r="I29" s="738"/>
      <c r="J29" s="736"/>
      <c r="K29" s="739"/>
    </row>
    <row r="30" spans="1:11" s="714" customFormat="1" ht="22.5" customHeight="1">
      <c r="A30" s="576" t="s">
        <v>311</v>
      </c>
      <c r="B30" s="730"/>
      <c r="C30" s="750"/>
      <c r="D30" s="736"/>
      <c r="E30" s="737"/>
      <c r="F30" s="737"/>
      <c r="G30" s="737"/>
      <c r="H30" s="736"/>
      <c r="I30" s="738"/>
      <c r="J30" s="736"/>
      <c r="K30" s="739"/>
    </row>
    <row r="31" spans="1:11" s="714" customFormat="1" ht="18" customHeight="1">
      <c r="A31" s="756" t="s">
        <v>196</v>
      </c>
      <c r="B31" s="757" t="s">
        <v>215</v>
      </c>
      <c r="C31" s="758" t="s">
        <v>114</v>
      </c>
      <c r="D31" s="1311"/>
      <c r="E31" s="1312"/>
      <c r="F31" s="1313"/>
      <c r="G31" s="1313"/>
      <c r="H31" s="1314"/>
      <c r="I31" s="1313"/>
      <c r="J31" s="1314"/>
      <c r="K31" s="1315"/>
    </row>
    <row r="32" spans="1:11" s="714" customFormat="1" ht="18" customHeight="1">
      <c r="A32" s="756" t="s">
        <v>201</v>
      </c>
      <c r="B32" s="759" t="s">
        <v>296</v>
      </c>
      <c r="C32" s="758" t="s">
        <v>114</v>
      </c>
      <c r="D32" s="1311"/>
      <c r="E32" s="1312"/>
      <c r="F32" s="1313"/>
      <c r="G32" s="1313"/>
      <c r="H32" s="1314"/>
      <c r="I32" s="1313"/>
      <c r="J32" s="1314"/>
      <c r="K32" s="1315"/>
    </row>
    <row r="33" spans="1:11" s="714" customFormat="1" ht="18" customHeight="1">
      <c r="A33" s="760" t="s">
        <v>203</v>
      </c>
      <c r="B33" s="757" t="s">
        <v>58</v>
      </c>
      <c r="C33" s="758" t="s">
        <v>114</v>
      </c>
      <c r="D33" s="1311"/>
      <c r="E33" s="1312"/>
      <c r="F33" s="1313"/>
      <c r="G33" s="1313"/>
      <c r="H33" s="1314"/>
      <c r="I33" s="1313"/>
      <c r="J33" s="1314"/>
      <c r="K33" s="1315"/>
    </row>
    <row r="34" spans="1:11" s="714" customFormat="1" ht="18" customHeight="1">
      <c r="A34" s="760" t="s">
        <v>211</v>
      </c>
      <c r="B34" s="759" t="s">
        <v>212</v>
      </c>
      <c r="C34" s="758" t="s">
        <v>114</v>
      </c>
      <c r="D34" s="1311">
        <v>1.6569E-3</v>
      </c>
      <c r="E34" s="1312">
        <v>1.6569E-3</v>
      </c>
      <c r="F34" s="1313">
        <v>1.6569E-3</v>
      </c>
      <c r="G34" s="1313">
        <v>3.0929999999999998E-4</v>
      </c>
      <c r="H34" s="1314">
        <v>3.0929999999999998E-4</v>
      </c>
      <c r="I34" s="1313">
        <v>7.3499999999999998E-5</v>
      </c>
      <c r="J34" s="1314"/>
      <c r="K34" s="1315"/>
    </row>
    <row r="35" spans="1:11" s="714" customFormat="1" ht="18" customHeight="1">
      <c r="A35" s="760" t="s">
        <v>213</v>
      </c>
      <c r="B35" s="759" t="s">
        <v>294</v>
      </c>
      <c r="C35" s="758" t="s">
        <v>114</v>
      </c>
      <c r="D35" s="1311"/>
      <c r="E35" s="1312"/>
      <c r="F35" s="1313"/>
      <c r="G35" s="1313"/>
      <c r="H35" s="1314"/>
      <c r="I35" s="1313"/>
      <c r="J35" s="1314"/>
      <c r="K35" s="1315"/>
    </row>
    <row r="36" spans="1:11" s="763" customFormat="1" ht="31.5" customHeight="1">
      <c r="A36" s="761" t="s">
        <v>214</v>
      </c>
      <c r="B36" s="762" t="s">
        <v>216</v>
      </c>
      <c r="C36" s="758" t="s">
        <v>114</v>
      </c>
      <c r="D36" s="1311">
        <v>8.3830000000000005E-4</v>
      </c>
      <c r="E36" s="1312">
        <v>8.3830000000000005E-4</v>
      </c>
      <c r="F36" s="1313">
        <v>8.3830000000000005E-4</v>
      </c>
      <c r="G36" s="1313">
        <v>1.5650000000000001E-4</v>
      </c>
      <c r="H36" s="1314">
        <v>1.5650000000000001E-4</v>
      </c>
      <c r="I36" s="1313">
        <v>3.7200000000000003E-5</v>
      </c>
      <c r="J36" s="1314"/>
      <c r="K36" s="1315"/>
    </row>
    <row r="37" spans="1:11" ht="15.6" thickBot="1">
      <c r="A37" s="764"/>
      <c r="B37" s="706"/>
      <c r="C37" s="765"/>
      <c r="D37" s="766"/>
      <c r="E37" s="767"/>
      <c r="F37" s="767"/>
      <c r="G37" s="767"/>
      <c r="H37" s="766"/>
      <c r="I37" s="768"/>
      <c r="J37" s="766"/>
      <c r="K37" s="769"/>
    </row>
    <row r="39" spans="1:11">
      <c r="A39" s="1534" t="s">
        <v>424</v>
      </c>
    </row>
    <row r="40" spans="1:11">
      <c r="A40" s="1536" t="s">
        <v>456</v>
      </c>
      <c r="D40" s="1502"/>
      <c r="E40" s="1502"/>
      <c r="F40" s="1502"/>
      <c r="G40" s="1502"/>
      <c r="H40" s="1502"/>
      <c r="I40" s="1502"/>
    </row>
    <row r="41" spans="1:11">
      <c r="D41" s="1502"/>
      <c r="E41" s="1502"/>
      <c r="F41" s="1502"/>
      <c r="G41" s="1502"/>
      <c r="H41" s="1502"/>
      <c r="I41" s="1502"/>
    </row>
    <row r="42" spans="1:11">
      <c r="A42" s="1535" t="s">
        <v>425</v>
      </c>
      <c r="D42" s="1502"/>
      <c r="E42" s="1502"/>
      <c r="F42" s="1502"/>
      <c r="G42" s="1502"/>
      <c r="H42" s="1502"/>
      <c r="I42" s="1502"/>
    </row>
    <row r="43" spans="1:11">
      <c r="A43" s="1751" t="s">
        <v>454</v>
      </c>
      <c r="B43" s="1751"/>
      <c r="C43" s="1751"/>
      <c r="D43" s="1751"/>
      <c r="E43" s="1751"/>
      <c r="F43" s="1751"/>
      <c r="G43" s="1751"/>
      <c r="H43" s="1751"/>
      <c r="I43" s="1751"/>
    </row>
    <row r="44" spans="1:11" ht="27.75" customHeight="1">
      <c r="A44" s="1751" t="s">
        <v>455</v>
      </c>
      <c r="B44" s="1751"/>
      <c r="C44" s="1751"/>
      <c r="D44" s="1751"/>
      <c r="E44" s="1751"/>
      <c r="F44" s="1751"/>
      <c r="G44" s="1751"/>
      <c r="H44" s="1751"/>
      <c r="I44" s="1751"/>
    </row>
    <row r="45" spans="1:11" ht="27" customHeight="1">
      <c r="A45" s="1751" t="s">
        <v>426</v>
      </c>
      <c r="B45" s="1751"/>
      <c r="C45" s="1751"/>
      <c r="D45" s="1751"/>
      <c r="E45" s="1751"/>
      <c r="F45" s="1751"/>
      <c r="G45" s="1751"/>
      <c r="H45" s="1751"/>
      <c r="I45" s="1751"/>
    </row>
    <row r="46" spans="1:11">
      <c r="A46" s="1751" t="s">
        <v>427</v>
      </c>
      <c r="B46" s="1751"/>
      <c r="C46" s="1751"/>
      <c r="D46" s="1751"/>
      <c r="E46" s="1751"/>
      <c r="F46" s="1751"/>
      <c r="G46" s="1751"/>
      <c r="H46" s="1751"/>
      <c r="I46" s="1751"/>
    </row>
    <row r="47" spans="1:11">
      <c r="A47" s="1537"/>
      <c r="B47" s="1537"/>
      <c r="C47" s="1537"/>
      <c r="D47" s="1538"/>
      <c r="E47" s="1538"/>
      <c r="F47" s="1537"/>
      <c r="G47" s="1537"/>
      <c r="H47" s="1537"/>
      <c r="I47" s="1537"/>
    </row>
    <row r="48" spans="1:11">
      <c r="A48" s="1751" t="s">
        <v>428</v>
      </c>
      <c r="B48" s="1751"/>
      <c r="C48" s="1751"/>
      <c r="D48" s="1751"/>
      <c r="E48" s="1751"/>
      <c r="F48" s="1751"/>
      <c r="G48" s="1751"/>
      <c r="H48" s="1751"/>
      <c r="I48" s="1751"/>
    </row>
    <row r="49" spans="1:9" ht="40.5" customHeight="1">
      <c r="A49" s="1751" t="s">
        <v>429</v>
      </c>
      <c r="B49" s="1751"/>
      <c r="C49" s="1751"/>
      <c r="D49" s="1751"/>
      <c r="E49" s="1751"/>
      <c r="F49" s="1751"/>
      <c r="G49" s="1751"/>
      <c r="H49" s="1751"/>
      <c r="I49" s="1751"/>
    </row>
    <row r="50" spans="1:9" ht="42.75" customHeight="1">
      <c r="A50" s="1751" t="s">
        <v>430</v>
      </c>
      <c r="B50" s="1751"/>
      <c r="C50" s="1751"/>
      <c r="D50" s="1751"/>
      <c r="E50" s="1751"/>
      <c r="F50" s="1751"/>
      <c r="G50" s="1751"/>
      <c r="H50" s="1751"/>
      <c r="I50" s="1751"/>
    </row>
    <row r="51" spans="1:9" ht="12.75" customHeight="1">
      <c r="A51" s="1751" t="s">
        <v>431</v>
      </c>
      <c r="B51" s="1751"/>
      <c r="C51" s="1751"/>
      <c r="D51" s="1751"/>
      <c r="E51" s="1751"/>
      <c r="F51" s="1751"/>
      <c r="G51" s="1751"/>
      <c r="H51" s="1751"/>
      <c r="I51" s="1751"/>
    </row>
    <row r="52" spans="1:9" ht="12.75" customHeight="1">
      <c r="A52" s="1751" t="s">
        <v>432</v>
      </c>
      <c r="B52" s="1751"/>
      <c r="C52" s="1751"/>
      <c r="D52" s="1751"/>
      <c r="E52" s="1751"/>
      <c r="F52" s="1751"/>
      <c r="G52" s="1751"/>
      <c r="H52" s="1751"/>
      <c r="I52" s="1751"/>
    </row>
    <row r="53" spans="1:9" ht="12.75" customHeight="1">
      <c r="A53" s="1751" t="s">
        <v>433</v>
      </c>
      <c r="B53" s="1751"/>
      <c r="C53" s="1751"/>
      <c r="D53" s="1751"/>
      <c r="E53" s="1751"/>
      <c r="F53" s="1751"/>
      <c r="G53" s="1751"/>
      <c r="H53" s="1751"/>
      <c r="I53" s="1751"/>
    </row>
    <row r="54" spans="1:9">
      <c r="A54" s="1751" t="s">
        <v>434</v>
      </c>
      <c r="B54" s="1751"/>
      <c r="C54" s="1751"/>
      <c r="D54" s="1751"/>
      <c r="E54" s="1751"/>
      <c r="F54" s="1751"/>
      <c r="G54" s="1751"/>
      <c r="H54" s="1751"/>
      <c r="I54" s="1751"/>
    </row>
    <row r="55" spans="1:9" ht="12.75" customHeight="1"/>
    <row r="56" spans="1:9">
      <c r="A56" s="1751" t="s">
        <v>435</v>
      </c>
      <c r="B56" s="1751"/>
      <c r="C56" s="1751"/>
      <c r="D56" s="1751"/>
      <c r="E56" s="1751"/>
      <c r="F56" s="1751"/>
      <c r="G56" s="1751"/>
      <c r="H56" s="1751"/>
      <c r="I56" s="1751"/>
    </row>
    <row r="57" spans="1:9" ht="12.75" customHeight="1"/>
    <row r="58" spans="1:9" ht="12.75" customHeight="1"/>
    <row r="59" spans="1:9" ht="12.75" customHeight="1"/>
    <row r="63" spans="1:9">
      <c r="A63" s="1751"/>
      <c r="B63" s="1751"/>
      <c r="C63" s="1751"/>
      <c r="D63" s="1751"/>
      <c r="E63" s="1751"/>
      <c r="F63" s="1751"/>
      <c r="G63" s="1751"/>
      <c r="H63" s="1751"/>
      <c r="I63" s="1751"/>
    </row>
  </sheetData>
  <mergeCells count="30">
    <mergeCell ref="A53:I53"/>
    <mergeCell ref="A54:I54"/>
    <mergeCell ref="A43:I43"/>
    <mergeCell ref="A44:I44"/>
    <mergeCell ref="A45:I45"/>
    <mergeCell ref="A50:I50"/>
    <mergeCell ref="A49:I49"/>
    <mergeCell ref="A48:I48"/>
    <mergeCell ref="A46:I46"/>
    <mergeCell ref="A1:K1"/>
    <mergeCell ref="A4:C8"/>
    <mergeCell ref="D4:G5"/>
    <mergeCell ref="H4:I5"/>
    <mergeCell ref="J4:K5"/>
    <mergeCell ref="H21:I21"/>
    <mergeCell ref="J21:K21"/>
    <mergeCell ref="A63:I63"/>
    <mergeCell ref="D7:G7"/>
    <mergeCell ref="H7:I7"/>
    <mergeCell ref="J7:K8"/>
    <mergeCell ref="D22:G22"/>
    <mergeCell ref="H22:I22"/>
    <mergeCell ref="J22:K22"/>
    <mergeCell ref="D20:G20"/>
    <mergeCell ref="H20:I20"/>
    <mergeCell ref="J20:K20"/>
    <mergeCell ref="D21:G21"/>
    <mergeCell ref="A56:I56"/>
    <mergeCell ref="A51:I51"/>
    <mergeCell ref="A52:I52"/>
  </mergeCells>
  <pageMargins left="0.7" right="0.7" top="0.75" bottom="0.75" header="0.3" footer="0.3"/>
  <pageSetup paperSize="9" scale="4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12"/>
  <dimension ref="A1:AZ57"/>
  <sheetViews>
    <sheetView view="pageBreakPreview" zoomScale="55" zoomScaleNormal="80" zoomScaleSheetLayoutView="55" workbookViewId="0">
      <selection sqref="A1:P1"/>
    </sheetView>
  </sheetViews>
  <sheetFormatPr defaultColWidth="9.109375" defaultRowHeight="14.4"/>
  <cols>
    <col min="1" max="1" width="42.33203125" style="770" customWidth="1"/>
    <col min="2" max="2" width="17.6640625" style="770" bestFit="1" customWidth="1"/>
    <col min="3" max="3" width="17.33203125" style="770" customWidth="1"/>
    <col min="4" max="4" width="17.109375" style="770" customWidth="1"/>
    <col min="5" max="5" width="14.109375" style="770" customWidth="1"/>
    <col min="6" max="6" width="19.109375" style="770" customWidth="1"/>
    <col min="7" max="7" width="15.44140625" style="770" customWidth="1"/>
    <col min="8" max="8" width="19" style="770" customWidth="1"/>
    <col min="9" max="9" width="14.5546875" style="770" customWidth="1"/>
    <col min="10" max="10" width="17.5546875" style="770" customWidth="1"/>
    <col min="11" max="11" width="18.44140625" style="770" customWidth="1"/>
    <col min="12" max="12" width="17.33203125" style="770" customWidth="1"/>
    <col min="13" max="13" width="14" style="770" customWidth="1"/>
    <col min="14" max="14" width="15" style="770" customWidth="1"/>
    <col min="15" max="15" width="14.33203125" style="770" customWidth="1"/>
    <col min="16" max="16" width="13.5546875" style="770" customWidth="1"/>
    <col min="17" max="17" width="9.109375" style="770"/>
    <col min="18" max="18" width="14.109375" style="770" customWidth="1"/>
    <col min="19" max="19" width="16.109375" style="770" customWidth="1"/>
    <col min="20" max="20" width="9.109375" style="770"/>
    <col min="21" max="21" width="15" style="770" customWidth="1"/>
    <col min="22" max="22" width="16.109375" style="770" customWidth="1"/>
    <col min="23" max="23" width="19.6640625" style="770" customWidth="1"/>
    <col min="24" max="24" width="15.5546875" style="770" customWidth="1"/>
    <col min="25" max="25" width="15.6640625" style="770" customWidth="1"/>
    <col min="26" max="26" width="17.109375" style="770" customWidth="1"/>
    <col min="27" max="27" width="19.88671875" style="770" customWidth="1"/>
    <col min="28" max="28" width="19" style="770" customWidth="1"/>
    <col min="29" max="29" width="16.5546875" style="770" customWidth="1"/>
    <col min="30" max="30" width="18.44140625" style="770" customWidth="1"/>
    <col min="31" max="31" width="17" style="770" customWidth="1"/>
    <col min="32" max="32" width="19" style="770" customWidth="1"/>
    <col min="33" max="33" width="16.6640625" style="770" customWidth="1"/>
    <col min="34" max="34" width="19.44140625" style="770" customWidth="1"/>
    <col min="35" max="35" width="25" style="770" customWidth="1"/>
    <col min="36" max="36" width="53" style="770" customWidth="1"/>
    <col min="37" max="37" width="25" style="770" customWidth="1"/>
    <col min="38" max="16384" width="9.109375" style="770"/>
  </cols>
  <sheetData>
    <row r="1" spans="1:52" ht="18" thickBot="1">
      <c r="A1" s="1594" t="str">
        <f>"TABEL 12: Reconciliatie van het gebudgetteerd inkomen voor de gereguleerde activiteit 'gas' met de geraamde omzet voor de periodieke tarieven"</f>
        <v>TABEL 12: Reconciliatie van het gebudgetteerd inkomen voor de gereguleerde activiteit 'gas' met de geraamde omzet voor de periodieke tarieven</v>
      </c>
      <c r="B1" s="1595"/>
      <c r="C1" s="1595"/>
      <c r="D1" s="1595"/>
      <c r="E1" s="1595"/>
      <c r="F1" s="1595"/>
      <c r="G1" s="1595"/>
      <c r="H1" s="1595"/>
      <c r="I1" s="1595"/>
      <c r="J1" s="1595"/>
      <c r="K1" s="1595"/>
      <c r="L1" s="1595"/>
      <c r="M1" s="1595"/>
      <c r="N1" s="1595"/>
      <c r="O1" s="1595"/>
      <c r="P1" s="1596"/>
      <c r="Q1" s="410"/>
      <c r="R1" s="410"/>
      <c r="S1" s="410"/>
      <c r="T1" s="410"/>
      <c r="U1" s="410"/>
      <c r="V1" s="410"/>
      <c r="W1" s="410"/>
      <c r="X1" s="410"/>
      <c r="Y1" s="410"/>
      <c r="Z1" s="410"/>
      <c r="AA1" s="410"/>
      <c r="AB1" s="410"/>
      <c r="AC1" s="410"/>
      <c r="AD1" s="410"/>
      <c r="AE1" s="410"/>
      <c r="AF1" s="410"/>
      <c r="AG1" s="410"/>
      <c r="AH1" s="410"/>
      <c r="AI1" s="410"/>
      <c r="AJ1" s="410"/>
      <c r="AK1" s="410"/>
      <c r="AL1" s="410"/>
    </row>
    <row r="2" spans="1:52" ht="15" thickBot="1">
      <c r="A2" s="47"/>
      <c r="B2" s="47"/>
      <c r="C2" s="47"/>
      <c r="D2" s="411"/>
      <c r="E2" s="411"/>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row>
    <row r="3" spans="1:52" s="51" customFormat="1" ht="15" thickBot="1">
      <c r="A3" s="46" t="s">
        <v>14</v>
      </c>
      <c r="B3" s="1601" t="str">
        <f>+TITELBLAD!$C$7</f>
        <v>Inter-energa</v>
      </c>
      <c r="C3" s="1602"/>
      <c r="D3" s="1602"/>
      <c r="E3" s="1602"/>
      <c r="F3" s="1603"/>
      <c r="G3" s="49"/>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52" s="51" customFormat="1">
      <c r="A4" s="47"/>
      <c r="B4" s="47"/>
      <c r="C4" s="47"/>
      <c r="D4" s="411"/>
      <c r="E4" s="411"/>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row>
    <row r="5" spans="1:52" ht="15" thickBot="1">
      <c r="A5" s="47"/>
      <c r="B5" s="47"/>
      <c r="C5" s="47"/>
      <c r="D5" s="411"/>
      <c r="E5" s="411"/>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row>
    <row r="6" spans="1:52" ht="15" thickBot="1">
      <c r="A6" s="19"/>
      <c r="B6" s="19"/>
      <c r="C6" s="19"/>
      <c r="D6" s="19"/>
      <c r="E6" s="19"/>
      <c r="F6" s="19"/>
      <c r="G6" s="19"/>
      <c r="H6" s="19"/>
      <c r="I6" s="19"/>
      <c r="J6" s="19"/>
      <c r="K6" s="19"/>
      <c r="L6" s="19"/>
      <c r="M6" s="19"/>
      <c r="N6" s="19"/>
      <c r="O6" s="19"/>
      <c r="P6" s="19"/>
      <c r="Q6" s="19"/>
      <c r="R6" s="19"/>
      <c r="S6" s="19"/>
      <c r="T6" s="19"/>
      <c r="U6" s="19"/>
      <c r="V6" s="19"/>
      <c r="W6" s="19"/>
      <c r="X6" s="19"/>
      <c r="Y6" s="1766" t="s">
        <v>180</v>
      </c>
      <c r="Z6" s="1767"/>
      <c r="AA6" s="1767"/>
      <c r="AB6" s="1767"/>
      <c r="AC6" s="1767"/>
      <c r="AD6" s="1767"/>
      <c r="AE6" s="1767"/>
      <c r="AF6" s="1767"/>
      <c r="AG6" s="1768"/>
      <c r="AH6" s="19"/>
      <c r="AI6" s="1320" t="s">
        <v>148</v>
      </c>
      <c r="AJ6" s="1320" t="s">
        <v>347</v>
      </c>
      <c r="AK6" s="1320" t="s">
        <v>136</v>
      </c>
      <c r="AL6" s="19"/>
    </row>
    <row r="7" spans="1:52" ht="16.2" thickBot="1">
      <c r="A7" s="771"/>
      <c r="B7" s="772"/>
      <c r="C7" s="1776" t="s">
        <v>219</v>
      </c>
      <c r="D7" s="1777"/>
      <c r="E7" s="1778"/>
      <c r="F7" s="1776" t="s">
        <v>220</v>
      </c>
      <c r="G7" s="1777"/>
      <c r="H7" s="1778"/>
      <c r="I7" s="1777" t="s">
        <v>221</v>
      </c>
      <c r="J7" s="1777"/>
      <c r="K7" s="1777"/>
      <c r="L7" s="1776" t="s">
        <v>257</v>
      </c>
      <c r="M7" s="1777"/>
      <c r="N7" s="1778"/>
      <c r="O7" s="1776" t="s">
        <v>222</v>
      </c>
      <c r="P7" s="1777"/>
      <c r="Q7" s="1777"/>
      <c r="R7" s="1777"/>
      <c r="S7" s="1777"/>
      <c r="T7" s="1777"/>
      <c r="U7" s="1778"/>
      <c r="V7" s="1776" t="s">
        <v>260</v>
      </c>
      <c r="W7" s="1777"/>
      <c r="X7" s="1778"/>
      <c r="Y7" s="1774" t="s">
        <v>223</v>
      </c>
      <c r="Z7" s="1774"/>
      <c r="AA7" s="1775"/>
      <c r="AB7" s="1774" t="s">
        <v>224</v>
      </c>
      <c r="AC7" s="1774"/>
      <c r="AD7" s="1774"/>
      <c r="AE7" s="1771" t="s">
        <v>261</v>
      </c>
      <c r="AF7" s="1772"/>
      <c r="AG7" s="1773"/>
      <c r="AH7" s="773"/>
      <c r="AI7" s="1323" t="s">
        <v>156</v>
      </c>
      <c r="AJ7" s="1323" t="s">
        <v>157</v>
      </c>
      <c r="AK7" s="1323" t="s">
        <v>158</v>
      </c>
      <c r="AL7" s="772"/>
    </row>
    <row r="8" spans="1:52" ht="15" thickBot="1">
      <c r="A8" s="774" t="s">
        <v>225</v>
      </c>
      <c r="B8" s="775" t="s">
        <v>226</v>
      </c>
      <c r="C8" s="1786" t="s">
        <v>231</v>
      </c>
      <c r="D8" s="1779" t="s">
        <v>256</v>
      </c>
      <c r="E8" s="1781" t="s">
        <v>78</v>
      </c>
      <c r="F8" s="776" t="s">
        <v>227</v>
      </c>
      <c r="G8" s="777" t="s">
        <v>228</v>
      </c>
      <c r="H8" s="778" t="s">
        <v>78</v>
      </c>
      <c r="I8" s="776" t="s">
        <v>229</v>
      </c>
      <c r="J8" s="777" t="s">
        <v>228</v>
      </c>
      <c r="K8" s="779" t="s">
        <v>78</v>
      </c>
      <c r="L8" s="776" t="s">
        <v>227</v>
      </c>
      <c r="M8" s="777" t="s">
        <v>228</v>
      </c>
      <c r="N8" s="778" t="s">
        <v>78</v>
      </c>
      <c r="O8" s="1783" t="s">
        <v>258</v>
      </c>
      <c r="P8" s="1784"/>
      <c r="Q8" s="1785"/>
      <c r="R8" s="1784" t="s">
        <v>259</v>
      </c>
      <c r="S8" s="1784"/>
      <c r="T8" s="1785"/>
      <c r="U8" s="778" t="s">
        <v>78</v>
      </c>
      <c r="V8" s="776" t="s">
        <v>227</v>
      </c>
      <c r="W8" s="777" t="s">
        <v>228</v>
      </c>
      <c r="X8" s="778" t="s">
        <v>78</v>
      </c>
      <c r="Y8" s="777" t="s">
        <v>227</v>
      </c>
      <c r="Z8" s="777" t="s">
        <v>228</v>
      </c>
      <c r="AA8" s="778" t="s">
        <v>78</v>
      </c>
      <c r="AB8" s="777" t="s">
        <v>227</v>
      </c>
      <c r="AC8" s="777" t="s">
        <v>228</v>
      </c>
      <c r="AD8" s="780" t="s">
        <v>78</v>
      </c>
      <c r="AE8" s="776" t="s">
        <v>227</v>
      </c>
      <c r="AF8" s="777" t="s">
        <v>228</v>
      </c>
      <c r="AG8" s="778" t="s">
        <v>78</v>
      </c>
      <c r="AH8" s="773"/>
      <c r="AI8" s="1769" t="s">
        <v>236</v>
      </c>
      <c r="AJ8" s="1769" t="s">
        <v>236</v>
      </c>
      <c r="AK8" s="1769" t="s">
        <v>236</v>
      </c>
      <c r="AL8" s="772"/>
    </row>
    <row r="9" spans="1:52" ht="18.75" customHeight="1">
      <c r="A9" s="781"/>
      <c r="B9" s="782" t="s">
        <v>230</v>
      </c>
      <c r="C9" s="1787"/>
      <c r="D9" s="1780"/>
      <c r="E9" s="1782"/>
      <c r="F9" s="783" t="s">
        <v>123</v>
      </c>
      <c r="G9" s="784" t="s">
        <v>114</v>
      </c>
      <c r="H9" s="785" t="s">
        <v>150</v>
      </c>
      <c r="I9" s="783" t="s">
        <v>118</v>
      </c>
      <c r="J9" s="784" t="s">
        <v>210</v>
      </c>
      <c r="K9" s="786" t="s">
        <v>150</v>
      </c>
      <c r="L9" s="783" t="s">
        <v>123</v>
      </c>
      <c r="M9" s="784" t="s">
        <v>114</v>
      </c>
      <c r="N9" s="785" t="s">
        <v>150</v>
      </c>
      <c r="O9" s="783" t="s">
        <v>232</v>
      </c>
      <c r="P9" s="784" t="s">
        <v>37</v>
      </c>
      <c r="Q9" s="787" t="s">
        <v>36</v>
      </c>
      <c r="R9" s="784" t="s">
        <v>232</v>
      </c>
      <c r="S9" s="784" t="s">
        <v>37</v>
      </c>
      <c r="T9" s="787" t="s">
        <v>36</v>
      </c>
      <c r="U9" s="785" t="s">
        <v>150</v>
      </c>
      <c r="V9" s="783" t="s">
        <v>123</v>
      </c>
      <c r="W9" s="784" t="s">
        <v>114</v>
      </c>
      <c r="X9" s="785" t="s">
        <v>150</v>
      </c>
      <c r="Y9" s="784" t="s">
        <v>123</v>
      </c>
      <c r="Z9" s="784" t="s">
        <v>114</v>
      </c>
      <c r="AA9" s="785" t="s">
        <v>150</v>
      </c>
      <c r="AB9" s="784" t="s">
        <v>123</v>
      </c>
      <c r="AC9" s="784" t="s">
        <v>114</v>
      </c>
      <c r="AD9" s="788" t="s">
        <v>150</v>
      </c>
      <c r="AE9" s="783" t="s">
        <v>123</v>
      </c>
      <c r="AF9" s="784" t="s">
        <v>114</v>
      </c>
      <c r="AG9" s="785" t="s">
        <v>150</v>
      </c>
      <c r="AH9" s="789"/>
      <c r="AI9" s="1770"/>
      <c r="AJ9" s="1770"/>
      <c r="AK9" s="1770"/>
      <c r="AL9" s="772"/>
    </row>
    <row r="10" spans="1:52">
      <c r="A10" s="791" t="s">
        <v>182</v>
      </c>
      <c r="B10" s="792" t="s">
        <v>233</v>
      </c>
      <c r="C10" s="912">
        <v>27910</v>
      </c>
      <c r="D10" s="913">
        <f>'T11'!D13</f>
        <v>11.37</v>
      </c>
      <c r="E10" s="793">
        <f>C10*D10</f>
        <v>317336.69999999995</v>
      </c>
      <c r="F10" s="918">
        <v>53218214.1834023</v>
      </c>
      <c r="G10" s="1316">
        <f>'T11'!D14</f>
        <v>1.6387100000000002E-2</v>
      </c>
      <c r="H10" s="793">
        <f>F10*G10</f>
        <v>872092.19764483196</v>
      </c>
      <c r="I10" s="794"/>
      <c r="J10" s="795"/>
      <c r="K10" s="796"/>
      <c r="L10" s="918">
        <f>F10</f>
        <v>53218214.1834023</v>
      </c>
      <c r="M10" s="1316"/>
      <c r="N10" s="793">
        <f>L10*M10</f>
        <v>0</v>
      </c>
      <c r="O10" s="918">
        <v>27910</v>
      </c>
      <c r="P10" s="921">
        <v>0</v>
      </c>
      <c r="Q10" s="797"/>
      <c r="R10" s="926">
        <v>4.2</v>
      </c>
      <c r="S10" s="913">
        <v>96</v>
      </c>
      <c r="T10" s="798"/>
      <c r="U10" s="799">
        <f>(O10*R10)+(P10*S10)</f>
        <v>117222</v>
      </c>
      <c r="V10" s="918">
        <f>F10</f>
        <v>53218214.1834023</v>
      </c>
      <c r="W10" s="1316">
        <f>'T11'!D24</f>
        <v>2.5109999999999998E-4</v>
      </c>
      <c r="X10" s="793">
        <f>V10*W10</f>
        <v>13363.093581452316</v>
      </c>
      <c r="Y10" s="918">
        <f>F10</f>
        <v>53218214.1834023</v>
      </c>
      <c r="Z10" s="1316">
        <f>'T11'!D34</f>
        <v>1.6569E-3</v>
      </c>
      <c r="AA10" s="793">
        <f>Y10*Z10</f>
        <v>88177.259080479271</v>
      </c>
      <c r="AB10" s="918">
        <f>F10</f>
        <v>53218214.1834023</v>
      </c>
      <c r="AC10" s="1316">
        <f>'T11'!D36</f>
        <v>8.3830000000000005E-4</v>
      </c>
      <c r="AD10" s="793">
        <f>AB10*AC10</f>
        <v>44612.828949946153</v>
      </c>
      <c r="AE10" s="918"/>
      <c r="AF10" s="1316"/>
      <c r="AG10" s="793">
        <f>AE10*AF10</f>
        <v>0</v>
      </c>
      <c r="AH10" s="800"/>
      <c r="AI10" s="1321"/>
      <c r="AJ10" s="1321"/>
      <c r="AK10" s="1321"/>
      <c r="AL10" s="801"/>
    </row>
    <row r="11" spans="1:52">
      <c r="A11" s="791" t="s">
        <v>183</v>
      </c>
      <c r="B11" s="792" t="s">
        <v>234</v>
      </c>
      <c r="C11" s="914">
        <v>196257</v>
      </c>
      <c r="D11" s="915">
        <f>'T11'!E13</f>
        <v>56.88</v>
      </c>
      <c r="E11" s="793">
        <f>C11*D11</f>
        <v>11163098.16</v>
      </c>
      <c r="F11" s="919">
        <v>3706839737.2511787</v>
      </c>
      <c r="G11" s="1317">
        <f>'T11'!E14</f>
        <v>7.2836000000000003E-3</v>
      </c>
      <c r="H11" s="793">
        <f>F11*G11</f>
        <v>26999137.910242688</v>
      </c>
      <c r="I11" s="794"/>
      <c r="J11" s="795"/>
      <c r="K11" s="796"/>
      <c r="L11" s="919">
        <f>F11</f>
        <v>3706839737.2511787</v>
      </c>
      <c r="M11" s="1317"/>
      <c r="N11" s="793">
        <f>L11*M11</f>
        <v>0</v>
      </c>
      <c r="O11" s="919">
        <v>196221</v>
      </c>
      <c r="P11" s="922">
        <v>36</v>
      </c>
      <c r="Q11" s="802"/>
      <c r="R11" s="927">
        <v>4.2</v>
      </c>
      <c r="S11" s="915">
        <v>96</v>
      </c>
      <c r="T11" s="803"/>
      <c r="U11" s="793">
        <f>(O11*R11)+(P11*S11)</f>
        <v>827584.20000000007</v>
      </c>
      <c r="V11" s="919">
        <f>F11</f>
        <v>3706839737.2511787</v>
      </c>
      <c r="W11" s="1317">
        <f>'T11'!E24</f>
        <v>2.5109999999999998E-4</v>
      </c>
      <c r="X11" s="793">
        <f>V11*W11</f>
        <v>930787.45802377095</v>
      </c>
      <c r="Y11" s="919">
        <f>F11</f>
        <v>3706839737.2511787</v>
      </c>
      <c r="Z11" s="1317">
        <f>'T11'!E34</f>
        <v>1.6569E-3</v>
      </c>
      <c r="AA11" s="793">
        <f>Y11*Z11</f>
        <v>6141862.7606514776</v>
      </c>
      <c r="AB11" s="919">
        <f>F11</f>
        <v>3706839737.2511787</v>
      </c>
      <c r="AC11" s="1317">
        <f>'T11'!E36</f>
        <v>8.3830000000000005E-4</v>
      </c>
      <c r="AD11" s="793">
        <f>AB11*AC11</f>
        <v>3107443.7517376635</v>
      </c>
      <c r="AE11" s="919"/>
      <c r="AF11" s="1317"/>
      <c r="AG11" s="793">
        <f>AE11*AF11</f>
        <v>0</v>
      </c>
      <c r="AH11" s="800"/>
      <c r="AI11" s="1321"/>
      <c r="AJ11" s="1321"/>
      <c r="AK11" s="1321"/>
      <c r="AL11" s="801"/>
    </row>
    <row r="12" spans="1:52">
      <c r="A12" s="804" t="s">
        <v>184</v>
      </c>
      <c r="B12" s="805" t="s">
        <v>235</v>
      </c>
      <c r="C12" s="916">
        <v>1870</v>
      </c>
      <c r="D12" s="917">
        <f>'T11'!F13</f>
        <v>588.54999999999995</v>
      </c>
      <c r="E12" s="806">
        <f>C12*D12</f>
        <v>1100588.5</v>
      </c>
      <c r="F12" s="920">
        <v>649050425.01791239</v>
      </c>
      <c r="G12" s="1318">
        <f>'T11'!F14</f>
        <v>3.7391E-3</v>
      </c>
      <c r="H12" s="806">
        <f>F12*G12</f>
        <v>2426864.444184476</v>
      </c>
      <c r="I12" s="807"/>
      <c r="J12" s="808"/>
      <c r="K12" s="809"/>
      <c r="L12" s="920">
        <f>F12</f>
        <v>649050425.01791239</v>
      </c>
      <c r="M12" s="1318"/>
      <c r="N12" s="806">
        <f>L12*M12</f>
        <v>0</v>
      </c>
      <c r="O12" s="920">
        <v>1659</v>
      </c>
      <c r="P12" s="923">
        <v>211</v>
      </c>
      <c r="Q12" s="810"/>
      <c r="R12" s="928">
        <v>4.2</v>
      </c>
      <c r="S12" s="917">
        <v>96</v>
      </c>
      <c r="T12" s="811"/>
      <c r="U12" s="806">
        <f>(O12*R12)+(P12*S12)</f>
        <v>27223.8</v>
      </c>
      <c r="V12" s="920">
        <f>F12</f>
        <v>649050425.01791239</v>
      </c>
      <c r="W12" s="1318">
        <f>'T11'!F24</f>
        <v>2.5109999999999998E-4</v>
      </c>
      <c r="X12" s="806">
        <f>V12*W12</f>
        <v>162976.56172199777</v>
      </c>
      <c r="Y12" s="920">
        <f>F12</f>
        <v>649050425.01791239</v>
      </c>
      <c r="Z12" s="1318">
        <f>'T11'!F34</f>
        <v>1.6569E-3</v>
      </c>
      <c r="AA12" s="806">
        <f>Y12*Z12</f>
        <v>1075411.649212179</v>
      </c>
      <c r="AB12" s="920">
        <f>F12</f>
        <v>649050425.01791239</v>
      </c>
      <c r="AC12" s="1318">
        <f>'T11'!F36</f>
        <v>8.3830000000000005E-4</v>
      </c>
      <c r="AD12" s="806">
        <f>AB12*AC12</f>
        <v>544098.97129251598</v>
      </c>
      <c r="AE12" s="920"/>
      <c r="AF12" s="1318"/>
      <c r="AG12" s="806">
        <f>AE12*AF12</f>
        <v>0</v>
      </c>
      <c r="AH12" s="800"/>
      <c r="AI12" s="1322"/>
      <c r="AJ12" s="1322"/>
      <c r="AK12" s="1322"/>
      <c r="AL12" s="801"/>
    </row>
    <row r="13" spans="1:52" ht="15" thickBot="1">
      <c r="A13" s="812" t="s">
        <v>237</v>
      </c>
      <c r="B13" s="813" t="s">
        <v>238</v>
      </c>
      <c r="C13" s="814">
        <f>SUM(C10:C12)</f>
        <v>226037</v>
      </c>
      <c r="D13" s="815"/>
      <c r="E13" s="816">
        <f>SUM(E10:E12)</f>
        <v>12581023.359999999</v>
      </c>
      <c r="F13" s="814">
        <f>SUM(F10:F12)</f>
        <v>4409108376.4524937</v>
      </c>
      <c r="G13" s="815"/>
      <c r="H13" s="816">
        <f>SUM(H10:H12)</f>
        <v>30298094.552071996</v>
      </c>
      <c r="I13" s="817"/>
      <c r="J13" s="818"/>
      <c r="K13" s="819"/>
      <c r="L13" s="814">
        <f>SUM(L10:L12)</f>
        <v>4409108376.4524937</v>
      </c>
      <c r="M13" s="815"/>
      <c r="N13" s="816">
        <f>SUM(N10:N12)</f>
        <v>0</v>
      </c>
      <c r="O13" s="820">
        <f>SUM(O10:O12)</f>
        <v>225790</v>
      </c>
      <c r="P13" s="821">
        <f>SUM(P10:P12)</f>
        <v>247</v>
      </c>
      <c r="Q13" s="822"/>
      <c r="R13" s="823"/>
      <c r="S13" s="823"/>
      <c r="T13" s="824"/>
      <c r="U13" s="816">
        <f>SUM(U10:U12)</f>
        <v>972030.00000000012</v>
      </c>
      <c r="V13" s="814">
        <f>SUM(V10:V12)</f>
        <v>4409108376.4524937</v>
      </c>
      <c r="W13" s="815"/>
      <c r="X13" s="816">
        <f>SUM(X10:X12)</f>
        <v>1107127.113327221</v>
      </c>
      <c r="Y13" s="825">
        <f>SUM(Y10:Y12)</f>
        <v>4409108376.4524937</v>
      </c>
      <c r="Z13" s="826"/>
      <c r="AA13" s="816">
        <f>SUM(AA10:AA12)</f>
        <v>7305451.6689441353</v>
      </c>
      <c r="AB13" s="825">
        <f>SUM(AB10:AB12)</f>
        <v>4409108376.4524937</v>
      </c>
      <c r="AC13" s="826"/>
      <c r="AD13" s="816">
        <f>SUM(AD10:AD12)</f>
        <v>3696155.5519801257</v>
      </c>
      <c r="AE13" s="825">
        <f>SUM(AE10:AE12)</f>
        <v>0</v>
      </c>
      <c r="AF13" s="826"/>
      <c r="AG13" s="816">
        <f>SUM(AG10:AG12)</f>
        <v>0</v>
      </c>
      <c r="AH13" s="800"/>
      <c r="AI13" s="827">
        <f>SUM(AG13,AD13,AA13,X13,U13,N13,K13,H13,E13)</f>
        <v>55959882.246323481</v>
      </c>
      <c r="AJ13" s="827">
        <f>+'T10'!D41+'T10'!E41</f>
        <v>55960064.367774613</v>
      </c>
      <c r="AK13" s="827">
        <f>+AI13-AJ13</f>
        <v>-182.12145113199949</v>
      </c>
      <c r="AL13" s="772"/>
    </row>
    <row r="14" spans="1:52" ht="15" thickBot="1">
      <c r="A14" s="829"/>
      <c r="B14" s="829"/>
      <c r="C14" s="829"/>
      <c r="D14" s="829"/>
      <c r="E14" s="829"/>
      <c r="F14" s="830"/>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829"/>
      <c r="AG14" s="829"/>
      <c r="AH14" s="800"/>
      <c r="AI14" s="1324"/>
      <c r="AJ14" s="1324"/>
      <c r="AK14" s="1324"/>
      <c r="AL14" s="829"/>
    </row>
    <row r="15" spans="1:52" ht="15" thickBot="1">
      <c r="A15" s="829"/>
      <c r="B15" s="829"/>
      <c r="C15" s="829"/>
      <c r="D15" s="829"/>
      <c r="E15" s="829"/>
      <c r="F15" s="830"/>
      <c r="G15" s="829"/>
      <c r="H15" s="829"/>
      <c r="I15" s="829"/>
      <c r="J15" s="829"/>
      <c r="K15" s="829"/>
      <c r="L15" s="829"/>
      <c r="M15" s="829"/>
      <c r="N15" s="829"/>
      <c r="O15" s="829"/>
      <c r="P15" s="829"/>
      <c r="Q15" s="829"/>
      <c r="R15" s="829"/>
      <c r="S15" s="829"/>
      <c r="T15" s="829"/>
      <c r="U15" s="829"/>
      <c r="V15" s="829"/>
      <c r="W15" s="829"/>
      <c r="X15" s="829"/>
      <c r="Y15" s="1766" t="s">
        <v>180</v>
      </c>
      <c r="Z15" s="1767"/>
      <c r="AA15" s="1767"/>
      <c r="AB15" s="1767"/>
      <c r="AC15" s="1767"/>
      <c r="AD15" s="1767"/>
      <c r="AE15" s="1767"/>
      <c r="AF15" s="1767"/>
      <c r="AG15" s="1768"/>
      <c r="AH15" s="800"/>
      <c r="AI15" s="1320" t="s">
        <v>148</v>
      </c>
      <c r="AJ15" s="1320" t="s">
        <v>347</v>
      </c>
      <c r="AK15" s="1320" t="s">
        <v>136</v>
      </c>
      <c r="AL15" s="829"/>
    </row>
    <row r="16" spans="1:52" ht="15.75" customHeight="1" thickBot="1">
      <c r="A16" s="772"/>
      <c r="B16" s="772"/>
      <c r="C16" s="1776" t="s">
        <v>219</v>
      </c>
      <c r="D16" s="1777"/>
      <c r="E16" s="1778"/>
      <c r="F16" s="1776" t="s">
        <v>220</v>
      </c>
      <c r="G16" s="1777"/>
      <c r="H16" s="1778"/>
      <c r="I16" s="1777" t="s">
        <v>221</v>
      </c>
      <c r="J16" s="1777"/>
      <c r="K16" s="1778"/>
      <c r="L16" s="1776" t="s">
        <v>257</v>
      </c>
      <c r="M16" s="1777"/>
      <c r="N16" s="1778"/>
      <c r="O16" s="1776" t="s">
        <v>222</v>
      </c>
      <c r="P16" s="1777"/>
      <c r="Q16" s="1777"/>
      <c r="R16" s="1777"/>
      <c r="S16" s="1777"/>
      <c r="T16" s="1777"/>
      <c r="U16" s="1777"/>
      <c r="V16" s="1776" t="s">
        <v>260</v>
      </c>
      <c r="W16" s="1777"/>
      <c r="X16" s="1778"/>
      <c r="Y16" s="1774" t="s">
        <v>223</v>
      </c>
      <c r="Z16" s="1774"/>
      <c r="AA16" s="1775"/>
      <c r="AB16" s="1774" t="s">
        <v>224</v>
      </c>
      <c r="AC16" s="1774"/>
      <c r="AD16" s="1774"/>
      <c r="AE16" s="1771" t="s">
        <v>261</v>
      </c>
      <c r="AF16" s="1772"/>
      <c r="AG16" s="1773"/>
      <c r="AH16" s="800"/>
      <c r="AI16" s="1323" t="s">
        <v>156</v>
      </c>
      <c r="AJ16" s="1323" t="s">
        <v>157</v>
      </c>
      <c r="AK16" s="1323" t="s">
        <v>158</v>
      </c>
      <c r="AL16" s="772"/>
    </row>
    <row r="17" spans="1:38" s="456" customFormat="1" ht="15" thickBot="1">
      <c r="A17" s="774" t="s">
        <v>239</v>
      </c>
      <c r="B17" s="775" t="s">
        <v>240</v>
      </c>
      <c r="C17" s="1786" t="s">
        <v>231</v>
      </c>
      <c r="D17" s="1779" t="s">
        <v>256</v>
      </c>
      <c r="E17" s="1781" t="s">
        <v>78</v>
      </c>
      <c r="F17" s="776" t="s">
        <v>227</v>
      </c>
      <c r="G17" s="777" t="s">
        <v>228</v>
      </c>
      <c r="H17" s="778" t="s">
        <v>78</v>
      </c>
      <c r="I17" s="776" t="s">
        <v>229</v>
      </c>
      <c r="J17" s="777" t="s">
        <v>228</v>
      </c>
      <c r="K17" s="778" t="s">
        <v>78</v>
      </c>
      <c r="L17" s="776" t="s">
        <v>227</v>
      </c>
      <c r="M17" s="777" t="s">
        <v>228</v>
      </c>
      <c r="N17" s="778" t="s">
        <v>78</v>
      </c>
      <c r="O17" s="1783" t="s">
        <v>258</v>
      </c>
      <c r="P17" s="1784"/>
      <c r="Q17" s="1785"/>
      <c r="R17" s="1784" t="s">
        <v>259</v>
      </c>
      <c r="S17" s="1784"/>
      <c r="T17" s="1785"/>
      <c r="U17" s="778" t="s">
        <v>78</v>
      </c>
      <c r="V17" s="776" t="s">
        <v>227</v>
      </c>
      <c r="W17" s="777" t="s">
        <v>228</v>
      </c>
      <c r="X17" s="778" t="s">
        <v>78</v>
      </c>
      <c r="Y17" s="777" t="s">
        <v>227</v>
      </c>
      <c r="Z17" s="777" t="s">
        <v>228</v>
      </c>
      <c r="AA17" s="778" t="s">
        <v>78</v>
      </c>
      <c r="AB17" s="777" t="s">
        <v>227</v>
      </c>
      <c r="AC17" s="777" t="s">
        <v>228</v>
      </c>
      <c r="AD17" s="780" t="s">
        <v>78</v>
      </c>
      <c r="AE17" s="776" t="s">
        <v>227</v>
      </c>
      <c r="AF17" s="777" t="s">
        <v>228</v>
      </c>
      <c r="AG17" s="778" t="s">
        <v>78</v>
      </c>
      <c r="AH17" s="800"/>
      <c r="AI17" s="1769" t="s">
        <v>245</v>
      </c>
      <c r="AJ17" s="1769" t="s">
        <v>245</v>
      </c>
      <c r="AK17" s="1769" t="s">
        <v>245</v>
      </c>
      <c r="AL17" s="831"/>
    </row>
    <row r="18" spans="1:38" s="456" customFormat="1" ht="18.75" customHeight="1">
      <c r="A18" s="832"/>
      <c r="B18" s="782" t="s">
        <v>230</v>
      </c>
      <c r="C18" s="1787"/>
      <c r="D18" s="1780"/>
      <c r="E18" s="1782"/>
      <c r="F18" s="783" t="s">
        <v>123</v>
      </c>
      <c r="G18" s="784" t="s">
        <v>114</v>
      </c>
      <c r="H18" s="785" t="s">
        <v>150</v>
      </c>
      <c r="I18" s="783" t="s">
        <v>118</v>
      </c>
      <c r="J18" s="784" t="s">
        <v>210</v>
      </c>
      <c r="K18" s="785" t="s">
        <v>150</v>
      </c>
      <c r="L18" s="783" t="s">
        <v>123</v>
      </c>
      <c r="M18" s="784" t="s">
        <v>114</v>
      </c>
      <c r="N18" s="785" t="s">
        <v>150</v>
      </c>
      <c r="O18" s="783" t="s">
        <v>232</v>
      </c>
      <c r="P18" s="784" t="s">
        <v>37</v>
      </c>
      <c r="Q18" s="787" t="s">
        <v>36</v>
      </c>
      <c r="R18" s="784" t="s">
        <v>232</v>
      </c>
      <c r="S18" s="784" t="s">
        <v>37</v>
      </c>
      <c r="T18" s="787" t="s">
        <v>36</v>
      </c>
      <c r="U18" s="785" t="s">
        <v>150</v>
      </c>
      <c r="V18" s="783" t="s">
        <v>123</v>
      </c>
      <c r="W18" s="784" t="s">
        <v>114</v>
      </c>
      <c r="X18" s="785" t="s">
        <v>150</v>
      </c>
      <c r="Y18" s="784" t="s">
        <v>123</v>
      </c>
      <c r="Z18" s="784" t="s">
        <v>114</v>
      </c>
      <c r="AA18" s="785" t="s">
        <v>150</v>
      </c>
      <c r="AB18" s="784" t="s">
        <v>123</v>
      </c>
      <c r="AC18" s="784" t="s">
        <v>114</v>
      </c>
      <c r="AD18" s="788" t="s">
        <v>150</v>
      </c>
      <c r="AE18" s="783" t="s">
        <v>123</v>
      </c>
      <c r="AF18" s="784" t="s">
        <v>114</v>
      </c>
      <c r="AG18" s="785" t="s">
        <v>150</v>
      </c>
      <c r="AH18" s="800"/>
      <c r="AI18" s="1770"/>
      <c r="AJ18" s="1770"/>
      <c r="AK18" s="1770"/>
      <c r="AL18" s="831"/>
    </row>
    <row r="19" spans="1:38">
      <c r="A19" s="791" t="s">
        <v>241</v>
      </c>
      <c r="B19" s="792" t="s">
        <v>242</v>
      </c>
      <c r="C19" s="912">
        <v>317</v>
      </c>
      <c r="D19" s="913">
        <f>'T11'!G13</f>
        <v>3919.48</v>
      </c>
      <c r="E19" s="793">
        <f>C19*D19</f>
        <v>1242475.1599999999</v>
      </c>
      <c r="F19" s="918">
        <v>861806520.75430846</v>
      </c>
      <c r="G19" s="1316">
        <f>'T11'!G14</f>
        <v>4.082E-4</v>
      </c>
      <c r="H19" s="793">
        <f>F19*G19</f>
        <v>351789.4217719087</v>
      </c>
      <c r="I19" s="833"/>
      <c r="J19" s="794"/>
      <c r="K19" s="834"/>
      <c r="L19" s="918">
        <f>F19</f>
        <v>861806520.75430846</v>
      </c>
      <c r="M19" s="1316"/>
      <c r="N19" s="793">
        <f>L19*M19</f>
        <v>0</v>
      </c>
      <c r="O19" s="918">
        <v>20</v>
      </c>
      <c r="P19" s="929">
        <v>297</v>
      </c>
      <c r="Q19" s="835"/>
      <c r="R19" s="931">
        <v>4.2</v>
      </c>
      <c r="S19" s="913">
        <v>96</v>
      </c>
      <c r="T19" s="836"/>
      <c r="U19" s="793">
        <f>(O19*R19)+(P19*S19)</f>
        <v>28596</v>
      </c>
      <c r="V19" s="918">
        <f>F19</f>
        <v>861806520.75430846</v>
      </c>
      <c r="W19" s="1316">
        <f>'T11'!G24</f>
        <v>0</v>
      </c>
      <c r="X19" s="793">
        <f>V19*W19</f>
        <v>0</v>
      </c>
      <c r="Y19" s="933">
        <f>F19</f>
        <v>861806520.75430846</v>
      </c>
      <c r="Z19" s="1316">
        <f>'T11'!G34</f>
        <v>3.0929999999999998E-4</v>
      </c>
      <c r="AA19" s="793">
        <f>Y19*Z19</f>
        <v>266556.7568693076</v>
      </c>
      <c r="AB19" s="933">
        <f>F19</f>
        <v>861806520.75430846</v>
      </c>
      <c r="AC19" s="1316">
        <f>'T11'!G36</f>
        <v>1.5650000000000001E-4</v>
      </c>
      <c r="AD19" s="793">
        <f>AB19*AC19</f>
        <v>134872.72049804928</v>
      </c>
      <c r="AE19" s="933"/>
      <c r="AF19" s="1316"/>
      <c r="AG19" s="793">
        <f>AE19*AF19</f>
        <v>0</v>
      </c>
      <c r="AH19" s="800"/>
      <c r="AI19" s="1321"/>
      <c r="AJ19" s="1321"/>
      <c r="AK19" s="1321"/>
      <c r="AL19" s="829"/>
    </row>
    <row r="20" spans="1:38">
      <c r="A20" s="804" t="s">
        <v>243</v>
      </c>
      <c r="B20" s="805" t="s">
        <v>244</v>
      </c>
      <c r="C20" s="837"/>
      <c r="D20" s="838"/>
      <c r="E20" s="839"/>
      <c r="F20" s="920">
        <v>32354060.369110949</v>
      </c>
      <c r="G20" s="1318">
        <f>'T11'!H14</f>
        <v>0</v>
      </c>
      <c r="H20" s="806">
        <f>F20*G20</f>
        <v>0</v>
      </c>
      <c r="I20" s="924">
        <v>12808.258333333333</v>
      </c>
      <c r="J20" s="1318">
        <f>'T11'!H15</f>
        <v>2.5475001000000002</v>
      </c>
      <c r="K20" s="806">
        <f>I20*J20</f>
        <v>32629.039384992502</v>
      </c>
      <c r="L20" s="920">
        <f>F20</f>
        <v>32354060.369110949</v>
      </c>
      <c r="M20" s="1318"/>
      <c r="N20" s="806">
        <f>L20*M20</f>
        <v>0</v>
      </c>
      <c r="O20" s="840"/>
      <c r="P20" s="841"/>
      <c r="Q20" s="930">
        <v>8</v>
      </c>
      <c r="R20" s="842"/>
      <c r="S20" s="838"/>
      <c r="T20" s="932">
        <v>465</v>
      </c>
      <c r="U20" s="806">
        <f>Q20*T20</f>
        <v>3720</v>
      </c>
      <c r="V20" s="920"/>
      <c r="W20" s="1318"/>
      <c r="X20" s="806">
        <f>V20*W20</f>
        <v>0</v>
      </c>
      <c r="Y20" s="924">
        <f>F20</f>
        <v>32354060.369110949</v>
      </c>
      <c r="Z20" s="1318">
        <f>'T11'!H34</f>
        <v>3.0929999999999998E-4</v>
      </c>
      <c r="AA20" s="806">
        <f>Y20*Z20</f>
        <v>10007.110872166017</v>
      </c>
      <c r="AB20" s="924">
        <f>F20</f>
        <v>32354060.369110949</v>
      </c>
      <c r="AC20" s="1318">
        <f>'T11'!H36</f>
        <v>1.5650000000000001E-4</v>
      </c>
      <c r="AD20" s="806">
        <f>AB20*AC20</f>
        <v>5063.4104477658639</v>
      </c>
      <c r="AE20" s="924"/>
      <c r="AF20" s="1318"/>
      <c r="AG20" s="806">
        <f>AE20*AF20</f>
        <v>0</v>
      </c>
      <c r="AH20" s="800"/>
      <c r="AI20" s="1322"/>
      <c r="AJ20" s="1322"/>
      <c r="AK20" s="1322"/>
      <c r="AL20" s="801"/>
    </row>
    <row r="21" spans="1:38" ht="15" thickBot="1">
      <c r="A21" s="812" t="s">
        <v>245</v>
      </c>
      <c r="B21" s="843" t="s">
        <v>246</v>
      </c>
      <c r="C21" s="814">
        <f>SUM(C19)</f>
        <v>317</v>
      </c>
      <c r="D21" s="815"/>
      <c r="E21" s="816">
        <f>SUM(E19)</f>
        <v>1242475.1599999999</v>
      </c>
      <c r="F21" s="814">
        <f>SUM(F19:F20)</f>
        <v>894160581.1234194</v>
      </c>
      <c r="G21" s="815"/>
      <c r="H21" s="816">
        <f>SUM(H19:H20)</f>
        <v>351789.4217719087</v>
      </c>
      <c r="I21" s="844">
        <f>SUM(I20)</f>
        <v>12808.258333333333</v>
      </c>
      <c r="J21" s="815"/>
      <c r="K21" s="816">
        <f>SUM(K20)</f>
        <v>32629.039384992502</v>
      </c>
      <c r="L21" s="820">
        <f>SUM(L19:L20)</f>
        <v>894160581.1234194</v>
      </c>
      <c r="M21" s="845"/>
      <c r="N21" s="816">
        <f>SUM(N19:N20)</f>
        <v>0</v>
      </c>
      <c r="O21" s="820">
        <f>SUM(O19:O20)</f>
        <v>20</v>
      </c>
      <c r="P21" s="825">
        <f>SUM(P19:P20)</f>
        <v>297</v>
      </c>
      <c r="Q21" s="846">
        <f>SUM(Q19:Q20)</f>
        <v>8</v>
      </c>
      <c r="R21" s="823"/>
      <c r="S21" s="823"/>
      <c r="T21" s="847"/>
      <c r="U21" s="816">
        <f>SUM(U19:U20)</f>
        <v>32316</v>
      </c>
      <c r="V21" s="820">
        <f>SUM(V19:V20)</f>
        <v>861806520.75430846</v>
      </c>
      <c r="W21" s="845"/>
      <c r="X21" s="816">
        <f>SUM(X19:X20)</f>
        <v>0</v>
      </c>
      <c r="Y21" s="848">
        <f>SUM(Y19:Y20)</f>
        <v>894160581.1234194</v>
      </c>
      <c r="Z21" s="823"/>
      <c r="AA21" s="816">
        <f>SUM(AA19:AA20)</f>
        <v>276563.8677414736</v>
      </c>
      <c r="AB21" s="848">
        <f>SUM(AB19:AB20)</f>
        <v>894160581.1234194</v>
      </c>
      <c r="AC21" s="823"/>
      <c r="AD21" s="816">
        <f>SUM(AD19:AD20)</f>
        <v>139936.13094581515</v>
      </c>
      <c r="AE21" s="848">
        <f>SUM(AE19:AE20)</f>
        <v>0</v>
      </c>
      <c r="AF21" s="823"/>
      <c r="AG21" s="816">
        <f>SUM(AG19:AG20)</f>
        <v>0</v>
      </c>
      <c r="AH21" s="800"/>
      <c r="AI21" s="827">
        <f>SUM(AG21,AD21,AA21,X21,U21,N21,K21,H21,E21)</f>
        <v>2075709.6198441898</v>
      </c>
      <c r="AJ21" s="827">
        <f>+'T10'!G41+'T10'!H41</f>
        <v>2075767.0017431988</v>
      </c>
      <c r="AK21" s="827">
        <f>+AI21-AJ21</f>
        <v>-57.381899008993059</v>
      </c>
      <c r="AL21" s="772"/>
    </row>
    <row r="22" spans="1:38" ht="15" thickBot="1">
      <c r="A22" s="849"/>
      <c r="B22" s="850"/>
      <c r="C22" s="828"/>
      <c r="D22" s="828"/>
      <c r="E22" s="828"/>
      <c r="F22" s="828"/>
      <c r="G22" s="828"/>
      <c r="H22" s="828"/>
      <c r="I22" s="828"/>
      <c r="J22" s="828"/>
      <c r="K22" s="828"/>
      <c r="L22" s="828"/>
      <c r="M22" s="828"/>
      <c r="N22" s="828"/>
      <c r="O22" s="851"/>
      <c r="P22" s="851"/>
      <c r="Q22" s="851"/>
      <c r="R22" s="851"/>
      <c r="S22" s="851"/>
      <c r="T22" s="851"/>
      <c r="U22" s="828"/>
      <c r="V22" s="828"/>
      <c r="W22" s="828"/>
      <c r="X22" s="828"/>
      <c r="Y22" s="851"/>
      <c r="Z22" s="851"/>
      <c r="AA22" s="828"/>
      <c r="AB22" s="828"/>
      <c r="AC22" s="828"/>
      <c r="AD22" s="828"/>
      <c r="AE22" s="851"/>
      <c r="AF22" s="851"/>
      <c r="AG22" s="828"/>
      <c r="AH22" s="800"/>
      <c r="AI22" s="1324"/>
      <c r="AJ22" s="1324"/>
      <c r="AK22" s="1324"/>
      <c r="AL22" s="772"/>
    </row>
    <row r="23" spans="1:38" ht="15" thickBot="1">
      <c r="A23" s="849"/>
      <c r="B23" s="850"/>
      <c r="C23" s="828"/>
      <c r="D23" s="828"/>
      <c r="E23" s="828"/>
      <c r="F23" s="828"/>
      <c r="G23" s="828"/>
      <c r="H23" s="828"/>
      <c r="I23" s="828"/>
      <c r="J23" s="828"/>
      <c r="K23" s="828"/>
      <c r="L23" s="828"/>
      <c r="M23" s="828"/>
      <c r="N23" s="828"/>
      <c r="O23" s="851"/>
      <c r="P23" s="851"/>
      <c r="Q23" s="851"/>
      <c r="R23" s="851"/>
      <c r="S23" s="851"/>
      <c r="T23" s="851"/>
      <c r="U23" s="828"/>
      <c r="V23" s="828"/>
      <c r="W23" s="828"/>
      <c r="X23" s="828"/>
      <c r="Y23" s="1766" t="s">
        <v>180</v>
      </c>
      <c r="Z23" s="1767"/>
      <c r="AA23" s="1767"/>
      <c r="AB23" s="1767"/>
      <c r="AC23" s="1767"/>
      <c r="AD23" s="1767"/>
      <c r="AE23" s="1767"/>
      <c r="AF23" s="1767"/>
      <c r="AG23" s="1768"/>
      <c r="AH23" s="800"/>
      <c r="AI23" s="1320" t="s">
        <v>148</v>
      </c>
      <c r="AJ23" s="1320" t="s">
        <v>347</v>
      </c>
      <c r="AK23" s="1320" t="s">
        <v>136</v>
      </c>
      <c r="AL23" s="772"/>
    </row>
    <row r="24" spans="1:38" ht="15.75" customHeight="1" thickBot="1">
      <c r="A24" s="772"/>
      <c r="B24" s="772"/>
      <c r="C24" s="1776" t="s">
        <v>219</v>
      </c>
      <c r="D24" s="1777"/>
      <c r="E24" s="1778"/>
      <c r="F24" s="1776" t="s">
        <v>220</v>
      </c>
      <c r="G24" s="1777"/>
      <c r="H24" s="1778"/>
      <c r="I24" s="1777" t="s">
        <v>221</v>
      </c>
      <c r="J24" s="1777"/>
      <c r="K24" s="1778"/>
      <c r="L24" s="1776" t="s">
        <v>257</v>
      </c>
      <c r="M24" s="1777"/>
      <c r="N24" s="1778"/>
      <c r="O24" s="1776" t="s">
        <v>222</v>
      </c>
      <c r="P24" s="1777"/>
      <c r="Q24" s="1777"/>
      <c r="R24" s="1777"/>
      <c r="S24" s="1777"/>
      <c r="T24" s="1777"/>
      <c r="U24" s="1778"/>
      <c r="V24" s="1776" t="s">
        <v>260</v>
      </c>
      <c r="W24" s="1777"/>
      <c r="X24" s="1778"/>
      <c r="Y24" s="1774" t="s">
        <v>223</v>
      </c>
      <c r="Z24" s="1774"/>
      <c r="AA24" s="1775"/>
      <c r="AB24" s="1774" t="s">
        <v>224</v>
      </c>
      <c r="AC24" s="1774"/>
      <c r="AD24" s="1774"/>
      <c r="AE24" s="1771" t="s">
        <v>261</v>
      </c>
      <c r="AF24" s="1772"/>
      <c r="AG24" s="1773"/>
      <c r="AH24" s="800"/>
      <c r="AI24" s="1323" t="s">
        <v>156</v>
      </c>
      <c r="AJ24" s="1323" t="s">
        <v>157</v>
      </c>
      <c r="AK24" s="1323" t="s">
        <v>158</v>
      </c>
      <c r="AL24" s="772"/>
    </row>
    <row r="25" spans="1:38" ht="15.75" customHeight="1" thickBot="1">
      <c r="A25" s="774" t="s">
        <v>187</v>
      </c>
      <c r="B25" s="775" t="s">
        <v>247</v>
      </c>
      <c r="C25" s="1786" t="s">
        <v>231</v>
      </c>
      <c r="D25" s="1779" t="s">
        <v>256</v>
      </c>
      <c r="E25" s="1781" t="s">
        <v>78</v>
      </c>
      <c r="F25" s="776" t="s">
        <v>227</v>
      </c>
      <c r="G25" s="777" t="s">
        <v>228</v>
      </c>
      <c r="H25" s="778" t="s">
        <v>78</v>
      </c>
      <c r="I25" s="776" t="s">
        <v>229</v>
      </c>
      <c r="J25" s="777" t="s">
        <v>228</v>
      </c>
      <c r="K25" s="778" t="s">
        <v>78</v>
      </c>
      <c r="L25" s="776" t="s">
        <v>227</v>
      </c>
      <c r="M25" s="777" t="s">
        <v>228</v>
      </c>
      <c r="N25" s="778" t="s">
        <v>78</v>
      </c>
      <c r="O25" s="1783" t="s">
        <v>258</v>
      </c>
      <c r="P25" s="1784"/>
      <c r="Q25" s="1785"/>
      <c r="R25" s="1784" t="s">
        <v>259</v>
      </c>
      <c r="S25" s="1784"/>
      <c r="T25" s="1785"/>
      <c r="U25" s="852" t="s">
        <v>78</v>
      </c>
      <c r="V25" s="776" t="s">
        <v>227</v>
      </c>
      <c r="W25" s="777" t="s">
        <v>228</v>
      </c>
      <c r="X25" s="778" t="s">
        <v>78</v>
      </c>
      <c r="Y25" s="777" t="s">
        <v>227</v>
      </c>
      <c r="Z25" s="777" t="s">
        <v>228</v>
      </c>
      <c r="AA25" s="778" t="s">
        <v>78</v>
      </c>
      <c r="AB25" s="777" t="s">
        <v>227</v>
      </c>
      <c r="AC25" s="777" t="s">
        <v>228</v>
      </c>
      <c r="AD25" s="780" t="s">
        <v>78</v>
      </c>
      <c r="AE25" s="776" t="s">
        <v>227</v>
      </c>
      <c r="AF25" s="777" t="s">
        <v>228</v>
      </c>
      <c r="AG25" s="778" t="s">
        <v>78</v>
      </c>
      <c r="AH25" s="800"/>
      <c r="AI25" s="1769" t="s">
        <v>249</v>
      </c>
      <c r="AJ25" s="1769" t="s">
        <v>249</v>
      </c>
      <c r="AK25" s="1769" t="s">
        <v>249</v>
      </c>
      <c r="AL25" s="772"/>
    </row>
    <row r="26" spans="1:38" ht="19.5" customHeight="1">
      <c r="A26" s="781"/>
      <c r="B26" s="782" t="s">
        <v>230</v>
      </c>
      <c r="C26" s="1787"/>
      <c r="D26" s="1780"/>
      <c r="E26" s="1782"/>
      <c r="F26" s="783" t="s">
        <v>123</v>
      </c>
      <c r="G26" s="784" t="s">
        <v>114</v>
      </c>
      <c r="H26" s="785" t="s">
        <v>150</v>
      </c>
      <c r="I26" s="783" t="s">
        <v>118</v>
      </c>
      <c r="J26" s="784" t="s">
        <v>210</v>
      </c>
      <c r="K26" s="785" t="s">
        <v>150</v>
      </c>
      <c r="L26" s="783" t="s">
        <v>123</v>
      </c>
      <c r="M26" s="784" t="s">
        <v>114</v>
      </c>
      <c r="N26" s="785" t="s">
        <v>150</v>
      </c>
      <c r="O26" s="783" t="s">
        <v>232</v>
      </c>
      <c r="P26" s="784" t="s">
        <v>37</v>
      </c>
      <c r="Q26" s="787" t="s">
        <v>36</v>
      </c>
      <c r="R26" s="784" t="s">
        <v>232</v>
      </c>
      <c r="S26" s="784" t="s">
        <v>37</v>
      </c>
      <c r="T26" s="787" t="s">
        <v>36</v>
      </c>
      <c r="U26" s="785" t="s">
        <v>150</v>
      </c>
      <c r="V26" s="783" t="s">
        <v>123</v>
      </c>
      <c r="W26" s="784" t="s">
        <v>114</v>
      </c>
      <c r="X26" s="785" t="s">
        <v>150</v>
      </c>
      <c r="Y26" s="784" t="s">
        <v>123</v>
      </c>
      <c r="Z26" s="784" t="s">
        <v>114</v>
      </c>
      <c r="AA26" s="785" t="s">
        <v>150</v>
      </c>
      <c r="AB26" s="784" t="s">
        <v>123</v>
      </c>
      <c r="AC26" s="784" t="s">
        <v>114</v>
      </c>
      <c r="AD26" s="788" t="s">
        <v>150</v>
      </c>
      <c r="AE26" s="783" t="s">
        <v>123</v>
      </c>
      <c r="AF26" s="784" t="s">
        <v>114</v>
      </c>
      <c r="AG26" s="785" t="s">
        <v>150</v>
      </c>
      <c r="AH26" s="800"/>
      <c r="AI26" s="1770"/>
      <c r="AJ26" s="1770"/>
      <c r="AK26" s="1770"/>
      <c r="AL26" s="772"/>
    </row>
    <row r="27" spans="1:38">
      <c r="A27" s="804" t="s">
        <v>187</v>
      </c>
      <c r="B27" s="805" t="s">
        <v>248</v>
      </c>
      <c r="C27" s="853"/>
      <c r="D27" s="808"/>
      <c r="E27" s="839"/>
      <c r="F27" s="925">
        <v>1398044869.9733465</v>
      </c>
      <c r="G27" s="1319">
        <f>'T11'!I14</f>
        <v>0</v>
      </c>
      <c r="H27" s="854">
        <f>F27*G27</f>
        <v>0</v>
      </c>
      <c r="I27" s="924">
        <v>294606.42499999999</v>
      </c>
      <c r="J27" s="1318">
        <f>'T11'!I15</f>
        <v>2.0379999999999998</v>
      </c>
      <c r="K27" s="806">
        <f>I27*J27</f>
        <v>600407.89414999995</v>
      </c>
      <c r="L27" s="924">
        <f>F27</f>
        <v>1398044869.9733465</v>
      </c>
      <c r="M27" s="1318"/>
      <c r="N27" s="806">
        <f>L27*M27</f>
        <v>0</v>
      </c>
      <c r="O27" s="855"/>
      <c r="P27" s="841"/>
      <c r="Q27" s="930">
        <v>37</v>
      </c>
      <c r="R27" s="842"/>
      <c r="S27" s="838"/>
      <c r="T27" s="932">
        <v>465</v>
      </c>
      <c r="U27" s="806">
        <f>Q27*T27</f>
        <v>17205</v>
      </c>
      <c r="V27" s="924"/>
      <c r="W27" s="1318"/>
      <c r="X27" s="806">
        <f>V27*W27</f>
        <v>0</v>
      </c>
      <c r="Y27" s="924">
        <f>F27</f>
        <v>1398044869.9733465</v>
      </c>
      <c r="Z27" s="1318">
        <f>'T11'!I34</f>
        <v>7.3499999999999998E-5</v>
      </c>
      <c r="AA27" s="806">
        <f>Y27*Z27</f>
        <v>102756.29794304096</v>
      </c>
      <c r="AB27" s="924">
        <f>F27</f>
        <v>1398044869.9733465</v>
      </c>
      <c r="AC27" s="1318">
        <f>'T11'!I36</f>
        <v>3.7200000000000003E-5</v>
      </c>
      <c r="AD27" s="806">
        <f>AB27*AC27</f>
        <v>52007.269163008496</v>
      </c>
      <c r="AE27" s="924"/>
      <c r="AF27" s="1318"/>
      <c r="AG27" s="806">
        <f>AE27*AF27</f>
        <v>0</v>
      </c>
      <c r="AH27" s="800"/>
      <c r="AI27" s="1322"/>
      <c r="AJ27" s="1322"/>
      <c r="AK27" s="1322"/>
      <c r="AL27" s="772"/>
    </row>
    <row r="28" spans="1:38" ht="15" thickBot="1">
      <c r="A28" s="812" t="s">
        <v>249</v>
      </c>
      <c r="B28" s="843" t="s">
        <v>250</v>
      </c>
      <c r="C28" s="856"/>
      <c r="D28" s="817"/>
      <c r="E28" s="857"/>
      <c r="F28" s="820">
        <f>SUM(F27)</f>
        <v>1398044869.9733465</v>
      </c>
      <c r="G28" s="815"/>
      <c r="H28" s="816">
        <f>SUM(H27)</f>
        <v>0</v>
      </c>
      <c r="I28" s="844">
        <f>SUM(I27)</f>
        <v>294606.42499999999</v>
      </c>
      <c r="J28" s="815"/>
      <c r="K28" s="816">
        <f>SUM(K27)</f>
        <v>600407.89414999995</v>
      </c>
      <c r="L28" s="844">
        <f>SUM(L27)</f>
        <v>1398044869.9733465</v>
      </c>
      <c r="M28" s="815"/>
      <c r="N28" s="816">
        <f>SUM(N27)</f>
        <v>0</v>
      </c>
      <c r="O28" s="858"/>
      <c r="P28" s="859"/>
      <c r="Q28" s="860">
        <f>SUM(Q27)</f>
        <v>37</v>
      </c>
      <c r="R28" s="861"/>
      <c r="S28" s="859"/>
      <c r="T28" s="862"/>
      <c r="U28" s="816">
        <f>SUM(U27)</f>
        <v>17205</v>
      </c>
      <c r="V28" s="844">
        <f>SUM(V27)</f>
        <v>0</v>
      </c>
      <c r="W28" s="815"/>
      <c r="X28" s="816">
        <f>SUM(X27)</f>
        <v>0</v>
      </c>
      <c r="Y28" s="848">
        <f>SUM(Y27)</f>
        <v>1398044869.9733465</v>
      </c>
      <c r="Z28" s="823"/>
      <c r="AA28" s="816">
        <f>SUM(AA27)</f>
        <v>102756.29794304096</v>
      </c>
      <c r="AB28" s="848">
        <f>SUM(AB27)</f>
        <v>1398044869.9733465</v>
      </c>
      <c r="AC28" s="823"/>
      <c r="AD28" s="816">
        <f>SUM(AD27)</f>
        <v>52007.269163008496</v>
      </c>
      <c r="AE28" s="848">
        <f>SUM(AE27)</f>
        <v>0</v>
      </c>
      <c r="AF28" s="823"/>
      <c r="AG28" s="816">
        <f>SUM(AG27)</f>
        <v>0</v>
      </c>
      <c r="AH28" s="800"/>
      <c r="AI28" s="827">
        <f>SUM(AG28,AD28,AA28,X28,U28,N28,K28,H28,E28)</f>
        <v>772376.46125604934</v>
      </c>
      <c r="AJ28" s="827">
        <f>+'T10'!J41+'T10'!K41</f>
        <v>772348.95151435165</v>
      </c>
      <c r="AK28" s="827">
        <f>+AI28-AJ28</f>
        <v>27.509741697693244</v>
      </c>
      <c r="AL28" s="772"/>
    </row>
    <row r="29" spans="1:38" ht="15" thickBot="1">
      <c r="A29" s="829"/>
      <c r="B29" s="829"/>
      <c r="C29" s="863"/>
      <c r="D29" s="863"/>
      <c r="E29" s="863"/>
      <c r="F29" s="864"/>
      <c r="G29" s="863"/>
      <c r="H29" s="863"/>
      <c r="I29" s="863"/>
      <c r="J29" s="863"/>
      <c r="K29" s="863"/>
      <c r="L29" s="863"/>
      <c r="M29" s="863"/>
      <c r="N29" s="863"/>
      <c r="O29" s="829"/>
      <c r="P29" s="829"/>
      <c r="Q29" s="829"/>
      <c r="R29" s="829"/>
      <c r="S29" s="829"/>
      <c r="T29" s="829"/>
      <c r="U29" s="829"/>
      <c r="V29" s="863"/>
      <c r="W29" s="863"/>
      <c r="X29" s="863"/>
      <c r="Y29" s="863"/>
      <c r="Z29" s="863"/>
      <c r="AA29" s="863"/>
      <c r="AB29" s="863"/>
      <c r="AC29" s="863"/>
      <c r="AD29" s="863"/>
      <c r="AE29" s="829"/>
      <c r="AF29" s="829"/>
      <c r="AG29" s="829"/>
      <c r="AH29" s="800"/>
      <c r="AI29" s="1324"/>
      <c r="AJ29" s="1324"/>
      <c r="AK29" s="1324"/>
      <c r="AL29" s="829"/>
    </row>
    <row r="30" spans="1:38" ht="15" thickBot="1">
      <c r="A30" s="829"/>
      <c r="B30" s="829"/>
      <c r="C30" s="863"/>
      <c r="D30" s="863"/>
      <c r="E30" s="863"/>
      <c r="F30" s="864"/>
      <c r="G30" s="863"/>
      <c r="H30" s="863"/>
      <c r="I30" s="863"/>
      <c r="J30" s="863"/>
      <c r="K30" s="863"/>
      <c r="L30" s="863"/>
      <c r="M30" s="863"/>
      <c r="N30" s="863"/>
      <c r="O30" s="829"/>
      <c r="P30" s="829"/>
      <c r="Q30" s="829"/>
      <c r="R30" s="829"/>
      <c r="S30" s="829"/>
      <c r="T30" s="829"/>
      <c r="U30" s="829"/>
      <c r="V30" s="863"/>
      <c r="W30" s="863"/>
      <c r="X30" s="863"/>
      <c r="Y30" s="1766" t="s">
        <v>180</v>
      </c>
      <c r="Z30" s="1767"/>
      <c r="AA30" s="1767"/>
      <c r="AB30" s="1767"/>
      <c r="AC30" s="1767"/>
      <c r="AD30" s="1767"/>
      <c r="AE30" s="1767"/>
      <c r="AF30" s="1767"/>
      <c r="AG30" s="1768"/>
      <c r="AH30" s="800"/>
      <c r="AI30" s="1320" t="s">
        <v>148</v>
      </c>
      <c r="AJ30" s="1320" t="s">
        <v>347</v>
      </c>
      <c r="AK30" s="1320" t="s">
        <v>136</v>
      </c>
      <c r="AL30" s="829"/>
    </row>
    <row r="31" spans="1:38" ht="15.75" customHeight="1" thickBot="1">
      <c r="A31" s="772"/>
      <c r="B31" s="772"/>
      <c r="C31" s="1776" t="s">
        <v>219</v>
      </c>
      <c r="D31" s="1777"/>
      <c r="E31" s="1778"/>
      <c r="F31" s="1776" t="s">
        <v>220</v>
      </c>
      <c r="G31" s="1777"/>
      <c r="H31" s="1778"/>
      <c r="I31" s="1777" t="s">
        <v>221</v>
      </c>
      <c r="J31" s="1777"/>
      <c r="K31" s="1778"/>
      <c r="L31" s="1776" t="s">
        <v>257</v>
      </c>
      <c r="M31" s="1777"/>
      <c r="N31" s="1778"/>
      <c r="O31" s="1776" t="s">
        <v>222</v>
      </c>
      <c r="P31" s="1777"/>
      <c r="Q31" s="1777"/>
      <c r="R31" s="1777"/>
      <c r="S31" s="1777"/>
      <c r="T31" s="1777"/>
      <c r="U31" s="1777"/>
      <c r="V31" s="1776" t="s">
        <v>260</v>
      </c>
      <c r="W31" s="1777"/>
      <c r="X31" s="1778"/>
      <c r="Y31" s="1774" t="s">
        <v>223</v>
      </c>
      <c r="Z31" s="1774"/>
      <c r="AA31" s="1775"/>
      <c r="AB31" s="1774" t="s">
        <v>224</v>
      </c>
      <c r="AC31" s="1774"/>
      <c r="AD31" s="1774"/>
      <c r="AE31" s="1771" t="s">
        <v>261</v>
      </c>
      <c r="AF31" s="1772"/>
      <c r="AG31" s="1773"/>
      <c r="AH31" s="800"/>
      <c r="AI31" s="1323" t="s">
        <v>156</v>
      </c>
      <c r="AJ31" s="1323" t="s">
        <v>157</v>
      </c>
      <c r="AK31" s="1323" t="s">
        <v>158</v>
      </c>
      <c r="AL31" s="772"/>
    </row>
    <row r="32" spans="1:38" s="456" customFormat="1" ht="15" thickBot="1">
      <c r="A32" s="774"/>
      <c r="B32" s="775"/>
      <c r="C32" s="1786" t="s">
        <v>231</v>
      </c>
      <c r="D32" s="1779" t="s">
        <v>256</v>
      </c>
      <c r="E32" s="1781" t="s">
        <v>78</v>
      </c>
      <c r="F32" s="776" t="s">
        <v>227</v>
      </c>
      <c r="G32" s="777" t="s">
        <v>228</v>
      </c>
      <c r="H32" s="778" t="s">
        <v>78</v>
      </c>
      <c r="I32" s="776" t="s">
        <v>229</v>
      </c>
      <c r="J32" s="777" t="s">
        <v>228</v>
      </c>
      <c r="K32" s="778" t="s">
        <v>78</v>
      </c>
      <c r="L32" s="776" t="s">
        <v>227</v>
      </c>
      <c r="M32" s="777" t="s">
        <v>228</v>
      </c>
      <c r="N32" s="778" t="s">
        <v>78</v>
      </c>
      <c r="O32" s="1783" t="s">
        <v>258</v>
      </c>
      <c r="P32" s="1784"/>
      <c r="Q32" s="1785"/>
      <c r="R32" s="1784" t="s">
        <v>259</v>
      </c>
      <c r="S32" s="1784"/>
      <c r="T32" s="1785"/>
      <c r="U32" s="778" t="s">
        <v>78</v>
      </c>
      <c r="V32" s="776" t="s">
        <v>227</v>
      </c>
      <c r="W32" s="777" t="s">
        <v>228</v>
      </c>
      <c r="X32" s="778" t="s">
        <v>78</v>
      </c>
      <c r="Y32" s="777" t="s">
        <v>227</v>
      </c>
      <c r="Z32" s="777" t="s">
        <v>228</v>
      </c>
      <c r="AA32" s="778" t="s">
        <v>78</v>
      </c>
      <c r="AB32" s="777" t="s">
        <v>227</v>
      </c>
      <c r="AC32" s="777" t="s">
        <v>228</v>
      </c>
      <c r="AD32" s="780" t="s">
        <v>78</v>
      </c>
      <c r="AE32" s="776" t="s">
        <v>227</v>
      </c>
      <c r="AF32" s="777" t="s">
        <v>228</v>
      </c>
      <c r="AG32" s="778" t="s">
        <v>78</v>
      </c>
      <c r="AH32" s="800"/>
      <c r="AI32" s="1769" t="s">
        <v>262</v>
      </c>
      <c r="AJ32" s="1769" t="s">
        <v>262</v>
      </c>
      <c r="AK32" s="1769" t="s">
        <v>262</v>
      </c>
      <c r="AL32" s="831"/>
    </row>
    <row r="33" spans="1:38" s="456" customFormat="1" ht="18.75" customHeight="1">
      <c r="A33" s="832"/>
      <c r="B33" s="782"/>
      <c r="C33" s="1787"/>
      <c r="D33" s="1780"/>
      <c r="E33" s="1782"/>
      <c r="F33" s="783" t="s">
        <v>123</v>
      </c>
      <c r="G33" s="784" t="s">
        <v>114</v>
      </c>
      <c r="H33" s="785" t="s">
        <v>150</v>
      </c>
      <c r="I33" s="783" t="s">
        <v>118</v>
      </c>
      <c r="J33" s="784" t="s">
        <v>210</v>
      </c>
      <c r="K33" s="785" t="s">
        <v>150</v>
      </c>
      <c r="L33" s="783" t="s">
        <v>123</v>
      </c>
      <c r="M33" s="784" t="s">
        <v>114</v>
      </c>
      <c r="N33" s="785" t="s">
        <v>150</v>
      </c>
      <c r="O33" s="783" t="s">
        <v>232</v>
      </c>
      <c r="P33" s="784" t="s">
        <v>37</v>
      </c>
      <c r="Q33" s="787" t="s">
        <v>36</v>
      </c>
      <c r="R33" s="784" t="s">
        <v>232</v>
      </c>
      <c r="S33" s="784" t="s">
        <v>37</v>
      </c>
      <c r="T33" s="787" t="s">
        <v>36</v>
      </c>
      <c r="U33" s="785" t="s">
        <v>150</v>
      </c>
      <c r="V33" s="783" t="s">
        <v>123</v>
      </c>
      <c r="W33" s="784" t="s">
        <v>114</v>
      </c>
      <c r="X33" s="785" t="s">
        <v>150</v>
      </c>
      <c r="Y33" s="784" t="s">
        <v>123</v>
      </c>
      <c r="Z33" s="784" t="s">
        <v>114</v>
      </c>
      <c r="AA33" s="785" t="s">
        <v>150</v>
      </c>
      <c r="AB33" s="784" t="s">
        <v>123</v>
      </c>
      <c r="AC33" s="784" t="s">
        <v>114</v>
      </c>
      <c r="AD33" s="788" t="s">
        <v>150</v>
      </c>
      <c r="AE33" s="783" t="s">
        <v>123</v>
      </c>
      <c r="AF33" s="784" t="s">
        <v>114</v>
      </c>
      <c r="AG33" s="785" t="s">
        <v>150</v>
      </c>
      <c r="AH33" s="800"/>
      <c r="AI33" s="1770"/>
      <c r="AJ33" s="1770"/>
      <c r="AK33" s="1770"/>
      <c r="AL33" s="831"/>
    </row>
    <row r="34" spans="1:38">
      <c r="A34" s="791" t="s">
        <v>251</v>
      </c>
      <c r="B34" s="792" t="s">
        <v>206</v>
      </c>
      <c r="C34" s="865"/>
      <c r="D34" s="866"/>
      <c r="E34" s="834"/>
      <c r="F34" s="918">
        <v>76702109</v>
      </c>
      <c r="G34" s="1316">
        <f>'T11'!J14</f>
        <v>7.1140000000000005E-4</v>
      </c>
      <c r="H34" s="793">
        <f>F34*G34</f>
        <v>54565.880342600001</v>
      </c>
      <c r="I34" s="833"/>
      <c r="J34" s="794"/>
      <c r="K34" s="834"/>
      <c r="L34" s="918"/>
      <c r="M34" s="1316"/>
      <c r="N34" s="793">
        <f>L34*M34</f>
        <v>0</v>
      </c>
      <c r="O34" s="867"/>
      <c r="P34" s="868"/>
      <c r="Q34" s="835"/>
      <c r="R34" s="869"/>
      <c r="S34" s="866"/>
      <c r="T34" s="836"/>
      <c r="U34" s="834"/>
      <c r="V34" s="867"/>
      <c r="W34" s="797"/>
      <c r="X34" s="834"/>
      <c r="Y34" s="870"/>
      <c r="Z34" s="797"/>
      <c r="AA34" s="834"/>
      <c r="AB34" s="870"/>
      <c r="AC34" s="797"/>
      <c r="AD34" s="834"/>
      <c r="AE34" s="870"/>
      <c r="AF34" s="797"/>
      <c r="AG34" s="834"/>
      <c r="AH34" s="800"/>
      <c r="AI34" s="1321"/>
      <c r="AJ34" s="1321"/>
      <c r="AK34" s="1321"/>
      <c r="AL34" s="829"/>
    </row>
    <row r="35" spans="1:38">
      <c r="A35" s="804" t="s">
        <v>251</v>
      </c>
      <c r="B35" s="805" t="s">
        <v>207</v>
      </c>
      <c r="C35" s="837"/>
      <c r="D35" s="838"/>
      <c r="E35" s="839"/>
      <c r="F35" s="920"/>
      <c r="G35" s="1318"/>
      <c r="H35" s="806">
        <f>F35*G35</f>
        <v>0</v>
      </c>
      <c r="I35" s="871"/>
      <c r="J35" s="810"/>
      <c r="K35" s="839"/>
      <c r="L35" s="920"/>
      <c r="M35" s="1318"/>
      <c r="N35" s="806">
        <f>L35*M35</f>
        <v>0</v>
      </c>
      <c r="O35" s="840"/>
      <c r="P35" s="841"/>
      <c r="Q35" s="872"/>
      <c r="R35" s="842"/>
      <c r="S35" s="838"/>
      <c r="T35" s="873"/>
      <c r="U35" s="839"/>
      <c r="V35" s="874"/>
      <c r="W35" s="810"/>
      <c r="X35" s="839"/>
      <c r="Y35" s="871"/>
      <c r="Z35" s="810"/>
      <c r="AA35" s="839"/>
      <c r="AB35" s="871"/>
      <c r="AC35" s="810"/>
      <c r="AD35" s="839"/>
      <c r="AE35" s="871"/>
      <c r="AF35" s="810"/>
      <c r="AG35" s="839"/>
      <c r="AH35" s="800"/>
      <c r="AI35" s="1322"/>
      <c r="AJ35" s="1322"/>
      <c r="AK35" s="1322"/>
      <c r="AL35" s="801"/>
    </row>
    <row r="36" spans="1:38" ht="15" thickBot="1">
      <c r="A36" s="812" t="s">
        <v>252</v>
      </c>
      <c r="B36" s="843" t="s">
        <v>253</v>
      </c>
      <c r="C36" s="875"/>
      <c r="D36" s="817"/>
      <c r="E36" s="857"/>
      <c r="F36" s="814">
        <f>SUM(F34:F35)</f>
        <v>76702109</v>
      </c>
      <c r="G36" s="815"/>
      <c r="H36" s="816">
        <f>SUM(H34:H35)</f>
        <v>54565.880342600001</v>
      </c>
      <c r="I36" s="856"/>
      <c r="J36" s="817"/>
      <c r="K36" s="857"/>
      <c r="L36" s="820">
        <f>SUM(L34:L35)</f>
        <v>0</v>
      </c>
      <c r="M36" s="845"/>
      <c r="N36" s="816">
        <f>SUM(N34:N35)</f>
        <v>0</v>
      </c>
      <c r="O36" s="876"/>
      <c r="P36" s="877"/>
      <c r="Q36" s="878"/>
      <c r="R36" s="879"/>
      <c r="S36" s="879"/>
      <c r="T36" s="824"/>
      <c r="U36" s="857"/>
      <c r="V36" s="876"/>
      <c r="W36" s="818"/>
      <c r="X36" s="857"/>
      <c r="Y36" s="880"/>
      <c r="Z36" s="879"/>
      <c r="AA36" s="857"/>
      <c r="AB36" s="880"/>
      <c r="AC36" s="879"/>
      <c r="AD36" s="857"/>
      <c r="AE36" s="880"/>
      <c r="AF36" s="879"/>
      <c r="AG36" s="857"/>
      <c r="AH36" s="800"/>
      <c r="AI36" s="827">
        <f>SUM(AG36,AD36,AA36,X36,U36,N36,K36,H36,E36)</f>
        <v>54565.880342600001</v>
      </c>
      <c r="AJ36" s="827">
        <f>+'T10'!M41+'T10'!N41</f>
        <v>54566.513144856901</v>
      </c>
      <c r="AK36" s="827">
        <f>+AI36-AJ36</f>
        <v>-0.63280225689959479</v>
      </c>
      <c r="AL36" s="772"/>
    </row>
    <row r="37" spans="1:38" ht="15" thickBot="1">
      <c r="A37" s="829"/>
      <c r="B37" s="829"/>
      <c r="C37" s="863"/>
      <c r="D37" s="863"/>
      <c r="E37" s="863"/>
      <c r="F37" s="864"/>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863"/>
      <c r="AE37" s="863"/>
      <c r="AF37" s="863"/>
      <c r="AG37" s="863"/>
      <c r="AH37" s="800"/>
      <c r="AI37" s="1324"/>
      <c r="AJ37" s="1324"/>
      <c r="AK37" s="1324"/>
      <c r="AL37" s="829"/>
    </row>
    <row r="38" spans="1:38" ht="15" thickBot="1">
      <c r="A38" s="829"/>
      <c r="B38" s="829"/>
      <c r="C38" s="863"/>
      <c r="D38" s="863"/>
      <c r="E38" s="863"/>
      <c r="F38" s="864"/>
      <c r="G38" s="863"/>
      <c r="H38" s="863"/>
      <c r="I38" s="863"/>
      <c r="J38" s="863"/>
      <c r="K38" s="863"/>
      <c r="L38" s="863"/>
      <c r="M38" s="863"/>
      <c r="N38" s="863"/>
      <c r="O38" s="863"/>
      <c r="P38" s="863"/>
      <c r="Q38" s="863"/>
      <c r="R38" s="863"/>
      <c r="S38" s="863"/>
      <c r="T38" s="863"/>
      <c r="U38" s="863"/>
      <c r="V38" s="863"/>
      <c r="W38" s="863"/>
      <c r="X38" s="863"/>
      <c r="Y38" s="1766" t="s">
        <v>180</v>
      </c>
      <c r="Z38" s="1767"/>
      <c r="AA38" s="1767"/>
      <c r="AB38" s="1767"/>
      <c r="AC38" s="1767"/>
      <c r="AD38" s="1767"/>
      <c r="AE38" s="1767"/>
      <c r="AF38" s="1767"/>
      <c r="AG38" s="1768"/>
      <c r="AH38" s="829"/>
      <c r="AI38" s="1320" t="s">
        <v>148</v>
      </c>
      <c r="AJ38" s="1320" t="s">
        <v>347</v>
      </c>
      <c r="AK38" s="1320" t="s">
        <v>136</v>
      </c>
      <c r="AL38" s="829"/>
    </row>
    <row r="39" spans="1:38" ht="15" thickBot="1">
      <c r="A39" s="881"/>
      <c r="B39" s="881"/>
      <c r="C39" s="1776" t="s">
        <v>219</v>
      </c>
      <c r="D39" s="1777"/>
      <c r="E39" s="1778"/>
      <c r="F39" s="1776" t="s">
        <v>220</v>
      </c>
      <c r="G39" s="1777"/>
      <c r="H39" s="1778"/>
      <c r="I39" s="1777" t="s">
        <v>221</v>
      </c>
      <c r="J39" s="1777"/>
      <c r="K39" s="1778"/>
      <c r="L39" s="1776" t="s">
        <v>257</v>
      </c>
      <c r="M39" s="1777"/>
      <c r="N39" s="1778"/>
      <c r="O39" s="1776" t="s">
        <v>222</v>
      </c>
      <c r="P39" s="1777"/>
      <c r="Q39" s="1777"/>
      <c r="R39" s="1777"/>
      <c r="S39" s="1777"/>
      <c r="T39" s="1777"/>
      <c r="U39" s="1778"/>
      <c r="V39" s="1776" t="s">
        <v>260</v>
      </c>
      <c r="W39" s="1777"/>
      <c r="X39" s="1778"/>
      <c r="Y39" s="1774" t="s">
        <v>223</v>
      </c>
      <c r="Z39" s="1774"/>
      <c r="AA39" s="1775"/>
      <c r="AB39" s="1774" t="s">
        <v>224</v>
      </c>
      <c r="AC39" s="1774"/>
      <c r="AD39" s="1774"/>
      <c r="AE39" s="1771" t="s">
        <v>261</v>
      </c>
      <c r="AF39" s="1772"/>
      <c r="AG39" s="1773"/>
      <c r="AH39" s="882"/>
      <c r="AI39" s="1323" t="s">
        <v>156</v>
      </c>
      <c r="AJ39" s="1323" t="s">
        <v>157</v>
      </c>
      <c r="AK39" s="1323" t="s">
        <v>158</v>
      </c>
      <c r="AL39" s="881"/>
    </row>
    <row r="40" spans="1:38">
      <c r="A40" s="883"/>
      <c r="B40" s="884"/>
      <c r="C40" s="1786" t="s">
        <v>231</v>
      </c>
      <c r="D40" s="1790" t="s">
        <v>256</v>
      </c>
      <c r="E40" s="1775" t="s">
        <v>78</v>
      </c>
      <c r="F40" s="776" t="s">
        <v>227</v>
      </c>
      <c r="G40" s="777" t="s">
        <v>228</v>
      </c>
      <c r="H40" s="778" t="s">
        <v>78</v>
      </c>
      <c r="I40" s="776" t="s">
        <v>229</v>
      </c>
      <c r="J40" s="777" t="s">
        <v>228</v>
      </c>
      <c r="K40" s="778" t="s">
        <v>78</v>
      </c>
      <c r="L40" s="776" t="s">
        <v>227</v>
      </c>
      <c r="M40" s="777" t="s">
        <v>228</v>
      </c>
      <c r="N40" s="778" t="s">
        <v>78</v>
      </c>
      <c r="O40" s="1783" t="s">
        <v>258</v>
      </c>
      <c r="P40" s="1784"/>
      <c r="Q40" s="1785"/>
      <c r="R40" s="1784" t="s">
        <v>259</v>
      </c>
      <c r="S40" s="1784"/>
      <c r="T40" s="1785"/>
      <c r="U40" s="852" t="s">
        <v>78</v>
      </c>
      <c r="V40" s="776" t="s">
        <v>227</v>
      </c>
      <c r="W40" s="777" t="s">
        <v>228</v>
      </c>
      <c r="X40" s="778" t="s">
        <v>78</v>
      </c>
      <c r="Y40" s="777" t="s">
        <v>227</v>
      </c>
      <c r="Z40" s="777" t="s">
        <v>228</v>
      </c>
      <c r="AA40" s="778" t="s">
        <v>78</v>
      </c>
      <c r="AB40" s="777" t="s">
        <v>227</v>
      </c>
      <c r="AC40" s="777" t="s">
        <v>228</v>
      </c>
      <c r="AD40" s="778" t="s">
        <v>78</v>
      </c>
      <c r="AE40" s="777" t="s">
        <v>227</v>
      </c>
      <c r="AF40" s="777" t="s">
        <v>228</v>
      </c>
      <c r="AG40" s="778" t="s">
        <v>78</v>
      </c>
      <c r="AH40" s="882"/>
      <c r="AI40" s="1769" t="s">
        <v>78</v>
      </c>
      <c r="AJ40" s="1769" t="s">
        <v>78</v>
      </c>
      <c r="AK40" s="1769" t="s">
        <v>78</v>
      </c>
      <c r="AL40" s="881"/>
    </row>
    <row r="41" spans="1:38" ht="20.25" customHeight="1">
      <c r="A41" s="1788"/>
      <c r="B41" s="1789"/>
      <c r="C41" s="1787"/>
      <c r="D41" s="1791"/>
      <c r="E41" s="1792"/>
      <c r="F41" s="783" t="s">
        <v>123</v>
      </c>
      <c r="G41" s="784" t="s">
        <v>114</v>
      </c>
      <c r="H41" s="785" t="s">
        <v>150</v>
      </c>
      <c r="I41" s="783" t="s">
        <v>118</v>
      </c>
      <c r="J41" s="784" t="s">
        <v>210</v>
      </c>
      <c r="K41" s="785" t="s">
        <v>150</v>
      </c>
      <c r="L41" s="783" t="s">
        <v>123</v>
      </c>
      <c r="M41" s="784" t="s">
        <v>114</v>
      </c>
      <c r="N41" s="785" t="s">
        <v>150</v>
      </c>
      <c r="O41" s="783" t="s">
        <v>232</v>
      </c>
      <c r="P41" s="784" t="s">
        <v>37</v>
      </c>
      <c r="Q41" s="787" t="s">
        <v>36</v>
      </c>
      <c r="R41" s="784" t="s">
        <v>232</v>
      </c>
      <c r="S41" s="784" t="s">
        <v>37</v>
      </c>
      <c r="T41" s="787" t="s">
        <v>36</v>
      </c>
      <c r="U41" s="785" t="s">
        <v>150</v>
      </c>
      <c r="V41" s="783" t="s">
        <v>123</v>
      </c>
      <c r="W41" s="784" t="s">
        <v>114</v>
      </c>
      <c r="X41" s="785" t="s">
        <v>150</v>
      </c>
      <c r="Y41" s="784" t="s">
        <v>123</v>
      </c>
      <c r="Z41" s="784" t="s">
        <v>114</v>
      </c>
      <c r="AA41" s="785" t="s">
        <v>150</v>
      </c>
      <c r="AB41" s="784" t="s">
        <v>123</v>
      </c>
      <c r="AC41" s="784" t="s">
        <v>114</v>
      </c>
      <c r="AD41" s="785" t="s">
        <v>150</v>
      </c>
      <c r="AE41" s="784" t="s">
        <v>123</v>
      </c>
      <c r="AF41" s="784" t="s">
        <v>114</v>
      </c>
      <c r="AG41" s="785" t="s">
        <v>150</v>
      </c>
      <c r="AH41" s="885"/>
      <c r="AI41" s="1770"/>
      <c r="AJ41" s="1770"/>
      <c r="AK41" s="1770"/>
      <c r="AL41" s="881"/>
    </row>
    <row r="42" spans="1:38" ht="16.5" customHeight="1" thickBot="1">
      <c r="A42" s="1346" t="s">
        <v>313</v>
      </c>
      <c r="B42" s="1347" t="s">
        <v>254</v>
      </c>
      <c r="C42" s="886"/>
      <c r="D42" s="887"/>
      <c r="E42" s="888">
        <f>SUM(E21,E13)</f>
        <v>13823498.52</v>
      </c>
      <c r="F42" s="886"/>
      <c r="G42" s="887"/>
      <c r="H42" s="888">
        <f>SUM(H36,H28,H21,H13)</f>
        <v>30704449.854186505</v>
      </c>
      <c r="I42" s="889"/>
      <c r="J42" s="887"/>
      <c r="K42" s="888">
        <f>SUM(K21,K28)</f>
        <v>633036.93353499239</v>
      </c>
      <c r="L42" s="886"/>
      <c r="M42" s="890"/>
      <c r="N42" s="891">
        <f>SUM(N36,N28,N21,N13)</f>
        <v>0</v>
      </c>
      <c r="O42" s="886"/>
      <c r="P42" s="892"/>
      <c r="Q42" s="893"/>
      <c r="R42" s="894"/>
      <c r="S42" s="894"/>
      <c r="T42" s="895"/>
      <c r="U42" s="891">
        <f>SUM(U28,U21,U13)</f>
        <v>1021551.0000000001</v>
      </c>
      <c r="V42" s="886"/>
      <c r="W42" s="889"/>
      <c r="X42" s="888">
        <f>SUM(X28,X21,X13)</f>
        <v>1107127.113327221</v>
      </c>
      <c r="Y42" s="896"/>
      <c r="Z42" s="897"/>
      <c r="AA42" s="891">
        <f>SUM(AA28,AA21,AA13)</f>
        <v>7684771.83462865</v>
      </c>
      <c r="AB42" s="898"/>
      <c r="AC42" s="898"/>
      <c r="AD42" s="891">
        <f>SUM(AD28,AD21,AD13)</f>
        <v>3888098.9520889493</v>
      </c>
      <c r="AE42" s="899"/>
      <c r="AF42" s="897"/>
      <c r="AG42" s="900">
        <f>SUM(AG28,AG21,AG13)</f>
        <v>0</v>
      </c>
      <c r="AH42" s="885"/>
      <c r="AI42" s="1325">
        <f>SUM(AG42,AD42,AA42,X42,U42,N42,K42,H42,E42)</f>
        <v>58862534.207766324</v>
      </c>
      <c r="AJ42" s="1325">
        <f>+'T10'!P41+'T10'!R41</f>
        <v>58862746.834177017</v>
      </c>
      <c r="AK42" s="1325">
        <f>+AI42-AJ42</f>
        <v>-212.62641069293022</v>
      </c>
      <c r="AL42" s="901"/>
    </row>
    <row r="43" spans="1:38">
      <c r="A43" s="829"/>
      <c r="B43" s="829"/>
      <c r="C43" s="829"/>
      <c r="D43" s="829"/>
      <c r="E43" s="829"/>
      <c r="F43" s="830"/>
      <c r="G43" s="829"/>
      <c r="H43" s="829"/>
      <c r="I43" s="829"/>
      <c r="J43" s="829"/>
      <c r="K43" s="829"/>
      <c r="L43" s="829"/>
      <c r="M43" s="829"/>
      <c r="N43" s="829"/>
      <c r="O43" s="829"/>
      <c r="P43" s="829"/>
      <c r="Q43" s="829"/>
      <c r="R43" s="829"/>
      <c r="S43" s="829"/>
      <c r="T43" s="829"/>
      <c r="U43" s="829"/>
      <c r="V43" s="829"/>
      <c r="W43" s="829"/>
      <c r="X43" s="829"/>
      <c r="Y43" s="902"/>
      <c r="Z43" s="829"/>
      <c r="AA43" s="829"/>
      <c r="AB43" s="829"/>
      <c r="AC43" s="829"/>
      <c r="AD43" s="829"/>
      <c r="AE43" s="829"/>
      <c r="AF43" s="829"/>
      <c r="AG43" s="829"/>
      <c r="AH43" s="1326" t="s">
        <v>308</v>
      </c>
      <c r="AI43" s="1328">
        <f>+AI42-SUM(AI36,AI28,AI21,AI13)</f>
        <v>0</v>
      </c>
      <c r="AJ43" s="1327">
        <f>AJ42-SUM(AJ36,AJ28,AJ21,AJ13)</f>
        <v>0</v>
      </c>
      <c r="AK43" s="1329">
        <f>AK42-SUM(AK36,AK28,AK21,AK13)</f>
        <v>7.2686816565692425E-9</v>
      </c>
      <c r="AL43" s="863"/>
    </row>
    <row r="44" spans="1:38">
      <c r="A44" s="463"/>
      <c r="B44" s="463"/>
      <c r="C44" s="829"/>
      <c r="D44" s="829"/>
      <c r="E44" s="903"/>
      <c r="F44" s="465"/>
      <c r="G44" s="465"/>
      <c r="H44" s="465"/>
      <c r="I44" s="465"/>
      <c r="J44" s="465"/>
      <c r="K44" s="465"/>
      <c r="L44" s="465"/>
      <c r="M44" s="465"/>
      <c r="N44" s="465"/>
      <c r="O44" s="464"/>
      <c r="P44" s="464"/>
      <c r="Q44" s="465"/>
      <c r="R44" s="465"/>
      <c r="S44" s="465"/>
      <c r="T44" s="465"/>
      <c r="U44" s="465"/>
      <c r="V44" s="465"/>
      <c r="W44" s="465"/>
      <c r="X44" s="465"/>
      <c r="Y44" s="904"/>
      <c r="Z44" s="904"/>
      <c r="AA44" s="904"/>
      <c r="AB44" s="904"/>
      <c r="AC44" s="904"/>
      <c r="AD44" s="904"/>
      <c r="AE44" s="829"/>
      <c r="AF44" s="829"/>
      <c r="AG44" s="829"/>
      <c r="AH44" s="829"/>
      <c r="AL44" s="863"/>
    </row>
    <row r="45" spans="1:38">
      <c r="A45" s="463"/>
      <c r="B45" s="463"/>
      <c r="C45" s="829"/>
      <c r="D45" s="829"/>
      <c r="E45" s="903"/>
      <c r="F45" s="465"/>
      <c r="G45" s="465"/>
      <c r="H45" s="465"/>
      <c r="I45" s="465"/>
      <c r="J45" s="465"/>
      <c r="K45" s="465"/>
      <c r="L45" s="465"/>
      <c r="M45" s="465"/>
      <c r="N45" s="465"/>
      <c r="O45" s="790"/>
      <c r="P45" s="905"/>
      <c r="Q45" s="906"/>
      <c r="R45" s="906"/>
      <c r="S45" s="906"/>
      <c r="T45" s="906"/>
      <c r="U45" s="782"/>
      <c r="V45" s="465"/>
      <c r="W45" s="465"/>
      <c r="X45" s="465"/>
      <c r="Y45" s="904"/>
      <c r="Z45" s="904"/>
      <c r="AA45" s="904"/>
      <c r="AB45" s="904"/>
      <c r="AC45" s="904"/>
      <c r="AD45" s="904"/>
      <c r="AE45" s="829"/>
      <c r="AF45" s="829"/>
      <c r="AG45" s="829"/>
      <c r="AH45" s="829"/>
      <c r="AL45" s="863"/>
    </row>
    <row r="46" spans="1:38">
      <c r="A46" s="463"/>
      <c r="B46" s="463"/>
      <c r="C46" s="829"/>
      <c r="D46" s="829"/>
      <c r="E46" s="903"/>
      <c r="F46" s="465"/>
      <c r="G46" s="465"/>
      <c r="H46" s="465"/>
      <c r="I46" s="465"/>
      <c r="J46" s="465"/>
      <c r="K46" s="465"/>
      <c r="L46" s="465"/>
      <c r="M46" s="465"/>
      <c r="N46" s="465"/>
      <c r="O46" s="905"/>
      <c r="P46" s="905"/>
      <c r="Q46" s="907"/>
      <c r="R46" s="907"/>
      <c r="S46" s="907"/>
      <c r="T46" s="907"/>
      <c r="U46" s="908"/>
      <c r="V46" s="465"/>
      <c r="W46" s="465"/>
      <c r="X46" s="465"/>
      <c r="Y46" s="904"/>
      <c r="Z46" s="904"/>
      <c r="AA46" s="904"/>
      <c r="AB46" s="904"/>
      <c r="AC46" s="904"/>
      <c r="AD46" s="904"/>
      <c r="AE46" s="829"/>
      <c r="AF46" s="829"/>
      <c r="AG46" s="829"/>
      <c r="AH46" s="829"/>
      <c r="AL46" s="863"/>
    </row>
    <row r="47" spans="1:38">
      <c r="A47" s="463"/>
      <c r="B47" s="32"/>
      <c r="C47" s="32"/>
      <c r="D47" s="32"/>
      <c r="E47" s="32"/>
      <c r="F47" s="32"/>
      <c r="G47" s="32"/>
      <c r="H47" s="32"/>
      <c r="I47" s="32"/>
      <c r="J47" s="32"/>
      <c r="K47" s="32"/>
      <c r="L47" s="32"/>
      <c r="M47" s="32"/>
      <c r="N47" s="32"/>
      <c r="O47" s="909"/>
      <c r="P47" s="909"/>
      <c r="Q47" s="909"/>
      <c r="R47" s="909"/>
      <c r="S47" s="909"/>
      <c r="T47" s="909"/>
      <c r="U47" s="910"/>
      <c r="V47" s="32"/>
      <c r="W47" s="32"/>
      <c r="X47" s="19"/>
      <c r="Y47" s="19"/>
      <c r="Z47" s="19"/>
      <c r="AA47" s="19"/>
      <c r="AB47" s="19"/>
      <c r="AC47" s="19"/>
      <c r="AD47" s="19"/>
      <c r="AE47" s="19"/>
      <c r="AF47" s="19"/>
      <c r="AG47" s="829"/>
      <c r="AH47" s="829"/>
      <c r="AL47" s="19"/>
    </row>
    <row r="48" spans="1:38">
      <c r="A48" s="911"/>
      <c r="B48" s="911"/>
      <c r="C48" s="911"/>
      <c r="D48" s="911"/>
      <c r="E48" s="911"/>
      <c r="F48" s="911"/>
      <c r="G48" s="911"/>
      <c r="H48" s="911"/>
      <c r="I48" s="911"/>
      <c r="J48" s="911"/>
      <c r="K48" s="911"/>
      <c r="L48" s="911"/>
      <c r="M48" s="911"/>
      <c r="N48" s="911"/>
      <c r="O48" s="911"/>
      <c r="P48" s="911"/>
      <c r="Q48" s="911"/>
      <c r="R48" s="911"/>
      <c r="S48" s="911"/>
      <c r="T48" s="911"/>
      <c r="U48" s="911"/>
      <c r="V48" s="911"/>
      <c r="W48" s="911"/>
      <c r="AG48" s="829"/>
      <c r="AH48" s="829"/>
      <c r="AL48" s="863"/>
    </row>
    <row r="49" spans="1:38">
      <c r="A49" s="911"/>
      <c r="B49" s="911"/>
      <c r="C49" s="911"/>
      <c r="D49" s="911"/>
      <c r="E49" s="911"/>
      <c r="F49" s="911"/>
      <c r="G49" s="911"/>
      <c r="H49" s="911"/>
      <c r="I49" s="911"/>
      <c r="J49" s="911"/>
      <c r="K49" s="911"/>
      <c r="L49" s="911"/>
      <c r="M49" s="911"/>
      <c r="N49" s="911"/>
      <c r="O49" s="911"/>
      <c r="P49" s="911"/>
      <c r="Q49" s="911"/>
      <c r="R49" s="911"/>
      <c r="S49" s="911"/>
      <c r="T49" s="911"/>
      <c r="U49" s="911"/>
      <c r="V49" s="911"/>
      <c r="W49" s="911"/>
      <c r="AG49" s="829"/>
      <c r="AH49" s="829"/>
      <c r="AL49" s="19"/>
    </row>
    <row r="50" spans="1:38">
      <c r="A50" s="911"/>
      <c r="B50" s="911"/>
      <c r="C50" s="911"/>
      <c r="D50" s="911"/>
      <c r="E50" s="911"/>
      <c r="F50" s="911"/>
      <c r="G50" s="911"/>
      <c r="H50" s="911"/>
      <c r="I50" s="911"/>
      <c r="J50" s="911"/>
      <c r="K50" s="911"/>
      <c r="L50" s="911"/>
      <c r="M50" s="911"/>
      <c r="N50" s="911"/>
      <c r="O50" s="911"/>
      <c r="P50" s="911"/>
      <c r="Q50" s="911"/>
      <c r="R50" s="911"/>
      <c r="S50" s="911"/>
      <c r="T50" s="911"/>
      <c r="U50" s="911"/>
      <c r="V50" s="911"/>
      <c r="W50" s="911"/>
      <c r="AG50" s="829"/>
      <c r="AH50" s="829"/>
      <c r="AL50" s="863"/>
    </row>
    <row r="51" spans="1:38">
      <c r="A51" s="911"/>
      <c r="B51" s="911"/>
      <c r="C51" s="911"/>
      <c r="D51" s="911"/>
      <c r="E51" s="911"/>
      <c r="F51" s="911"/>
      <c r="G51" s="911"/>
      <c r="H51" s="911"/>
      <c r="I51" s="911"/>
      <c r="J51" s="911"/>
      <c r="K51" s="911"/>
      <c r="L51" s="911"/>
      <c r="M51" s="911"/>
      <c r="N51" s="911"/>
      <c r="O51" s="911"/>
      <c r="P51" s="911"/>
      <c r="Q51" s="911"/>
      <c r="R51" s="911"/>
      <c r="S51" s="911"/>
      <c r="T51" s="911"/>
      <c r="U51" s="911"/>
      <c r="V51" s="911"/>
      <c r="W51" s="911"/>
      <c r="AG51" s="829"/>
      <c r="AH51" s="829"/>
      <c r="AL51" s="19"/>
    </row>
    <row r="52" spans="1:38">
      <c r="A52" s="911"/>
      <c r="B52" s="911"/>
      <c r="C52" s="911"/>
      <c r="D52" s="911"/>
      <c r="E52" s="911"/>
      <c r="F52" s="911"/>
      <c r="G52" s="911"/>
      <c r="H52" s="911"/>
      <c r="I52" s="911"/>
      <c r="J52" s="911"/>
      <c r="K52" s="911"/>
      <c r="L52" s="911"/>
      <c r="M52" s="911"/>
      <c r="N52" s="911"/>
      <c r="O52" s="911"/>
      <c r="P52" s="911"/>
      <c r="Q52" s="911"/>
      <c r="R52" s="911"/>
      <c r="S52" s="911"/>
      <c r="T52" s="911"/>
      <c r="U52" s="911"/>
      <c r="V52" s="911"/>
      <c r="W52" s="911"/>
      <c r="AG52" s="829"/>
      <c r="AH52" s="829"/>
      <c r="AL52" s="863"/>
    </row>
    <row r="53" spans="1:38">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F53" s="19"/>
      <c r="AG53" s="829"/>
      <c r="AH53" s="829"/>
      <c r="AL53" s="19"/>
    </row>
    <row r="54" spans="1:38">
      <c r="AG54" s="829"/>
      <c r="AH54" s="829"/>
      <c r="AL54" s="863"/>
    </row>
    <row r="55" spans="1:38">
      <c r="AG55" s="829"/>
      <c r="AH55" s="829"/>
      <c r="AL55" s="19"/>
    </row>
    <row r="56" spans="1:38">
      <c r="AG56" s="829"/>
      <c r="AH56" s="829"/>
      <c r="AL56" s="863"/>
    </row>
    <row r="57" spans="1:38">
      <c r="AG57" s="829"/>
      <c r="AH57" s="829"/>
      <c r="AL57" s="19"/>
    </row>
  </sheetData>
  <mergeCells count="93">
    <mergeCell ref="C39:E39"/>
    <mergeCell ref="C25:C26"/>
    <mergeCell ref="A1:P1"/>
    <mergeCell ref="AE31:AG31"/>
    <mergeCell ref="O31:U31"/>
    <mergeCell ref="C31:E31"/>
    <mergeCell ref="F31:H31"/>
    <mergeCell ref="I31:K31"/>
    <mergeCell ref="AB24:AD24"/>
    <mergeCell ref="B3:F3"/>
    <mergeCell ref="V31:X31"/>
    <mergeCell ref="V16:X16"/>
    <mergeCell ref="C8:C9"/>
    <mergeCell ref="E8:E9"/>
    <mergeCell ref="I7:K7"/>
    <mergeCell ref="C7:E7"/>
    <mergeCell ref="A41:B41"/>
    <mergeCell ref="L39:N39"/>
    <mergeCell ref="C32:C33"/>
    <mergeCell ref="F24:H24"/>
    <mergeCell ref="F16:H16"/>
    <mergeCell ref="I24:K24"/>
    <mergeCell ref="L31:N31"/>
    <mergeCell ref="L24:N24"/>
    <mergeCell ref="I39:K39"/>
    <mergeCell ref="F39:H39"/>
    <mergeCell ref="D32:D33"/>
    <mergeCell ref="E32:E33"/>
    <mergeCell ref="C40:C41"/>
    <mergeCell ref="D40:D41"/>
    <mergeCell ref="E40:E41"/>
    <mergeCell ref="D25:D26"/>
    <mergeCell ref="L7:N7"/>
    <mergeCell ref="V7:X7"/>
    <mergeCell ref="C24:E24"/>
    <mergeCell ref="C16:E16"/>
    <mergeCell ref="AJ25:AJ26"/>
    <mergeCell ref="L16:N16"/>
    <mergeCell ref="R17:T17"/>
    <mergeCell ref="C17:C18"/>
    <mergeCell ref="I16:K16"/>
    <mergeCell ref="Y16:AA16"/>
    <mergeCell ref="E25:E26"/>
    <mergeCell ref="F7:H7"/>
    <mergeCell ref="D8:D9"/>
    <mergeCell ref="AK8:AK9"/>
    <mergeCell ref="O7:U7"/>
    <mergeCell ref="Y7:AA7"/>
    <mergeCell ref="AB7:AD7"/>
    <mergeCell ref="AB16:AD16"/>
    <mergeCell ref="AE7:AG7"/>
    <mergeCell ref="AJ8:AJ9"/>
    <mergeCell ref="Y15:AG15"/>
    <mergeCell ref="O16:U16"/>
    <mergeCell ref="O8:Q8"/>
    <mergeCell ref="R8:T8"/>
    <mergeCell ref="Y30:AG30"/>
    <mergeCell ref="O25:Q25"/>
    <mergeCell ref="R25:T25"/>
    <mergeCell ref="Y24:AA24"/>
    <mergeCell ref="AE24:AG24"/>
    <mergeCell ref="AJ40:AJ41"/>
    <mergeCell ref="V24:X24"/>
    <mergeCell ref="D17:D18"/>
    <mergeCell ref="E17:E18"/>
    <mergeCell ref="O40:Q40"/>
    <mergeCell ref="R40:T40"/>
    <mergeCell ref="O24:U24"/>
    <mergeCell ref="V39:X39"/>
    <mergeCell ref="AJ17:AJ18"/>
    <mergeCell ref="O17:Q17"/>
    <mergeCell ref="AJ32:AJ33"/>
    <mergeCell ref="Y39:AA39"/>
    <mergeCell ref="O39:U39"/>
    <mergeCell ref="O32:Q32"/>
    <mergeCell ref="R32:T32"/>
    <mergeCell ref="Y23:AG23"/>
    <mergeCell ref="Y6:AG6"/>
    <mergeCell ref="AK17:AK18"/>
    <mergeCell ref="AK25:AK26"/>
    <mergeCell ref="AK32:AK33"/>
    <mergeCell ref="AK40:AK41"/>
    <mergeCell ref="AI8:AI9"/>
    <mergeCell ref="AI17:AI18"/>
    <mergeCell ref="AI25:AI26"/>
    <mergeCell ref="AI32:AI33"/>
    <mergeCell ref="AI40:AI41"/>
    <mergeCell ref="Y38:AG38"/>
    <mergeCell ref="AE39:AG39"/>
    <mergeCell ref="AB39:AD39"/>
    <mergeCell ref="AE16:AG16"/>
    <mergeCell ref="Y31:AA31"/>
    <mergeCell ref="AB31:AD31"/>
  </mergeCells>
  <pageMargins left="0.70866141732283472" right="0.70866141732283472" top="0.74803149606299213" bottom="0.74803149606299213" header="0.31496062992125984" footer="0.31496062992125984"/>
  <pageSetup paperSize="8" scale="40" fitToHeight="2" orientation="landscape" r:id="rId1"/>
  <colBreaks count="1" manualBreakCount="1">
    <brk id="21" max="4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M21"/>
  <sheetViews>
    <sheetView view="pageBreakPreview" zoomScale="60" zoomScaleNormal="100" workbookViewId="0">
      <selection activeCell="E20" sqref="E20"/>
    </sheetView>
  </sheetViews>
  <sheetFormatPr defaultColWidth="9.109375" defaultRowHeight="14.4"/>
  <cols>
    <col min="1" max="1" width="9.109375" style="1"/>
    <col min="2" max="2" width="38.109375" style="1" customWidth="1"/>
    <col min="3" max="3" width="9.6640625" style="1" customWidth="1"/>
    <col min="4" max="4" width="11.5546875" style="1" customWidth="1"/>
    <col min="5" max="5" width="19.6640625" style="1" customWidth="1"/>
    <col min="6" max="16384" width="9.109375" style="1"/>
  </cols>
  <sheetData>
    <row r="1" spans="1:13" ht="18.600000000000001" thickBot="1">
      <c r="A1" s="1579" t="str">
        <f>"TABEL 1: Overzicht door de VREG toegelaten inkomen voor gereguleerde activiteiten 'elektriciteit' en 'gas' voor boekjaar "&amp;TITELBLAD!C5</f>
        <v>TABEL 1: Overzicht door de VREG toegelaten inkomen voor gereguleerde activiteiten 'elektriciteit' en 'gas' voor boekjaar 2017</v>
      </c>
      <c r="B1" s="1580"/>
      <c r="C1" s="1580"/>
      <c r="D1" s="1580"/>
      <c r="E1" s="1580"/>
      <c r="F1" s="1580"/>
      <c r="G1" s="1580"/>
      <c r="H1" s="1580"/>
      <c r="I1" s="1580"/>
      <c r="J1" s="1580"/>
      <c r="K1" s="1580"/>
      <c r="L1" s="1580"/>
      <c r="M1" s="1581"/>
    </row>
    <row r="4" spans="1:13" ht="15" thickBot="1">
      <c r="A4" s="9" t="s">
        <v>14</v>
      </c>
      <c r="H4" s="3"/>
    </row>
    <row r="5" spans="1:13" ht="15" thickBot="1">
      <c r="A5" s="1582" t="str">
        <f>+TITELBLAD!C7</f>
        <v>Inter-energa</v>
      </c>
      <c r="B5" s="1583"/>
      <c r="C5" s="1583"/>
      <c r="D5" s="1584"/>
    </row>
    <row r="6" spans="1:13">
      <c r="A6" s="4"/>
      <c r="B6" s="4"/>
      <c r="C6" s="4"/>
      <c r="D6" s="4"/>
    </row>
    <row r="7" spans="1:13">
      <c r="A7" s="4"/>
      <c r="B7" s="4"/>
      <c r="C7" s="4"/>
      <c r="D7" s="4"/>
    </row>
    <row r="8" spans="1:13">
      <c r="A8" s="2" t="s">
        <v>335</v>
      </c>
    </row>
    <row r="10" spans="1:13">
      <c r="A10" s="1585" t="s">
        <v>341</v>
      </c>
      <c r="B10" s="1586"/>
      <c r="C10" s="1587"/>
      <c r="D10" s="1009"/>
      <c r="E10" s="1010">
        <v>112635891.82324496</v>
      </c>
    </row>
    <row r="11" spans="1:13" ht="15" customHeight="1">
      <c r="A11" s="1585" t="s">
        <v>342</v>
      </c>
      <c r="B11" s="1586"/>
      <c r="C11" s="1587"/>
      <c r="D11" s="5"/>
      <c r="E11" s="1010">
        <v>195399220.79219285</v>
      </c>
    </row>
    <row r="12" spans="1:13">
      <c r="A12" s="1588"/>
      <c r="B12" s="1589"/>
      <c r="C12" s="1590"/>
      <c r="D12" s="5"/>
      <c r="E12" s="6"/>
    </row>
    <row r="13" spans="1:13" ht="28.5" customHeight="1">
      <c r="A13" s="1591" t="s">
        <v>343</v>
      </c>
      <c r="B13" s="1592"/>
      <c r="C13" s="1593"/>
      <c r="D13" s="7"/>
      <c r="E13" s="8">
        <f>SUM(E10:E11)</f>
        <v>308035112.61543781</v>
      </c>
    </row>
    <row r="16" spans="1:13">
      <c r="A16" s="2" t="s">
        <v>336</v>
      </c>
    </row>
    <row r="18" spans="1:5">
      <c r="A18" s="1585" t="s">
        <v>341</v>
      </c>
      <c r="B18" s="1586"/>
      <c r="C18" s="1587"/>
      <c r="D18" s="5"/>
      <c r="E18" s="1010">
        <v>53559414.560289703</v>
      </c>
    </row>
    <row r="19" spans="1:5" ht="15" customHeight="1">
      <c r="A19" s="1585" t="s">
        <v>342</v>
      </c>
      <c r="B19" s="1586"/>
      <c r="C19" s="1587"/>
      <c r="D19" s="5"/>
      <c r="E19" s="1010">
        <v>5303332.2773230299</v>
      </c>
    </row>
    <row r="20" spans="1:5">
      <c r="A20" s="1588"/>
      <c r="B20" s="1589"/>
      <c r="C20" s="1590"/>
      <c r="D20" s="5"/>
      <c r="E20" s="6"/>
    </row>
    <row r="21" spans="1:5">
      <c r="A21" s="1591" t="s">
        <v>344</v>
      </c>
      <c r="B21" s="1592"/>
      <c r="C21" s="1593"/>
      <c r="D21" s="7"/>
      <c r="E21" s="8">
        <f>SUM(E18:E19)</f>
        <v>58862746.837612733</v>
      </c>
    </row>
  </sheetData>
  <mergeCells count="10">
    <mergeCell ref="A1:M1"/>
    <mergeCell ref="A5:D5"/>
    <mergeCell ref="A10:C10"/>
    <mergeCell ref="A20:C20"/>
    <mergeCell ref="A21:C21"/>
    <mergeCell ref="A11:C11"/>
    <mergeCell ref="A12:C12"/>
    <mergeCell ref="A13:C13"/>
    <mergeCell ref="A18:C18"/>
    <mergeCell ref="A19:C19"/>
  </mergeCell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3">
    <pageSetUpPr fitToPage="1"/>
  </sheetPr>
  <dimension ref="A1:AG91"/>
  <sheetViews>
    <sheetView showGridLines="0" view="pageBreakPreview" zoomScale="60" zoomScaleNormal="90" workbookViewId="0">
      <selection sqref="A1:J1"/>
    </sheetView>
  </sheetViews>
  <sheetFormatPr defaultColWidth="8.88671875" defaultRowHeight="13.2"/>
  <cols>
    <col min="1" max="1" width="2.88671875" style="53" customWidth="1"/>
    <col min="2" max="2" width="7.109375" style="53" customWidth="1"/>
    <col min="3" max="3" width="32.88671875" style="53" customWidth="1"/>
    <col min="4" max="4" width="67.6640625" style="54" customWidth="1"/>
    <col min="5" max="5" width="20.44140625" style="53" customWidth="1"/>
    <col min="6" max="6" width="20.6640625" style="53" customWidth="1"/>
    <col min="7" max="7" width="11.109375" style="53" customWidth="1"/>
    <col min="8" max="8" width="20.6640625" style="53" customWidth="1"/>
    <col min="9" max="9" width="13.5546875" style="53" customWidth="1"/>
    <col min="10" max="10" width="19.88671875" style="53" bestFit="1" customWidth="1"/>
    <col min="11" max="14" width="10.6640625" style="53" customWidth="1"/>
    <col min="15" max="15" width="10.109375" style="53" customWidth="1"/>
    <col min="16" max="16384" width="8.88671875" style="53"/>
  </cols>
  <sheetData>
    <row r="1" spans="1:33" s="43" customFormat="1" ht="18" thickBot="1">
      <c r="A1" s="1594" t="str">
        <f>"TABEL 2: Opdeling gebudgetteerd inkomen voor gereguleerde activiteit 'elektriciteit' volgens tariefcomponenten"</f>
        <v>TABEL 2: Opdeling gebudgetteerd inkomen voor gereguleerde activiteit 'elektriciteit' volgens tariefcomponenten</v>
      </c>
      <c r="B1" s="1595"/>
      <c r="C1" s="1595"/>
      <c r="D1" s="1595"/>
      <c r="E1" s="1595"/>
      <c r="F1" s="1595"/>
      <c r="G1" s="1595"/>
      <c r="H1" s="1595"/>
      <c r="I1" s="1595"/>
      <c r="J1" s="1596"/>
    </row>
    <row r="2" spans="1:33" s="45" customFormat="1" ht="10.8" thickBot="1">
      <c r="A2" s="44"/>
      <c r="B2" s="44"/>
      <c r="C2" s="44"/>
      <c r="D2" s="44"/>
    </row>
    <row r="3" spans="1:33" s="51" customFormat="1" ht="15" thickBot="1">
      <c r="A3" s="46" t="s">
        <v>14</v>
      </c>
      <c r="B3" s="47"/>
      <c r="C3" s="47"/>
      <c r="D3" s="1601" t="str">
        <f>+TITELBLAD!$C$7</f>
        <v>Inter-energa</v>
      </c>
      <c r="E3" s="1602"/>
      <c r="F3" s="1603"/>
      <c r="G3" s="48"/>
      <c r="H3" s="49"/>
      <c r="I3" s="49"/>
      <c r="J3" s="49"/>
      <c r="K3" s="49"/>
      <c r="L3" s="49"/>
      <c r="M3" s="49"/>
      <c r="N3" s="49"/>
      <c r="O3" s="49"/>
      <c r="P3" s="49"/>
      <c r="Q3" s="49"/>
      <c r="R3" s="49"/>
      <c r="S3" s="49"/>
      <c r="T3" s="49"/>
      <c r="U3" s="49"/>
      <c r="V3" s="49"/>
      <c r="W3" s="49"/>
      <c r="X3" s="49"/>
      <c r="Y3" s="49"/>
      <c r="Z3" s="49"/>
      <c r="AA3" s="49"/>
      <c r="AB3" s="49"/>
      <c r="AC3" s="49"/>
      <c r="AD3" s="49"/>
      <c r="AE3" s="49"/>
      <c r="AF3" s="49"/>
      <c r="AG3" s="50"/>
    </row>
    <row r="4" spans="1:33">
      <c r="A4" s="52"/>
      <c r="B4" s="13"/>
    </row>
    <row r="5" spans="1:33" ht="13.8" thickBot="1">
      <c r="A5" s="55"/>
    </row>
    <row r="6" spans="1:33" s="65" customFormat="1" ht="39" customHeight="1" thickBot="1">
      <c r="A6" s="56"/>
      <c r="B6" s="57"/>
      <c r="C6" s="57"/>
      <c r="D6" s="58"/>
      <c r="E6" s="59"/>
      <c r="F6" s="60" t="s">
        <v>50</v>
      </c>
      <c r="G6" s="61" t="s">
        <v>277</v>
      </c>
      <c r="H6" s="62" t="s">
        <v>316</v>
      </c>
      <c r="I6" s="61" t="s">
        <v>277</v>
      </c>
      <c r="J6" s="63" t="s">
        <v>62</v>
      </c>
      <c r="K6" s="64"/>
      <c r="L6" s="64"/>
      <c r="M6" s="64"/>
      <c r="N6" s="64"/>
    </row>
    <row r="7" spans="1:33" s="74" customFormat="1" ht="12.75" customHeight="1" thickBot="1">
      <c r="A7" s="66"/>
      <c r="B7" s="67"/>
      <c r="C7" s="67"/>
      <c r="D7" s="68"/>
      <c r="E7" s="69"/>
      <c r="F7" s="70"/>
      <c r="G7" s="71"/>
      <c r="H7" s="72"/>
      <c r="I7" s="71"/>
      <c r="J7" s="73"/>
    </row>
    <row r="8" spans="1:33" s="84" customFormat="1" ht="16.5" customHeight="1">
      <c r="A8" s="75" t="s">
        <v>15</v>
      </c>
      <c r="B8" s="76" t="s">
        <v>16</v>
      </c>
      <c r="C8" s="76"/>
      <c r="D8" s="77"/>
      <c r="E8" s="78"/>
      <c r="F8" s="79">
        <f>SUM(F9,F36,F39)</f>
        <v>15243134.540601909</v>
      </c>
      <c r="G8" s="80">
        <f>F8/J8</f>
        <v>0.14167917151879861</v>
      </c>
      <c r="H8" s="81">
        <f>SUM(H9,H36,H39)</f>
        <v>92345965.375749484</v>
      </c>
      <c r="I8" s="82">
        <f>H8/J8</f>
        <v>0.85832082848120139</v>
      </c>
      <c r="J8" s="83">
        <f>SUM(F8,H8)</f>
        <v>107589099.91635139</v>
      </c>
    </row>
    <row r="9" spans="1:33" s="84" customFormat="1" ht="16.5" customHeight="1">
      <c r="A9" s="75"/>
      <c r="B9" s="76" t="s">
        <v>17</v>
      </c>
      <c r="C9" s="76" t="s">
        <v>18</v>
      </c>
      <c r="D9" s="77"/>
      <c r="E9" s="78"/>
      <c r="F9" s="180">
        <v>17214942.264730074</v>
      </c>
      <c r="G9" s="85">
        <f>F9/J9</f>
        <v>0.16732626982124504</v>
      </c>
      <c r="H9" s="181">
        <v>85667541.657972723</v>
      </c>
      <c r="I9" s="85">
        <f>H9/J9</f>
        <v>0.83267373017875501</v>
      </c>
      <c r="J9" s="86">
        <f>SUM(F9,H9)</f>
        <v>102882483.92270279</v>
      </c>
    </row>
    <row r="10" spans="1:33" s="84" customFormat="1" ht="38.25" customHeight="1">
      <c r="A10" s="87"/>
      <c r="B10" s="1003" t="s">
        <v>19</v>
      </c>
      <c r="C10" s="1606" t="s">
        <v>297</v>
      </c>
      <c r="D10" s="1607"/>
      <c r="E10" s="78"/>
      <c r="F10" s="89"/>
      <c r="G10" s="85"/>
      <c r="H10" s="90"/>
      <c r="I10" s="85"/>
      <c r="J10" s="91"/>
    </row>
    <row r="11" spans="1:33" s="84" customFormat="1" ht="16.5" customHeight="1">
      <c r="A11" s="87"/>
      <c r="B11" s="92"/>
      <c r="C11" s="93" t="s">
        <v>20</v>
      </c>
      <c r="D11" s="94"/>
      <c r="E11" s="78"/>
      <c r="F11" s="89"/>
      <c r="G11" s="85"/>
      <c r="H11" s="90"/>
      <c r="I11" s="85"/>
      <c r="J11" s="91"/>
    </row>
    <row r="12" spans="1:33" s="84" customFormat="1" ht="16.5" customHeight="1">
      <c r="A12" s="87"/>
      <c r="B12" s="92"/>
      <c r="C12" s="95" t="s">
        <v>21</v>
      </c>
      <c r="D12" s="94"/>
      <c r="E12" s="78"/>
      <c r="F12" s="89"/>
      <c r="G12" s="85"/>
      <c r="H12" s="90"/>
      <c r="I12" s="85"/>
      <c r="J12" s="91"/>
    </row>
    <row r="13" spans="1:33" s="84" customFormat="1" ht="16.5" customHeight="1">
      <c r="A13" s="87"/>
      <c r="B13" s="92"/>
      <c r="C13" s="95" t="s">
        <v>22</v>
      </c>
      <c r="D13" s="94"/>
      <c r="E13" s="78"/>
      <c r="F13" s="89"/>
      <c r="G13" s="85"/>
      <c r="H13" s="90"/>
      <c r="I13" s="85"/>
      <c r="J13" s="91"/>
    </row>
    <row r="14" spans="1:33" s="84" customFormat="1" ht="16.5" customHeight="1">
      <c r="A14" s="87"/>
      <c r="B14" s="92"/>
      <c r="C14" s="96" t="s">
        <v>23</v>
      </c>
      <c r="D14" s="97"/>
      <c r="E14" s="78"/>
      <c r="F14" s="89"/>
      <c r="G14" s="85"/>
      <c r="H14" s="90"/>
      <c r="I14" s="85"/>
      <c r="J14" s="91"/>
    </row>
    <row r="15" spans="1:33" s="84" customFormat="1" ht="16.5" customHeight="1">
      <c r="A15" s="87"/>
      <c r="B15" s="92"/>
      <c r="C15" s="96" t="s">
        <v>24</v>
      </c>
      <c r="D15" s="98"/>
      <c r="E15" s="99"/>
      <c r="F15" s="100"/>
      <c r="G15" s="101"/>
      <c r="H15" s="102"/>
      <c r="I15" s="101"/>
      <c r="J15" s="91"/>
    </row>
    <row r="16" spans="1:33" s="84" customFormat="1" ht="16.5" customHeight="1">
      <c r="A16" s="87"/>
      <c r="B16" s="92"/>
      <c r="C16" s="103"/>
      <c r="D16" s="98"/>
      <c r="E16" s="99"/>
      <c r="F16" s="100"/>
      <c r="G16" s="101"/>
      <c r="H16" s="102"/>
      <c r="I16" s="101"/>
      <c r="J16" s="91"/>
    </row>
    <row r="17" spans="1:10" s="84" customFormat="1">
      <c r="A17" s="87"/>
      <c r="B17" s="92"/>
      <c r="C17" s="103"/>
      <c r="D17" s="104"/>
      <c r="E17" s="99"/>
      <c r="F17" s="100"/>
      <c r="G17" s="101"/>
      <c r="H17" s="102"/>
      <c r="I17" s="101"/>
      <c r="J17" s="91"/>
    </row>
    <row r="18" spans="1:10" s="109" customFormat="1" ht="16.5" customHeight="1">
      <c r="A18" s="105"/>
      <c r="B18" s="106"/>
      <c r="C18" s="107" t="s">
        <v>25</v>
      </c>
      <c r="D18" s="108"/>
      <c r="E18" s="99"/>
      <c r="F18" s="100"/>
      <c r="G18" s="101"/>
      <c r="H18" s="102"/>
      <c r="I18" s="101"/>
      <c r="J18" s="91"/>
    </row>
    <row r="19" spans="1:10" s="84" customFormat="1" ht="16.5" customHeight="1">
      <c r="A19" s="87"/>
      <c r="B19" s="92"/>
      <c r="C19" s="110" t="s">
        <v>26</v>
      </c>
      <c r="D19" s="108"/>
      <c r="E19" s="99"/>
      <c r="F19" s="111"/>
      <c r="G19" s="85"/>
      <c r="H19" s="112"/>
      <c r="I19" s="85"/>
      <c r="J19" s="91"/>
    </row>
    <row r="20" spans="1:10" s="84" customFormat="1" ht="16.5" customHeight="1">
      <c r="A20" s="87"/>
      <c r="B20" s="92"/>
      <c r="C20" s="110"/>
      <c r="D20" s="108"/>
      <c r="E20" s="99"/>
      <c r="F20" s="111"/>
      <c r="G20" s="85"/>
      <c r="H20" s="112"/>
      <c r="I20" s="85"/>
      <c r="J20" s="91"/>
    </row>
    <row r="21" spans="1:10" s="84" customFormat="1" ht="16.5" customHeight="1">
      <c r="A21" s="87"/>
      <c r="B21" s="92"/>
      <c r="C21" s="110"/>
      <c r="D21" s="98" t="s">
        <v>27</v>
      </c>
      <c r="E21" s="99"/>
      <c r="F21" s="111"/>
      <c r="G21" s="85"/>
      <c r="H21" s="102"/>
      <c r="I21" s="101"/>
      <c r="J21" s="91"/>
    </row>
    <row r="22" spans="1:10" s="84" customFormat="1" ht="16.5" customHeight="1">
      <c r="A22" s="87"/>
      <c r="B22" s="92"/>
      <c r="C22" s="110"/>
      <c r="D22" s="98" t="s">
        <v>28</v>
      </c>
      <c r="E22" s="99"/>
      <c r="F22" s="111"/>
      <c r="G22" s="85"/>
      <c r="H22" s="102"/>
      <c r="I22" s="101"/>
      <c r="J22" s="91"/>
    </row>
    <row r="23" spans="1:10" s="84" customFormat="1" ht="16.5" customHeight="1">
      <c r="A23" s="87"/>
      <c r="B23" s="92"/>
      <c r="C23" s="1004"/>
      <c r="D23" s="113"/>
      <c r="E23" s="114"/>
      <c r="F23" s="111"/>
      <c r="G23" s="85"/>
      <c r="H23" s="90"/>
      <c r="I23" s="85"/>
      <c r="J23" s="91"/>
    </row>
    <row r="24" spans="1:10" s="84" customFormat="1" ht="16.5" customHeight="1">
      <c r="A24" s="87"/>
      <c r="B24" s="88" t="s">
        <v>29</v>
      </c>
      <c r="C24" s="352" t="s">
        <v>298</v>
      </c>
      <c r="D24" s="94"/>
      <c r="E24" s="114"/>
      <c r="F24" s="111"/>
      <c r="G24" s="85"/>
      <c r="H24" s="90"/>
      <c r="I24" s="85"/>
      <c r="J24" s="91"/>
    </row>
    <row r="25" spans="1:10" s="84" customFormat="1" ht="16.5" customHeight="1">
      <c r="A25" s="87"/>
      <c r="B25" s="76"/>
      <c r="C25" s="115" t="s">
        <v>30</v>
      </c>
      <c r="D25" s="94"/>
      <c r="E25" s="114"/>
      <c r="F25" s="89"/>
      <c r="G25" s="85"/>
      <c r="H25" s="90"/>
      <c r="I25" s="85"/>
      <c r="J25" s="91"/>
    </row>
    <row r="26" spans="1:10" s="84" customFormat="1" ht="16.5" customHeight="1">
      <c r="A26" s="87"/>
      <c r="B26" s="92"/>
      <c r="C26" s="103" t="s">
        <v>24</v>
      </c>
      <c r="D26" s="98"/>
      <c r="E26" s="99"/>
      <c r="F26" s="89"/>
      <c r="G26" s="85"/>
      <c r="H26" s="90"/>
      <c r="I26" s="85"/>
      <c r="J26" s="91"/>
    </row>
    <row r="27" spans="1:10" s="84" customFormat="1" ht="16.5" customHeight="1">
      <c r="A27" s="87"/>
      <c r="B27" s="92"/>
      <c r="C27" s="103"/>
      <c r="D27" s="98"/>
      <c r="E27" s="99"/>
      <c r="F27" s="89"/>
      <c r="G27" s="85"/>
      <c r="H27" s="90"/>
      <c r="I27" s="85"/>
      <c r="J27" s="91"/>
    </row>
    <row r="28" spans="1:10" s="84" customFormat="1" ht="30" customHeight="1">
      <c r="A28" s="87"/>
      <c r="B28" s="92"/>
      <c r="C28" s="103"/>
      <c r="D28" s="104"/>
      <c r="E28" s="99"/>
      <c r="F28" s="89"/>
      <c r="G28" s="85"/>
      <c r="H28" s="90"/>
      <c r="I28" s="85"/>
      <c r="J28" s="91"/>
    </row>
    <row r="29" spans="1:10" s="109" customFormat="1" ht="16.5" customHeight="1">
      <c r="A29" s="105"/>
      <c r="B29" s="106"/>
      <c r="C29" s="107" t="s">
        <v>25</v>
      </c>
      <c r="D29" s="108"/>
      <c r="E29" s="116"/>
      <c r="F29" s="89"/>
      <c r="G29" s="85"/>
      <c r="H29" s="90"/>
      <c r="I29" s="85"/>
      <c r="J29" s="91"/>
    </row>
    <row r="30" spans="1:10" s="84" customFormat="1" ht="16.5" customHeight="1">
      <c r="A30" s="87"/>
      <c r="B30" s="76"/>
      <c r="C30" s="110" t="s">
        <v>26</v>
      </c>
      <c r="D30" s="108"/>
      <c r="E30" s="114"/>
      <c r="F30" s="89"/>
      <c r="G30" s="85"/>
      <c r="H30" s="90"/>
      <c r="I30" s="85"/>
      <c r="J30" s="91"/>
    </row>
    <row r="31" spans="1:10" s="84" customFormat="1" ht="16.5" customHeight="1">
      <c r="A31" s="87"/>
      <c r="B31" s="76"/>
      <c r="C31" s="110"/>
      <c r="D31" s="108"/>
      <c r="E31" s="114"/>
      <c r="F31" s="89"/>
      <c r="G31" s="85"/>
      <c r="H31" s="90"/>
      <c r="I31" s="85"/>
      <c r="J31" s="91"/>
    </row>
    <row r="32" spans="1:10" s="84" customFormat="1" ht="30" customHeight="1">
      <c r="A32" s="87"/>
      <c r="B32" s="88" t="s">
        <v>31</v>
      </c>
      <c r="C32" s="1604" t="s">
        <v>299</v>
      </c>
      <c r="D32" s="1605"/>
      <c r="E32" s="114"/>
      <c r="F32" s="89"/>
      <c r="G32" s="85"/>
      <c r="H32" s="90"/>
      <c r="I32" s="85"/>
      <c r="J32" s="91"/>
    </row>
    <row r="33" spans="1:10" s="84" customFormat="1" ht="16.5" customHeight="1">
      <c r="A33" s="87"/>
      <c r="B33" s="76"/>
      <c r="C33" s="76"/>
      <c r="D33" s="117" t="s">
        <v>51</v>
      </c>
      <c r="E33" s="114"/>
      <c r="F33" s="89"/>
      <c r="G33" s="85"/>
      <c r="H33" s="90"/>
      <c r="I33" s="85"/>
      <c r="J33" s="91"/>
    </row>
    <row r="34" spans="1:10" s="84" customFormat="1" ht="16.5" customHeight="1">
      <c r="A34" s="87"/>
      <c r="B34" s="76"/>
      <c r="C34" s="76"/>
      <c r="D34" s="117" t="s">
        <v>52</v>
      </c>
      <c r="E34" s="114"/>
      <c r="F34" s="89"/>
      <c r="G34" s="85"/>
      <c r="H34" s="90"/>
      <c r="I34" s="85"/>
      <c r="J34" s="91"/>
    </row>
    <row r="35" spans="1:10" s="84" customFormat="1" ht="16.5" customHeight="1">
      <c r="A35" s="87"/>
      <c r="B35" s="76"/>
      <c r="C35" s="76"/>
      <c r="D35" s="117" t="s">
        <v>53</v>
      </c>
      <c r="E35" s="114"/>
      <c r="F35" s="89"/>
      <c r="G35" s="85"/>
      <c r="H35" s="90"/>
      <c r="I35" s="85"/>
      <c r="J35" s="91"/>
    </row>
    <row r="36" spans="1:10" s="84" customFormat="1" ht="16.5" customHeight="1">
      <c r="A36" s="87"/>
      <c r="B36" s="76" t="s">
        <v>32</v>
      </c>
      <c r="C36" s="76" t="s">
        <v>33</v>
      </c>
      <c r="D36" s="94"/>
      <c r="E36" s="114"/>
      <c r="F36" s="180">
        <v>164797.44618991116</v>
      </c>
      <c r="G36" s="85">
        <f>F36/J36</f>
        <v>0.16791132072133216</v>
      </c>
      <c r="H36" s="181">
        <v>816657.79745867639</v>
      </c>
      <c r="I36" s="85">
        <f>H36/J36</f>
        <v>0.83208867927866792</v>
      </c>
      <c r="J36" s="86">
        <f>SUM(F36,H36)</f>
        <v>981455.24364858749</v>
      </c>
    </row>
    <row r="37" spans="1:10" s="84" customFormat="1" ht="16.5" customHeight="1">
      <c r="A37" s="87"/>
      <c r="B37" s="76"/>
      <c r="C37" s="110"/>
      <c r="D37" s="98"/>
      <c r="E37" s="114"/>
      <c r="F37" s="100"/>
      <c r="G37" s="101"/>
      <c r="H37" s="102"/>
      <c r="I37" s="101"/>
      <c r="J37" s="118"/>
    </row>
    <row r="38" spans="1:10" s="84" customFormat="1" ht="16.5" customHeight="1">
      <c r="A38" s="87"/>
      <c r="B38" s="76"/>
      <c r="C38" s="110"/>
      <c r="D38" s="94"/>
      <c r="E38" s="114"/>
      <c r="F38" s="89"/>
      <c r="G38" s="85"/>
      <c r="H38" s="90"/>
      <c r="I38" s="85"/>
      <c r="J38" s="91"/>
    </row>
    <row r="39" spans="1:10" s="84" customFormat="1" ht="16.5" customHeight="1">
      <c r="A39" s="87"/>
      <c r="B39" s="76" t="s">
        <v>34</v>
      </c>
      <c r="C39" s="76" t="s">
        <v>35</v>
      </c>
      <c r="D39" s="94"/>
      <c r="E39" s="114"/>
      <c r="F39" s="180">
        <v>-2136605.1703180755</v>
      </c>
      <c r="G39" s="85">
        <f>F39/J39</f>
        <v>-0.57356052898336685</v>
      </c>
      <c r="H39" s="181">
        <v>5861765.9203180755</v>
      </c>
      <c r="I39" s="85">
        <f>H39/J39</f>
        <v>1.5735605289833667</v>
      </c>
      <c r="J39" s="86">
        <f>SUM(F39,H39)</f>
        <v>3725160.75</v>
      </c>
    </row>
    <row r="40" spans="1:10" s="84" customFormat="1" ht="16.5" customHeight="1">
      <c r="A40" s="87"/>
      <c r="B40" s="76"/>
      <c r="C40" s="119" t="s">
        <v>36</v>
      </c>
      <c r="D40" s="98"/>
      <c r="E40" s="120"/>
      <c r="F40" s="100"/>
      <c r="G40" s="101"/>
      <c r="H40" s="102"/>
      <c r="I40" s="101"/>
      <c r="J40" s="118"/>
    </row>
    <row r="41" spans="1:10" s="84" customFormat="1" ht="16.5" customHeight="1">
      <c r="A41" s="87"/>
      <c r="B41" s="76"/>
      <c r="C41" s="119" t="s">
        <v>37</v>
      </c>
      <c r="D41" s="98"/>
      <c r="E41" s="120"/>
      <c r="F41" s="100"/>
      <c r="G41" s="101"/>
      <c r="H41" s="102"/>
      <c r="I41" s="101"/>
      <c r="J41" s="118"/>
    </row>
    <row r="42" spans="1:10" s="123" customFormat="1" ht="16.5" customHeight="1">
      <c r="A42" s="121"/>
      <c r="B42" s="122"/>
      <c r="C42" s="119" t="s">
        <v>38</v>
      </c>
      <c r="D42" s="98"/>
      <c r="E42" s="120"/>
      <c r="F42" s="100"/>
      <c r="G42" s="101"/>
      <c r="H42" s="102"/>
      <c r="I42" s="101"/>
      <c r="J42" s="118"/>
    </row>
    <row r="43" spans="1:10" s="123" customFormat="1" ht="16.5" customHeight="1">
      <c r="A43" s="121"/>
      <c r="B43" s="122"/>
      <c r="C43" s="119"/>
      <c r="D43" s="124"/>
      <c r="E43" s="120"/>
      <c r="F43" s="125"/>
      <c r="G43" s="126"/>
      <c r="H43" s="127"/>
      <c r="I43" s="126"/>
      <c r="J43" s="128"/>
    </row>
    <row r="44" spans="1:10" s="84" customFormat="1" ht="16.5" customHeight="1">
      <c r="A44" s="75" t="s">
        <v>39</v>
      </c>
      <c r="B44" s="76" t="s">
        <v>40</v>
      </c>
      <c r="C44" s="76"/>
      <c r="D44" s="129"/>
      <c r="E44" s="78"/>
      <c r="F44" s="130">
        <f>SUM(F45:F53)</f>
        <v>91150011.895685121</v>
      </c>
      <c r="G44" s="131">
        <f t="shared" ref="G44:G52" si="0">F44/J44</f>
        <v>0.93945327271168233</v>
      </c>
      <c r="H44" s="1401">
        <f>SUM(H45:H53)</f>
        <v>5874517.735879642</v>
      </c>
      <c r="I44" s="131">
        <f t="shared" ref="I44:I52" si="1">H44/J44</f>
        <v>6.0546727288317601E-2</v>
      </c>
      <c r="J44" s="133">
        <f>SUM(F44,H44)</f>
        <v>97024529.631564766</v>
      </c>
    </row>
    <row r="45" spans="1:10" s="84" customFormat="1" ht="24.75" customHeight="1">
      <c r="A45" s="87"/>
      <c r="B45" s="76"/>
      <c r="C45" s="1597" t="s">
        <v>63</v>
      </c>
      <c r="D45" s="1598"/>
      <c r="E45" s="136"/>
      <c r="F45" s="180">
        <v>0</v>
      </c>
      <c r="G45" s="85" t="e">
        <f t="shared" si="0"/>
        <v>#DIV/0!</v>
      </c>
      <c r="H45" s="181">
        <v>0</v>
      </c>
      <c r="I45" s="85" t="e">
        <f t="shared" si="1"/>
        <v>#DIV/0!</v>
      </c>
      <c r="J45" s="86">
        <f t="shared" ref="J45:J52" si="2">SUM(F45,H45)</f>
        <v>0</v>
      </c>
    </row>
    <row r="46" spans="1:10" s="84" customFormat="1" ht="25.5" customHeight="1">
      <c r="A46" s="87"/>
      <c r="B46" s="76"/>
      <c r="C46" s="1597" t="s">
        <v>64</v>
      </c>
      <c r="D46" s="1598"/>
      <c r="E46" s="136"/>
      <c r="F46" s="180">
        <v>0</v>
      </c>
      <c r="G46" s="85">
        <f t="shared" si="0"/>
        <v>0</v>
      </c>
      <c r="H46" s="181">
        <v>2890790.0459890882</v>
      </c>
      <c r="I46" s="85">
        <f t="shared" si="1"/>
        <v>1</v>
      </c>
      <c r="J46" s="86">
        <f t="shared" si="2"/>
        <v>2890790.0459890882</v>
      </c>
    </row>
    <row r="47" spans="1:10" s="84" customFormat="1" ht="16.5" customHeight="1">
      <c r="A47" s="87"/>
      <c r="B47" s="76"/>
      <c r="C47" s="1597" t="s">
        <v>65</v>
      </c>
      <c r="D47" s="1598"/>
      <c r="E47" s="136"/>
      <c r="F47" s="180">
        <v>0</v>
      </c>
      <c r="G47" s="85" t="e">
        <f t="shared" si="0"/>
        <v>#DIV/0!</v>
      </c>
      <c r="H47" s="181">
        <v>0</v>
      </c>
      <c r="I47" s="85" t="e">
        <f t="shared" si="1"/>
        <v>#DIV/0!</v>
      </c>
      <c r="J47" s="86">
        <f t="shared" si="2"/>
        <v>0</v>
      </c>
    </row>
    <row r="48" spans="1:10" s="84" customFormat="1" ht="16.5" customHeight="1">
      <c r="A48" s="87"/>
      <c r="B48" s="76"/>
      <c r="C48" s="1597" t="s">
        <v>66</v>
      </c>
      <c r="D48" s="1598"/>
      <c r="E48" s="136"/>
      <c r="F48" s="180">
        <v>17111428.904525515</v>
      </c>
      <c r="G48" s="85">
        <f t="shared" si="0"/>
        <v>0.93426588432956992</v>
      </c>
      <c r="H48" s="181">
        <v>1203944.9002288932</v>
      </c>
      <c r="I48" s="85">
        <f t="shared" si="1"/>
        <v>6.5734115670430179E-2</v>
      </c>
      <c r="J48" s="86">
        <f t="shared" si="2"/>
        <v>18315373.804754406</v>
      </c>
    </row>
    <row r="49" spans="1:10" s="84" customFormat="1" ht="16.5" customHeight="1">
      <c r="A49" s="87"/>
      <c r="B49" s="76"/>
      <c r="C49" s="134" t="s">
        <v>67</v>
      </c>
      <c r="D49" s="135"/>
      <c r="E49" s="136"/>
      <c r="F49" s="180">
        <v>0</v>
      </c>
      <c r="G49" s="85">
        <f t="shared" si="0"/>
        <v>0</v>
      </c>
      <c r="H49" s="181">
        <v>1779782.7896616608</v>
      </c>
      <c r="I49" s="85">
        <f t="shared" si="1"/>
        <v>1</v>
      </c>
      <c r="J49" s="86">
        <f t="shared" si="2"/>
        <v>1779782.7896616608</v>
      </c>
    </row>
    <row r="50" spans="1:10" s="84" customFormat="1" ht="26.25" customHeight="1">
      <c r="A50" s="87"/>
      <c r="B50" s="76"/>
      <c r="C50" s="134" t="s">
        <v>68</v>
      </c>
      <c r="D50" s="135"/>
      <c r="E50" s="136"/>
      <c r="F50" s="180">
        <v>0</v>
      </c>
      <c r="G50" s="85" t="e">
        <f t="shared" si="0"/>
        <v>#DIV/0!</v>
      </c>
      <c r="H50" s="181">
        <v>0</v>
      </c>
      <c r="I50" s="85" t="e">
        <f t="shared" si="1"/>
        <v>#DIV/0!</v>
      </c>
      <c r="J50" s="86">
        <f t="shared" si="2"/>
        <v>0</v>
      </c>
    </row>
    <row r="51" spans="1:10" s="84" customFormat="1" ht="16.5" customHeight="1">
      <c r="A51" s="87"/>
      <c r="B51" s="76"/>
      <c r="C51" s="1597" t="s">
        <v>69</v>
      </c>
      <c r="D51" s="1598"/>
      <c r="E51" s="136"/>
      <c r="F51" s="180">
        <v>0</v>
      </c>
      <c r="G51" s="85" t="e">
        <f t="shared" si="0"/>
        <v>#DIV/0!</v>
      </c>
      <c r="H51" s="181">
        <v>0</v>
      </c>
      <c r="I51" s="85" t="e">
        <f t="shared" si="1"/>
        <v>#DIV/0!</v>
      </c>
      <c r="J51" s="86">
        <f t="shared" si="2"/>
        <v>0</v>
      </c>
    </row>
    <row r="52" spans="1:10" s="84" customFormat="1" ht="16.5" customHeight="1">
      <c r="A52" s="87"/>
      <c r="B52" s="76"/>
      <c r="C52" s="1597" t="s">
        <v>70</v>
      </c>
      <c r="D52" s="1598"/>
      <c r="E52" s="136"/>
      <c r="F52" s="180">
        <v>66938974.278883532</v>
      </c>
      <c r="G52" s="85">
        <f t="shared" si="0"/>
        <v>1</v>
      </c>
      <c r="H52" s="181">
        <v>0</v>
      </c>
      <c r="I52" s="85">
        <f t="shared" si="1"/>
        <v>0</v>
      </c>
      <c r="J52" s="86">
        <f t="shared" si="2"/>
        <v>66938974.278883532</v>
      </c>
    </row>
    <row r="53" spans="1:10" s="84" customFormat="1" ht="16.5" customHeight="1">
      <c r="A53" s="87"/>
      <c r="B53" s="76"/>
      <c r="C53" s="1608" t="s">
        <v>386</v>
      </c>
      <c r="D53" s="1609"/>
      <c r="E53" s="136"/>
      <c r="F53" s="1395">
        <f>SUM(F54:F61)</f>
        <v>7099608.7122760769</v>
      </c>
      <c r="G53" s="85">
        <f>F53/J53</f>
        <v>1</v>
      </c>
      <c r="H53" s="1400">
        <f>SUM(H54:H61)</f>
        <v>0</v>
      </c>
      <c r="I53" s="85">
        <f>H53/J53</f>
        <v>0</v>
      </c>
      <c r="J53" s="86">
        <f>SUM(F53,H53)</f>
        <v>7099608.7122760769</v>
      </c>
    </row>
    <row r="54" spans="1:10" s="84" customFormat="1" ht="17.25" customHeight="1">
      <c r="A54" s="87"/>
      <c r="B54" s="76"/>
      <c r="C54" s="1599" t="s">
        <v>63</v>
      </c>
      <c r="D54" s="1600"/>
      <c r="E54" s="136"/>
      <c r="F54" s="1396">
        <v>0</v>
      </c>
      <c r="G54" s="101" t="e">
        <f t="shared" ref="G54:G61" si="3">F54/J54</f>
        <v>#DIV/0!</v>
      </c>
      <c r="H54" s="1398"/>
      <c r="I54" s="1399"/>
      <c r="J54" s="1397">
        <f t="shared" ref="J54:J61" si="4">SUM(F54,H54)</f>
        <v>0</v>
      </c>
    </row>
    <row r="55" spans="1:10" s="84" customFormat="1" ht="15" customHeight="1">
      <c r="A55" s="87"/>
      <c r="B55" s="76"/>
      <c r="C55" s="1599" t="s">
        <v>64</v>
      </c>
      <c r="D55" s="1600"/>
      <c r="E55" s="136"/>
      <c r="F55" s="1396">
        <v>-5842023.2940723905</v>
      </c>
      <c r="G55" s="101">
        <f t="shared" si="3"/>
        <v>1</v>
      </c>
      <c r="H55" s="1398"/>
      <c r="I55" s="1399"/>
      <c r="J55" s="1397">
        <f t="shared" si="4"/>
        <v>-5842023.2940723905</v>
      </c>
    </row>
    <row r="56" spans="1:10" s="84" customFormat="1" ht="16.5" customHeight="1">
      <c r="A56" s="87"/>
      <c r="B56" s="76"/>
      <c r="C56" s="1599" t="s">
        <v>65</v>
      </c>
      <c r="D56" s="1600"/>
      <c r="E56" s="136"/>
      <c r="F56" s="1396">
        <v>11321741.707580494</v>
      </c>
      <c r="G56" s="101">
        <f t="shared" si="3"/>
        <v>1</v>
      </c>
      <c r="H56" s="1398"/>
      <c r="I56" s="1399"/>
      <c r="J56" s="1397">
        <f t="shared" si="4"/>
        <v>11321741.707580494</v>
      </c>
    </row>
    <row r="57" spans="1:10" s="84" customFormat="1" ht="15" customHeight="1">
      <c r="A57" s="87"/>
      <c r="B57" s="76"/>
      <c r="C57" s="1599" t="s">
        <v>66</v>
      </c>
      <c r="D57" s="1600"/>
      <c r="E57" s="136"/>
      <c r="F57" s="1396">
        <v>-794717.02839772194</v>
      </c>
      <c r="G57" s="101">
        <f t="shared" si="3"/>
        <v>1</v>
      </c>
      <c r="H57" s="1398"/>
      <c r="I57" s="1399"/>
      <c r="J57" s="1397">
        <f t="shared" si="4"/>
        <v>-794717.02839772194</v>
      </c>
    </row>
    <row r="58" spans="1:10" s="84" customFormat="1" ht="16.5" customHeight="1">
      <c r="A58" s="87"/>
      <c r="B58" s="76"/>
      <c r="C58" s="1393" t="s">
        <v>67</v>
      </c>
      <c r="D58" s="1394"/>
      <c r="E58" s="136"/>
      <c r="F58" s="1396">
        <v>-3144011.0920019676</v>
      </c>
      <c r="G58" s="101">
        <f t="shared" si="3"/>
        <v>1</v>
      </c>
      <c r="H58" s="1398"/>
      <c r="I58" s="1399"/>
      <c r="J58" s="1397">
        <f t="shared" si="4"/>
        <v>-3144011.0920019676</v>
      </c>
    </row>
    <row r="59" spans="1:10" s="84" customFormat="1" ht="26.25" customHeight="1">
      <c r="A59" s="87"/>
      <c r="B59" s="76"/>
      <c r="C59" s="1393" t="s">
        <v>68</v>
      </c>
      <c r="D59" s="1394"/>
      <c r="E59" s="136"/>
      <c r="F59" s="1396">
        <v>0</v>
      </c>
      <c r="G59" s="101" t="e">
        <f t="shared" si="3"/>
        <v>#DIV/0!</v>
      </c>
      <c r="H59" s="1398"/>
      <c r="I59" s="1399"/>
      <c r="J59" s="1397">
        <f t="shared" si="4"/>
        <v>0</v>
      </c>
    </row>
    <row r="60" spans="1:10" s="84" customFormat="1" ht="16.5" customHeight="1">
      <c r="A60" s="87"/>
      <c r="B60" s="76"/>
      <c r="C60" s="1599" t="s">
        <v>69</v>
      </c>
      <c r="D60" s="1600"/>
      <c r="E60" s="136"/>
      <c r="F60" s="1396">
        <v>0</v>
      </c>
      <c r="G60" s="101" t="e">
        <f t="shared" si="3"/>
        <v>#DIV/0!</v>
      </c>
      <c r="H60" s="1398"/>
      <c r="I60" s="1399"/>
      <c r="J60" s="1397">
        <f t="shared" si="4"/>
        <v>0</v>
      </c>
    </row>
    <row r="61" spans="1:10" s="84" customFormat="1" ht="16.5" customHeight="1">
      <c r="A61" s="87"/>
      <c r="B61" s="76"/>
      <c r="C61" s="1599" t="s">
        <v>70</v>
      </c>
      <c r="D61" s="1600"/>
      <c r="E61" s="136"/>
      <c r="F61" s="1396">
        <v>5558618.4191676639</v>
      </c>
      <c r="G61" s="101">
        <f t="shared" si="3"/>
        <v>1</v>
      </c>
      <c r="H61" s="1398"/>
      <c r="I61" s="1399"/>
      <c r="J61" s="1397">
        <f t="shared" si="4"/>
        <v>5558618.4191676639</v>
      </c>
    </row>
    <row r="62" spans="1:10" s="84" customFormat="1" ht="16.5" customHeight="1">
      <c r="A62" s="87"/>
      <c r="B62" s="76"/>
      <c r="C62" s="1597"/>
      <c r="D62" s="1598"/>
      <c r="E62" s="136"/>
      <c r="F62" s="100"/>
      <c r="G62" s="101"/>
      <c r="H62" s="102"/>
      <c r="I62" s="101"/>
      <c r="J62" s="118"/>
    </row>
    <row r="63" spans="1:10" s="84" customFormat="1" ht="16.5" customHeight="1">
      <c r="A63" s="75" t="s">
        <v>41</v>
      </c>
      <c r="B63" s="76" t="s">
        <v>42</v>
      </c>
      <c r="C63" s="76"/>
      <c r="D63" s="129"/>
      <c r="E63" s="78"/>
      <c r="F63" s="137">
        <f>SUM(F64,F66,F69)</f>
        <v>-1386294.8269435531</v>
      </c>
      <c r="G63" s="131">
        <f>F63/J63</f>
        <v>-0.23664071342819781</v>
      </c>
      <c r="H63" s="138">
        <f>SUM(H64,H66,H69)</f>
        <v>7244521.0250495123</v>
      </c>
      <c r="I63" s="131">
        <f>H63/J63</f>
        <v>1.2366407134281978</v>
      </c>
      <c r="J63" s="139">
        <f>SUM(J64,J66,J69)</f>
        <v>5858226.1981059592</v>
      </c>
    </row>
    <row r="64" spans="1:10" s="84" customFormat="1" ht="16.5" customHeight="1">
      <c r="A64" s="87"/>
      <c r="B64" s="76" t="s">
        <v>95</v>
      </c>
      <c r="C64" s="76" t="s">
        <v>43</v>
      </c>
      <c r="D64" s="113"/>
      <c r="E64" s="136"/>
      <c r="F64" s="180">
        <v>-2176212.8923888821</v>
      </c>
      <c r="G64" s="85">
        <f>F64/J64</f>
        <v>-0.46643392724785743</v>
      </c>
      <c r="H64" s="181">
        <v>6841853.1154948408</v>
      </c>
      <c r="I64" s="85">
        <f>H64/J64</f>
        <v>1.4664339272478575</v>
      </c>
      <c r="J64" s="86">
        <f>SUM(F64,H64)</f>
        <v>4665640.2231059587</v>
      </c>
    </row>
    <row r="65" spans="1:10" s="84" customFormat="1" ht="16.5" customHeight="1">
      <c r="A65" s="87"/>
      <c r="B65" s="76"/>
      <c r="C65" s="76"/>
      <c r="D65" s="98"/>
      <c r="E65" s="136"/>
      <c r="F65" s="100"/>
      <c r="G65" s="101"/>
      <c r="H65" s="102"/>
      <c r="I65" s="101"/>
      <c r="J65" s="118"/>
    </row>
    <row r="66" spans="1:10" s="84" customFormat="1" ht="16.5" customHeight="1">
      <c r="A66" s="87"/>
      <c r="B66" s="76" t="s">
        <v>96</v>
      </c>
      <c r="C66" s="76" t="s">
        <v>44</v>
      </c>
      <c r="D66" s="129"/>
      <c r="E66" s="78"/>
      <c r="F66" s="180">
        <v>789918.06544532906</v>
      </c>
      <c r="G66" s="85">
        <f>F66/J66</f>
        <v>0.66235733272423314</v>
      </c>
      <c r="H66" s="181">
        <v>402667.90955467109</v>
      </c>
      <c r="I66" s="85">
        <f>H66/J66</f>
        <v>0.33764266727576692</v>
      </c>
      <c r="J66" s="86">
        <f>SUM(F66,H66)</f>
        <v>1192585.9750000001</v>
      </c>
    </row>
    <row r="67" spans="1:10" s="84" customFormat="1" ht="16.5" customHeight="1">
      <c r="A67" s="87"/>
      <c r="B67" s="92"/>
      <c r="C67" s="92" t="s">
        <v>97</v>
      </c>
      <c r="D67" s="98"/>
      <c r="E67" s="78"/>
      <c r="F67" s="100"/>
      <c r="G67" s="101"/>
      <c r="H67" s="102"/>
      <c r="I67" s="101"/>
      <c r="J67" s="118"/>
    </row>
    <row r="68" spans="1:10" s="84" customFormat="1" ht="16.5" customHeight="1">
      <c r="A68" s="87"/>
      <c r="B68" s="92"/>
      <c r="C68" s="92"/>
      <c r="D68" s="98"/>
      <c r="E68" s="78"/>
      <c r="F68" s="100"/>
      <c r="G68" s="101"/>
      <c r="H68" s="102"/>
      <c r="I68" s="101"/>
      <c r="J68" s="118"/>
    </row>
    <row r="69" spans="1:10" s="84" customFormat="1" ht="16.5" customHeight="1">
      <c r="A69" s="87"/>
      <c r="B69" s="76" t="s">
        <v>281</v>
      </c>
      <c r="C69" s="76" t="s">
        <v>282</v>
      </c>
      <c r="D69" s="113"/>
      <c r="E69" s="136"/>
      <c r="F69" s="180">
        <v>0</v>
      </c>
      <c r="G69" s="85" t="e">
        <f>F69/J69</f>
        <v>#DIV/0!</v>
      </c>
      <c r="H69" s="181">
        <v>0</v>
      </c>
      <c r="I69" s="85" t="e">
        <f>H69/J69</f>
        <v>#DIV/0!</v>
      </c>
      <c r="J69" s="86">
        <f>SUM(F69,H69)</f>
        <v>0</v>
      </c>
    </row>
    <row r="70" spans="1:10" s="84" customFormat="1" ht="16.5" customHeight="1">
      <c r="A70" s="87"/>
      <c r="B70" s="92"/>
      <c r="C70" s="140"/>
      <c r="D70" s="113"/>
      <c r="E70" s="141"/>
      <c r="F70" s="111"/>
      <c r="G70" s="85"/>
      <c r="H70" s="112"/>
      <c r="I70" s="85"/>
      <c r="J70" s="142"/>
    </row>
    <row r="71" spans="1:10" s="84" customFormat="1" ht="16.5" customHeight="1">
      <c r="A71" s="75" t="s">
        <v>45</v>
      </c>
      <c r="B71" s="76" t="s">
        <v>46</v>
      </c>
      <c r="C71" s="76"/>
      <c r="D71" s="113"/>
      <c r="E71" s="78"/>
      <c r="F71" s="137">
        <f>SUM(F72:F77)</f>
        <v>7220672.5322246272</v>
      </c>
      <c r="G71" s="131">
        <f t="shared" ref="G71:G77" si="5">F71/J71</f>
        <v>1</v>
      </c>
      <c r="H71" s="138">
        <f>SUM(H72:H77)</f>
        <v>0</v>
      </c>
      <c r="I71" s="131">
        <f t="shared" ref="I71:I77" si="6">H71/J71</f>
        <v>0</v>
      </c>
      <c r="J71" s="139">
        <f t="shared" ref="J71:J77" si="7">SUM(F71,H71)</f>
        <v>7220672.5322246272</v>
      </c>
    </row>
    <row r="72" spans="1:10" s="84" customFormat="1" ht="27.75" customHeight="1">
      <c r="A72" s="87"/>
      <c r="B72" s="143" t="s">
        <v>54</v>
      </c>
      <c r="C72" s="1610" t="s">
        <v>56</v>
      </c>
      <c r="D72" s="1611"/>
      <c r="E72" s="144"/>
      <c r="F72" s="182">
        <v>0</v>
      </c>
      <c r="G72" s="145" t="e">
        <f t="shared" si="5"/>
        <v>#DIV/0!</v>
      </c>
      <c r="H72" s="185">
        <v>0</v>
      </c>
      <c r="I72" s="145" t="e">
        <f t="shared" si="6"/>
        <v>#DIV/0!</v>
      </c>
      <c r="J72" s="146">
        <f t="shared" si="7"/>
        <v>0</v>
      </c>
    </row>
    <row r="73" spans="1:10" s="149" customFormat="1" ht="26.25" customHeight="1">
      <c r="A73" s="147"/>
      <c r="B73" s="143" t="s">
        <v>55</v>
      </c>
      <c r="C73" s="1610" t="s">
        <v>296</v>
      </c>
      <c r="D73" s="1611"/>
      <c r="E73" s="148"/>
      <c r="F73" s="182">
        <v>0</v>
      </c>
      <c r="G73" s="145" t="e">
        <f t="shared" si="5"/>
        <v>#DIV/0!</v>
      </c>
      <c r="H73" s="185">
        <v>0</v>
      </c>
      <c r="I73" s="145" t="e">
        <f t="shared" si="6"/>
        <v>#DIV/0!</v>
      </c>
      <c r="J73" s="146">
        <f t="shared" si="7"/>
        <v>0</v>
      </c>
    </row>
    <row r="74" spans="1:10" s="149" customFormat="1" ht="16.5" customHeight="1">
      <c r="A74" s="150"/>
      <c r="B74" s="151" t="s">
        <v>57</v>
      </c>
      <c r="C74" s="1610" t="s">
        <v>58</v>
      </c>
      <c r="D74" s="1611"/>
      <c r="E74" s="148"/>
      <c r="F74" s="182">
        <v>0</v>
      </c>
      <c r="G74" s="145" t="e">
        <f t="shared" si="5"/>
        <v>#DIV/0!</v>
      </c>
      <c r="H74" s="185">
        <v>0</v>
      </c>
      <c r="I74" s="145" t="e">
        <f t="shared" si="6"/>
        <v>#DIV/0!</v>
      </c>
      <c r="J74" s="146">
        <f t="shared" si="7"/>
        <v>0</v>
      </c>
    </row>
    <row r="75" spans="1:10" s="149" customFormat="1" ht="16.5" customHeight="1">
      <c r="A75" s="150"/>
      <c r="B75" s="151" t="s">
        <v>59</v>
      </c>
      <c r="C75" s="1610" t="s">
        <v>47</v>
      </c>
      <c r="D75" s="1611"/>
      <c r="E75" s="148"/>
      <c r="F75" s="182">
        <v>6090749.3555442365</v>
      </c>
      <c r="G75" s="145">
        <f t="shared" si="5"/>
        <v>1</v>
      </c>
      <c r="H75" s="185">
        <v>0</v>
      </c>
      <c r="I75" s="145">
        <f t="shared" si="6"/>
        <v>0</v>
      </c>
      <c r="J75" s="146">
        <f t="shared" si="7"/>
        <v>6090749.3555442365</v>
      </c>
    </row>
    <row r="76" spans="1:10" s="149" customFormat="1" ht="17.25" customHeight="1">
      <c r="A76" s="150"/>
      <c r="B76" s="151" t="s">
        <v>60</v>
      </c>
      <c r="C76" s="1610" t="s">
        <v>294</v>
      </c>
      <c r="D76" s="1611"/>
      <c r="E76" s="148"/>
      <c r="F76" s="182">
        <v>0</v>
      </c>
      <c r="G76" s="145" t="e">
        <f t="shared" si="5"/>
        <v>#DIV/0!</v>
      </c>
      <c r="H76" s="185">
        <v>0</v>
      </c>
      <c r="I76" s="145" t="e">
        <f t="shared" si="6"/>
        <v>#DIV/0!</v>
      </c>
      <c r="J76" s="146">
        <f t="shared" si="7"/>
        <v>0</v>
      </c>
    </row>
    <row r="77" spans="1:10" s="149" customFormat="1" ht="38.25" customHeight="1">
      <c r="A77" s="150"/>
      <c r="B77" s="151" t="s">
        <v>61</v>
      </c>
      <c r="C77" s="1610" t="s">
        <v>48</v>
      </c>
      <c r="D77" s="1611"/>
      <c r="E77" s="148"/>
      <c r="F77" s="182">
        <v>1129923.1766803912</v>
      </c>
      <c r="G77" s="145">
        <f t="shared" si="5"/>
        <v>1</v>
      </c>
      <c r="H77" s="185">
        <v>0</v>
      </c>
      <c r="I77" s="145">
        <f t="shared" si="6"/>
        <v>0</v>
      </c>
      <c r="J77" s="146">
        <f t="shared" si="7"/>
        <v>1129923.1766803912</v>
      </c>
    </row>
    <row r="78" spans="1:10" s="156" customFormat="1">
      <c r="A78" s="152"/>
      <c r="B78" s="153"/>
      <c r="C78" s="154"/>
      <c r="D78" s="155"/>
      <c r="F78" s="157"/>
      <c r="G78" s="158"/>
      <c r="H78" s="159"/>
      <c r="I78" s="158"/>
      <c r="J78" s="160"/>
    </row>
    <row r="79" spans="1:10" s="961" customFormat="1" ht="20.25" customHeight="1">
      <c r="A79" s="960" t="s">
        <v>49</v>
      </c>
      <c r="B79" s="1612" t="s">
        <v>292</v>
      </c>
      <c r="C79" s="1612"/>
      <c r="D79" s="1613"/>
      <c r="F79" s="1571">
        <v>9268853.4952438213</v>
      </c>
      <c r="G79" s="131">
        <f>F79/J79</f>
        <v>0.56380775054411358</v>
      </c>
      <c r="H79" s="962">
        <v>7170887.686566351</v>
      </c>
      <c r="I79" s="131">
        <f>H79/J79</f>
        <v>0.43619224945588636</v>
      </c>
      <c r="J79" s="963">
        <f>SUM(F79,H79)</f>
        <v>16439741.181810172</v>
      </c>
    </row>
    <row r="80" spans="1:10" s="156" customFormat="1">
      <c r="A80" s="152"/>
      <c r="B80" s="153"/>
      <c r="C80" s="154"/>
      <c r="D80" s="98"/>
      <c r="F80" s="100"/>
      <c r="G80" s="101"/>
      <c r="H80" s="102"/>
      <c r="I80" s="101"/>
      <c r="J80" s="118"/>
    </row>
    <row r="81" spans="1:14" s="156" customFormat="1">
      <c r="A81" s="75" t="s">
        <v>288</v>
      </c>
      <c r="B81" s="76" t="s">
        <v>330</v>
      </c>
      <c r="C81" s="154"/>
      <c r="D81" s="155"/>
      <c r="F81" s="1571">
        <v>73902843.153503299</v>
      </c>
      <c r="G81" s="131">
        <f>F81/J81</f>
        <v>1</v>
      </c>
      <c r="H81" s="184">
        <v>0</v>
      </c>
      <c r="I81" s="131">
        <f>H81/J81</f>
        <v>0</v>
      </c>
      <c r="J81" s="133">
        <f>SUM(F81,H81)</f>
        <v>73902843.153503299</v>
      </c>
    </row>
    <row r="82" spans="1:14" s="156" customFormat="1">
      <c r="A82" s="152"/>
      <c r="B82" s="153"/>
      <c r="C82" s="154"/>
      <c r="D82" s="98"/>
      <c r="F82" s="100"/>
      <c r="G82" s="101"/>
      <c r="H82" s="102"/>
      <c r="I82" s="101"/>
      <c r="J82" s="118"/>
    </row>
    <row r="83" spans="1:14" s="156" customFormat="1" ht="13.8" thickBot="1">
      <c r="A83" s="152"/>
      <c r="B83" s="153"/>
      <c r="C83" s="154"/>
      <c r="D83" s="161"/>
      <c r="F83" s="162"/>
      <c r="G83" s="163"/>
      <c r="H83" s="164"/>
      <c r="I83" s="163"/>
      <c r="J83" s="165"/>
    </row>
    <row r="84" spans="1:14" s="74" customFormat="1" ht="16.5" customHeight="1" thickBot="1">
      <c r="A84" s="166"/>
      <c r="B84" s="167" t="s">
        <v>71</v>
      </c>
      <c r="C84" s="168"/>
      <c r="D84" s="169"/>
      <c r="E84" s="170"/>
      <c r="F84" s="171">
        <f>SUM(F79,F71,F63,F44,F8,F81)</f>
        <v>195399220.79031521</v>
      </c>
      <c r="G84" s="172">
        <f>F84/J84</f>
        <v>0.63434073840617555</v>
      </c>
      <c r="H84" s="173">
        <f>SUM(H79,H71,H63,H44,H8,H81)</f>
        <v>112635891.82324499</v>
      </c>
      <c r="I84" s="172">
        <f>H84/J84</f>
        <v>0.36565926159382445</v>
      </c>
      <c r="J84" s="174">
        <f>SUM(J79,J71,J63,J44,J8,J81)</f>
        <v>308035112.6135602</v>
      </c>
    </row>
    <row r="85" spans="1:14" s="175" customFormat="1" ht="13.5" customHeight="1">
      <c r="D85" s="176"/>
      <c r="E85" s="177"/>
      <c r="F85" s="178"/>
      <c r="G85" s="178"/>
      <c r="H85" s="178"/>
      <c r="I85" s="178"/>
      <c r="J85" s="177"/>
      <c r="K85" s="177"/>
      <c r="L85" s="177"/>
      <c r="M85" s="177"/>
      <c r="N85" s="179"/>
    </row>
    <row r="86" spans="1:14" s="175" customFormat="1" ht="13.5" customHeight="1">
      <c r="D86" s="176"/>
      <c r="E86" s="177"/>
      <c r="F86" s="177"/>
      <c r="G86" s="177"/>
      <c r="H86" s="177"/>
      <c r="I86" s="177"/>
      <c r="J86" s="177"/>
      <c r="K86" s="177"/>
      <c r="L86" s="177"/>
      <c r="M86" s="177"/>
      <c r="N86" s="177"/>
    </row>
    <row r="87" spans="1:14" ht="13.5" customHeight="1"/>
    <row r="88" spans="1:14" ht="13.5" customHeight="1"/>
    <row r="89" spans="1:14" ht="13.5" customHeight="1"/>
    <row r="90" spans="1:14" ht="17.25" customHeight="1"/>
    <row r="91" spans="1:14" ht="17.25" customHeight="1"/>
  </sheetData>
  <mergeCells count="25">
    <mergeCell ref="C45:D45"/>
    <mergeCell ref="C77:D77"/>
    <mergeCell ref="B79:D79"/>
    <mergeCell ref="C76:D76"/>
    <mergeCell ref="C61:D61"/>
    <mergeCell ref="C72:D72"/>
    <mergeCell ref="C73:D73"/>
    <mergeCell ref="C74:D74"/>
    <mergeCell ref="C75:D75"/>
    <mergeCell ref="A1:J1"/>
    <mergeCell ref="C62:D62"/>
    <mergeCell ref="C52:D52"/>
    <mergeCell ref="C51:D51"/>
    <mergeCell ref="C48:D48"/>
    <mergeCell ref="C54:D54"/>
    <mergeCell ref="C55:D55"/>
    <mergeCell ref="C56:D56"/>
    <mergeCell ref="C57:D57"/>
    <mergeCell ref="C60:D60"/>
    <mergeCell ref="D3:F3"/>
    <mergeCell ref="C32:D32"/>
    <mergeCell ref="C10:D10"/>
    <mergeCell ref="C53:D53"/>
    <mergeCell ref="C47:D47"/>
    <mergeCell ref="C46:D46"/>
  </mergeCells>
  <pageMargins left="0.7" right="0.7" top="0.75" bottom="0.75" header="0.3" footer="0.3"/>
  <pageSetup paperSize="9" scale="40" fitToHeight="0" orientation="portrait" r:id="rId1"/>
  <headerFooter scaleWithDoc="0" alignWithMargins="0"/>
  <ignoredErrors>
    <ignoredError sqref="G9 I8:I9 G36 G39 I36 I39 G45:G52 I44:I53 G64 I64 G66 I66 G69 I69 G72:G75 I71:I77 G76:G77 G79 G81 I81 I79" evalError="1"/>
    <ignoredError sqref="G8 G44 G63 I63 G71 G84 I84" evalError="1" formula="1"/>
    <ignoredError sqref="G53" evalError="1" unlockedFormula="1"/>
    <ignoredError sqref="F54:G54 F53 H53 F59:G60 G55 G56 G57 G58 G6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87"/>
  <sheetViews>
    <sheetView view="pageBreakPreview" zoomScale="55" zoomScaleNormal="80" zoomScaleSheetLayoutView="55" workbookViewId="0">
      <pane xSplit="6" ySplit="1" topLeftCell="G2" activePane="bottomRight" state="frozen"/>
      <selection pane="topRight" activeCell="G1" sqref="G1"/>
      <selection pane="bottomLeft" activeCell="A2" sqref="A2"/>
      <selection pane="bottomRight" activeCell="AS93" sqref="AS93"/>
    </sheetView>
  </sheetViews>
  <sheetFormatPr defaultColWidth="19" defaultRowHeight="14.4"/>
  <cols>
    <col min="1" max="2" width="19" style="277" customWidth="1"/>
    <col min="3" max="3" width="5.44140625" style="277" customWidth="1"/>
    <col min="4" max="5" width="19" style="51" customWidth="1"/>
    <col min="6" max="6" width="69.6640625" style="51" customWidth="1"/>
    <col min="7" max="11" width="19" style="276" customWidth="1"/>
    <col min="12" max="16" width="19" style="276" hidden="1" customWidth="1"/>
    <col min="17" max="41" width="19" style="276" customWidth="1"/>
    <col min="42" max="42" width="6.33203125" style="278" customWidth="1"/>
    <col min="43" max="55" width="19" style="276" customWidth="1"/>
    <col min="56" max="57" width="25.44140625" style="276" customWidth="1"/>
    <col min="58" max="58" width="19" style="277" customWidth="1"/>
    <col min="59" max="16384" width="19" style="51"/>
  </cols>
  <sheetData>
    <row r="1" spans="1:58" ht="18" thickBot="1">
      <c r="A1" s="1594" t="str">
        <f>"TABEL 3: Opdeling gebudgetteerd inkomen voor gereguleerde activiteit 'elektriciteit' volgens klantengroep en energierichting"</f>
        <v>TABEL 3: Opdeling gebudgetteerd inkomen voor gereguleerde activiteit 'elektriciteit' volgens klantengroep en energierichting</v>
      </c>
      <c r="B1" s="1595"/>
      <c r="C1" s="1595"/>
      <c r="D1" s="1595"/>
      <c r="E1" s="1595"/>
      <c r="F1" s="1595"/>
      <c r="G1" s="1595"/>
      <c r="H1" s="1595"/>
      <c r="I1" s="1595"/>
      <c r="J1" s="1596"/>
      <c r="K1" s="186"/>
      <c r="L1" s="187"/>
      <c r="M1" s="187"/>
      <c r="N1" s="187"/>
      <c r="O1" s="187"/>
      <c r="P1" s="187"/>
      <c r="Q1" s="187"/>
      <c r="R1" s="187"/>
      <c r="S1" s="187"/>
      <c r="T1" s="187"/>
      <c r="U1" s="187"/>
      <c r="V1" s="1634" t="str">
        <f>"TABEL 3: Opdeling toegestaan inkomen voor gereguleerde activiteit 'elektriciteit' volgens klantengroep"</f>
        <v>TABEL 3: Opdeling toegestaan inkomen voor gereguleerde activiteit 'elektriciteit' volgens klantengroep</v>
      </c>
      <c r="W1" s="1635"/>
      <c r="X1" s="1635"/>
      <c r="Y1" s="1635"/>
      <c r="Z1" s="1635"/>
      <c r="AA1" s="1635"/>
      <c r="AB1" s="1635"/>
      <c r="AC1" s="1635"/>
      <c r="AD1" s="1635"/>
      <c r="AE1" s="1636"/>
      <c r="AF1" s="188"/>
      <c r="AG1" s="188"/>
      <c r="AH1" s="188"/>
      <c r="AI1" s="188"/>
      <c r="AJ1" s="188"/>
      <c r="AK1" s="188"/>
      <c r="AL1" s="188"/>
      <c r="AM1" s="188"/>
      <c r="AN1" s="188"/>
      <c r="AO1" s="188"/>
      <c r="AP1" s="189"/>
      <c r="AQ1" s="1634" t="str">
        <f>"TABEL 3: Opdeling toegestaan inkomen voor gereguleerde activiteit 'elektriciteit' volgens klantengroep"</f>
        <v>TABEL 3: Opdeling toegestaan inkomen voor gereguleerde activiteit 'elektriciteit' volgens klantengroep</v>
      </c>
      <c r="AR1" s="1635"/>
      <c r="AS1" s="1635"/>
      <c r="AT1" s="1635"/>
      <c r="AU1" s="1635"/>
      <c r="AV1" s="1635"/>
      <c r="AW1" s="1635"/>
      <c r="AX1" s="1635"/>
      <c r="AY1" s="1635"/>
      <c r="AZ1" s="1636"/>
      <c r="BA1" s="188"/>
      <c r="BB1" s="188"/>
      <c r="BC1" s="188"/>
      <c r="BD1" s="188"/>
      <c r="BE1" s="188"/>
      <c r="BF1" s="190"/>
    </row>
    <row r="2" spans="1:58">
      <c r="A2" s="47"/>
      <c r="B2" s="47"/>
      <c r="C2" s="47"/>
      <c r="D2" s="191"/>
      <c r="E2" s="191"/>
      <c r="F2" s="50"/>
      <c r="G2" s="49"/>
      <c r="H2" s="49"/>
      <c r="I2" s="49"/>
      <c r="J2" s="49"/>
      <c r="K2" s="49"/>
      <c r="L2" s="49"/>
      <c r="M2" s="49"/>
      <c r="N2" s="49"/>
      <c r="O2" s="49"/>
      <c r="P2" s="49"/>
      <c r="Q2" s="49"/>
      <c r="R2" s="49"/>
      <c r="S2" s="49"/>
      <c r="T2" s="49"/>
      <c r="U2" s="49"/>
      <c r="V2" s="47"/>
      <c r="W2" s="47"/>
      <c r="X2" s="47"/>
      <c r="Y2" s="191"/>
      <c r="Z2" s="191"/>
      <c r="AA2" s="50"/>
      <c r="AB2" s="49"/>
      <c r="AC2" s="49"/>
      <c r="AD2" s="49"/>
      <c r="AE2" s="49"/>
      <c r="AF2" s="49"/>
      <c r="AG2" s="49"/>
      <c r="AH2" s="49"/>
      <c r="AI2" s="49"/>
      <c r="AJ2" s="49"/>
      <c r="AK2" s="49"/>
      <c r="AL2" s="49"/>
      <c r="AM2" s="49"/>
      <c r="AN2" s="49"/>
      <c r="AO2" s="49"/>
      <c r="AP2" s="192"/>
      <c r="AQ2" s="47"/>
      <c r="AR2" s="47"/>
      <c r="AS2" s="47"/>
      <c r="AT2" s="191"/>
      <c r="AU2" s="191"/>
      <c r="AV2" s="50"/>
      <c r="AW2" s="49"/>
      <c r="AX2" s="49"/>
      <c r="AY2" s="49"/>
      <c r="AZ2" s="49"/>
      <c r="BA2" s="49"/>
      <c r="BB2" s="49"/>
      <c r="BC2" s="49"/>
      <c r="BD2" s="49"/>
      <c r="BE2" s="49"/>
      <c r="BF2" s="50"/>
    </row>
    <row r="3" spans="1:58">
      <c r="A3" s="413" t="s">
        <v>173</v>
      </c>
      <c r="B3" s="193"/>
      <c r="C3" s="193"/>
      <c r="D3" s="20"/>
      <c r="E3" s="20"/>
      <c r="F3" s="50"/>
      <c r="G3" s="49"/>
      <c r="H3" s="49"/>
      <c r="I3" s="49"/>
      <c r="J3" s="49"/>
      <c r="K3" s="49"/>
      <c r="L3" s="49"/>
      <c r="M3" s="49"/>
      <c r="N3" s="49"/>
      <c r="O3" s="49"/>
      <c r="P3" s="49"/>
      <c r="Q3" s="49"/>
      <c r="R3" s="49"/>
      <c r="S3" s="49"/>
      <c r="T3" s="49"/>
      <c r="U3" s="49"/>
      <c r="V3" s="47"/>
      <c r="W3" s="47"/>
      <c r="X3" s="47"/>
      <c r="Y3" s="191"/>
      <c r="Z3" s="191"/>
      <c r="AA3" s="50"/>
      <c r="AB3" s="49"/>
      <c r="AC3" s="49"/>
      <c r="AD3" s="49"/>
      <c r="AE3" s="49"/>
      <c r="AF3" s="49"/>
      <c r="AG3" s="49"/>
      <c r="AH3" s="49"/>
      <c r="AI3" s="49"/>
      <c r="AJ3" s="49"/>
      <c r="AK3" s="49"/>
      <c r="AL3" s="49"/>
      <c r="AM3" s="49"/>
      <c r="AN3" s="49"/>
      <c r="AO3" s="49"/>
      <c r="AP3" s="192"/>
      <c r="AQ3" s="47"/>
      <c r="AR3" s="47"/>
      <c r="AS3" s="47"/>
      <c r="AT3" s="191"/>
      <c r="AU3" s="191"/>
      <c r="AV3" s="50"/>
      <c r="AW3" s="49"/>
      <c r="AX3" s="49"/>
      <c r="AY3" s="49"/>
      <c r="AZ3" s="49"/>
      <c r="BA3" s="49"/>
      <c r="BB3" s="49"/>
      <c r="BC3" s="49"/>
      <c r="BD3" s="49"/>
      <c r="BE3" s="49"/>
      <c r="BF3" s="50"/>
    </row>
    <row r="4" spans="1:58" ht="24.75" customHeight="1">
      <c r="A4" s="1633" t="s">
        <v>385</v>
      </c>
      <c r="B4" s="1633"/>
      <c r="C4" s="1633"/>
      <c r="D4" s="1633"/>
      <c r="E4" s="1633"/>
      <c r="F4" s="1633"/>
      <c r="G4" s="1633"/>
      <c r="H4" s="1633"/>
      <c r="I4" s="1633"/>
      <c r="J4" s="1633"/>
      <c r="K4" s="49"/>
      <c r="L4" s="49"/>
      <c r="M4" s="49"/>
      <c r="N4" s="49"/>
      <c r="O4" s="49"/>
      <c r="P4" s="49"/>
      <c r="Q4" s="49"/>
      <c r="R4" s="49"/>
      <c r="S4" s="49"/>
      <c r="T4" s="49"/>
      <c r="U4" s="49"/>
      <c r="V4" s="47"/>
      <c r="W4" s="47"/>
      <c r="X4" s="47"/>
      <c r="Y4" s="191"/>
      <c r="Z4" s="191"/>
      <c r="AA4" s="50"/>
      <c r="AB4" s="49"/>
      <c r="AC4" s="49"/>
      <c r="AD4" s="49"/>
      <c r="AE4" s="49"/>
      <c r="AF4" s="49"/>
      <c r="AG4" s="49"/>
      <c r="AH4" s="49"/>
      <c r="AI4" s="49"/>
      <c r="AJ4" s="49"/>
      <c r="AK4" s="49"/>
      <c r="AL4" s="49"/>
      <c r="AM4" s="49"/>
      <c r="AN4" s="49"/>
      <c r="AO4" s="49"/>
      <c r="AP4" s="192"/>
      <c r="AQ4" s="47"/>
      <c r="AR4" s="47"/>
      <c r="AS4" s="47"/>
      <c r="AT4" s="191"/>
      <c r="AU4" s="191"/>
      <c r="AV4" s="50"/>
      <c r="AW4" s="49"/>
      <c r="AX4" s="49"/>
      <c r="AY4" s="49"/>
      <c r="AZ4" s="49"/>
      <c r="BA4" s="49"/>
      <c r="BB4" s="49"/>
      <c r="BC4" s="49"/>
      <c r="BD4" s="49"/>
      <c r="BE4" s="49"/>
      <c r="BF4" s="50"/>
    </row>
    <row r="5" spans="1:58" ht="15" thickBot="1">
      <c r="A5" s="47"/>
      <c r="B5" s="47"/>
      <c r="C5" s="47"/>
      <c r="D5" s="191"/>
      <c r="E5" s="191"/>
      <c r="F5" s="50"/>
      <c r="G5" s="49"/>
      <c r="H5" s="49"/>
      <c r="I5" s="49"/>
      <c r="J5" s="49"/>
      <c r="K5" s="49"/>
      <c r="L5" s="49"/>
      <c r="M5" s="49"/>
      <c r="N5" s="49"/>
      <c r="O5" s="49"/>
      <c r="P5" s="49"/>
      <c r="Q5" s="49"/>
      <c r="R5" s="49"/>
      <c r="S5" s="49"/>
      <c r="T5" s="49"/>
      <c r="U5" s="49"/>
      <c r="V5" s="47"/>
      <c r="W5" s="47"/>
      <c r="X5" s="47"/>
      <c r="Y5" s="191"/>
      <c r="Z5" s="191"/>
      <c r="AA5" s="50"/>
      <c r="AB5" s="49"/>
      <c r="AC5" s="49"/>
      <c r="AD5" s="49"/>
      <c r="AE5" s="49"/>
      <c r="AF5" s="49"/>
      <c r="AG5" s="49"/>
      <c r="AH5" s="49"/>
      <c r="AI5" s="49"/>
      <c r="AJ5" s="49"/>
      <c r="AK5" s="49"/>
      <c r="AL5" s="49"/>
      <c r="AM5" s="49"/>
      <c r="AN5" s="49"/>
      <c r="AO5" s="49"/>
      <c r="AP5" s="192"/>
      <c r="AQ5" s="47"/>
      <c r="AR5" s="47"/>
      <c r="AS5" s="47"/>
      <c r="AT5" s="191"/>
      <c r="AU5" s="191"/>
      <c r="AV5" s="50"/>
      <c r="AW5" s="49"/>
      <c r="AX5" s="49"/>
      <c r="AY5" s="49"/>
      <c r="AZ5" s="49"/>
      <c r="BA5" s="49"/>
      <c r="BB5" s="49"/>
      <c r="BC5" s="49"/>
      <c r="BD5" s="49"/>
      <c r="BE5" s="49"/>
      <c r="BF5" s="50"/>
    </row>
    <row r="6" spans="1:58" ht="15" thickBot="1">
      <c r="A6" s="46" t="s">
        <v>14</v>
      </c>
      <c r="B6" s="47"/>
      <c r="C6" s="1601" t="str">
        <f>+TITELBLAD!$C$7</f>
        <v>Inter-energa</v>
      </c>
      <c r="D6" s="1602"/>
      <c r="E6" s="1602"/>
      <c r="F6" s="1603"/>
      <c r="G6" s="49"/>
      <c r="H6" s="49"/>
      <c r="I6" s="49"/>
      <c r="J6" s="49"/>
      <c r="K6" s="49"/>
      <c r="L6" s="49"/>
      <c r="M6" s="49"/>
      <c r="N6" s="49"/>
      <c r="O6" s="49"/>
      <c r="P6" s="49"/>
      <c r="Q6" s="49"/>
      <c r="R6" s="49"/>
      <c r="S6" s="49"/>
      <c r="T6" s="49"/>
      <c r="U6" s="49"/>
      <c r="V6" s="46" t="s">
        <v>14</v>
      </c>
      <c r="W6" s="47"/>
      <c r="X6" s="1601" t="str">
        <f>+TITELBLAD!$C$7</f>
        <v>Inter-energa</v>
      </c>
      <c r="Y6" s="1602"/>
      <c r="Z6" s="1602"/>
      <c r="AA6" s="1603"/>
      <c r="AB6" s="49"/>
      <c r="AC6" s="49"/>
      <c r="AD6" s="49"/>
      <c r="AE6" s="49"/>
      <c r="AF6" s="49"/>
      <c r="AG6" s="49"/>
      <c r="AH6" s="49"/>
      <c r="AI6" s="49"/>
      <c r="AJ6" s="49"/>
      <c r="AK6" s="49"/>
      <c r="AL6" s="49"/>
      <c r="AM6" s="49"/>
      <c r="AN6" s="49"/>
      <c r="AO6" s="49"/>
      <c r="AP6" s="192"/>
      <c r="AQ6" s="46" t="s">
        <v>14</v>
      </c>
      <c r="AR6" s="47"/>
      <c r="AS6" s="1601" t="str">
        <f>+TITELBLAD!$C$7</f>
        <v>Inter-energa</v>
      </c>
      <c r="AT6" s="1602"/>
      <c r="AU6" s="1602"/>
      <c r="AV6" s="1603"/>
      <c r="AW6" s="49"/>
      <c r="AX6" s="49"/>
      <c r="AY6" s="49"/>
      <c r="AZ6" s="49"/>
      <c r="BA6" s="49"/>
      <c r="BB6" s="49"/>
      <c r="BC6" s="49"/>
      <c r="BD6" s="49"/>
      <c r="BE6" s="49"/>
      <c r="BF6" s="50"/>
    </row>
    <row r="7" spans="1:58" ht="15" thickBot="1">
      <c r="A7" s="193"/>
      <c r="B7" s="193"/>
      <c r="C7" s="193"/>
      <c r="D7" s="194"/>
      <c r="E7" s="194"/>
      <c r="F7" s="193"/>
      <c r="G7" s="195"/>
      <c r="H7" s="195"/>
      <c r="I7" s="195"/>
      <c r="J7" s="193"/>
      <c r="K7" s="193"/>
      <c r="L7" s="193"/>
      <c r="M7" s="193"/>
      <c r="N7" s="193"/>
      <c r="O7" s="193"/>
      <c r="P7" s="193"/>
      <c r="Q7" s="193"/>
      <c r="R7" s="193"/>
      <c r="S7" s="193"/>
      <c r="T7" s="193"/>
      <c r="U7" s="193"/>
      <c r="V7" s="193"/>
      <c r="W7" s="193"/>
      <c r="X7" s="193"/>
      <c r="Y7" s="193"/>
      <c r="Z7" s="193"/>
      <c r="AA7" s="196"/>
      <c r="AB7" s="196"/>
      <c r="AC7" s="196"/>
      <c r="AD7" s="196"/>
      <c r="AE7" s="193"/>
      <c r="AF7" s="196"/>
      <c r="AG7" s="196"/>
      <c r="AH7" s="196"/>
      <c r="AI7" s="196"/>
      <c r="AJ7" s="193"/>
      <c r="AK7" s="196"/>
      <c r="AL7" s="196"/>
      <c r="AM7" s="196"/>
      <c r="AN7" s="196"/>
      <c r="AO7" s="193"/>
      <c r="AP7" s="197"/>
      <c r="AQ7" s="193"/>
      <c r="AR7" s="193"/>
      <c r="AS7" s="193"/>
      <c r="AT7" s="193"/>
      <c r="AU7" s="193"/>
      <c r="AV7" s="193"/>
      <c r="AW7" s="193"/>
      <c r="AX7" s="193"/>
      <c r="AY7" s="193"/>
      <c r="AZ7" s="193"/>
      <c r="BA7" s="193"/>
      <c r="BB7" s="193"/>
      <c r="BC7" s="193"/>
      <c r="BD7" s="193"/>
      <c r="BE7" s="193"/>
      <c r="BF7" s="197"/>
    </row>
    <row r="8" spans="1:58">
      <c r="A8" s="198"/>
      <c r="B8" s="199"/>
      <c r="C8" s="199"/>
      <c r="D8" s="199"/>
      <c r="E8" s="200"/>
      <c r="F8" s="200"/>
      <c r="G8" s="1627" t="s">
        <v>72</v>
      </c>
      <c r="H8" s="1628"/>
      <c r="I8" s="1628"/>
      <c r="J8" s="1628"/>
      <c r="K8" s="1629"/>
      <c r="L8" s="1621" t="s">
        <v>285</v>
      </c>
      <c r="M8" s="1622"/>
      <c r="N8" s="1622"/>
      <c r="O8" s="1622"/>
      <c r="P8" s="1623"/>
      <c r="Q8" s="1621" t="s">
        <v>73</v>
      </c>
      <c r="R8" s="1622"/>
      <c r="S8" s="1622"/>
      <c r="T8" s="1622"/>
      <c r="U8" s="1623"/>
      <c r="V8" s="1627" t="s">
        <v>74</v>
      </c>
      <c r="W8" s="1628"/>
      <c r="X8" s="1628"/>
      <c r="Y8" s="1628"/>
      <c r="Z8" s="1629"/>
      <c r="AA8" s="1627" t="s">
        <v>75</v>
      </c>
      <c r="AB8" s="1628"/>
      <c r="AC8" s="1628"/>
      <c r="AD8" s="1628"/>
      <c r="AE8" s="1629"/>
      <c r="AF8" s="1627" t="s">
        <v>291</v>
      </c>
      <c r="AG8" s="1628"/>
      <c r="AH8" s="1628"/>
      <c r="AI8" s="1628"/>
      <c r="AJ8" s="1629"/>
      <c r="AK8" s="1627" t="s">
        <v>273</v>
      </c>
      <c r="AL8" s="1628"/>
      <c r="AM8" s="1628"/>
      <c r="AN8" s="1628"/>
      <c r="AO8" s="1629"/>
      <c r="AP8" s="201"/>
      <c r="AQ8" s="1642" t="s">
        <v>78</v>
      </c>
      <c r="AR8" s="1643"/>
      <c r="AS8" s="1643"/>
      <c r="AT8" s="1643"/>
      <c r="AU8" s="1643"/>
      <c r="AV8" s="1643"/>
      <c r="AW8" s="1643"/>
      <c r="AX8" s="1643"/>
      <c r="AY8" s="1643"/>
      <c r="AZ8" s="1643"/>
      <c r="BA8" s="1643"/>
      <c r="BB8" s="1643"/>
      <c r="BC8" s="1644"/>
      <c r="BD8" s="1638" t="s">
        <v>301</v>
      </c>
      <c r="BE8" s="1639"/>
      <c r="BF8" s="202"/>
    </row>
    <row r="9" spans="1:58" ht="15" thickBot="1">
      <c r="A9" s="203"/>
      <c r="B9" s="204"/>
      <c r="C9" s="204"/>
      <c r="D9" s="204"/>
      <c r="E9" s="205"/>
      <c r="F9" s="205"/>
      <c r="G9" s="1630"/>
      <c r="H9" s="1631"/>
      <c r="I9" s="1631"/>
      <c r="J9" s="1631"/>
      <c r="K9" s="1632"/>
      <c r="L9" s="1624"/>
      <c r="M9" s="1625"/>
      <c r="N9" s="1625"/>
      <c r="O9" s="1625"/>
      <c r="P9" s="1626"/>
      <c r="Q9" s="1624"/>
      <c r="R9" s="1625"/>
      <c r="S9" s="1625"/>
      <c r="T9" s="1625"/>
      <c r="U9" s="1626"/>
      <c r="V9" s="1630"/>
      <c r="W9" s="1631"/>
      <c r="X9" s="1631"/>
      <c r="Y9" s="1631"/>
      <c r="Z9" s="1632"/>
      <c r="AA9" s="1630"/>
      <c r="AB9" s="1631"/>
      <c r="AC9" s="1631"/>
      <c r="AD9" s="1631"/>
      <c r="AE9" s="1632"/>
      <c r="AF9" s="1630"/>
      <c r="AG9" s="1631"/>
      <c r="AH9" s="1631"/>
      <c r="AI9" s="1631"/>
      <c r="AJ9" s="1632"/>
      <c r="AK9" s="1630"/>
      <c r="AL9" s="1631"/>
      <c r="AM9" s="1631"/>
      <c r="AN9" s="1631"/>
      <c r="AO9" s="1632"/>
      <c r="AP9" s="201"/>
      <c r="AQ9" s="1645"/>
      <c r="AR9" s="1646"/>
      <c r="AS9" s="1646"/>
      <c r="AT9" s="1646"/>
      <c r="AU9" s="1646"/>
      <c r="AV9" s="1646"/>
      <c r="AW9" s="1646"/>
      <c r="AX9" s="1646"/>
      <c r="AY9" s="1646"/>
      <c r="AZ9" s="1646"/>
      <c r="BA9" s="1646"/>
      <c r="BB9" s="1646"/>
      <c r="BC9" s="1647"/>
      <c r="BD9" s="1640"/>
      <c r="BE9" s="1641"/>
      <c r="BF9" s="206"/>
    </row>
    <row r="10" spans="1:58" ht="15" thickBot="1">
      <c r="A10" s="203"/>
      <c r="B10" s="204"/>
      <c r="C10" s="204"/>
      <c r="D10" s="204"/>
      <c r="E10" s="205"/>
      <c r="F10" s="207"/>
      <c r="G10" s="1619" t="s">
        <v>76</v>
      </c>
      <c r="H10" s="1620"/>
      <c r="I10" s="1619" t="s">
        <v>77</v>
      </c>
      <c r="J10" s="1620"/>
      <c r="K10" s="208" t="s">
        <v>78</v>
      </c>
      <c r="L10" s="1619" t="s">
        <v>76</v>
      </c>
      <c r="M10" s="1620"/>
      <c r="N10" s="1619" t="s">
        <v>77</v>
      </c>
      <c r="O10" s="1620"/>
      <c r="P10" s="208" t="s">
        <v>78</v>
      </c>
      <c r="Q10" s="1619" t="s">
        <v>76</v>
      </c>
      <c r="R10" s="1620"/>
      <c r="S10" s="1619" t="s">
        <v>77</v>
      </c>
      <c r="T10" s="1620"/>
      <c r="U10" s="208" t="s">
        <v>78</v>
      </c>
      <c r="V10" s="1619" t="s">
        <v>76</v>
      </c>
      <c r="W10" s="1620"/>
      <c r="X10" s="1619" t="s">
        <v>77</v>
      </c>
      <c r="Y10" s="1620"/>
      <c r="Z10" s="208" t="s">
        <v>78</v>
      </c>
      <c r="AA10" s="1619" t="s">
        <v>76</v>
      </c>
      <c r="AB10" s="1620"/>
      <c r="AC10" s="1619" t="s">
        <v>77</v>
      </c>
      <c r="AD10" s="1620"/>
      <c r="AE10" s="208" t="s">
        <v>78</v>
      </c>
      <c r="AF10" s="1619" t="s">
        <v>76</v>
      </c>
      <c r="AG10" s="1620"/>
      <c r="AH10" s="1619" t="s">
        <v>77</v>
      </c>
      <c r="AI10" s="1620"/>
      <c r="AJ10" s="208" t="s">
        <v>78</v>
      </c>
      <c r="AK10" s="1619" t="s">
        <v>76</v>
      </c>
      <c r="AL10" s="1620"/>
      <c r="AM10" s="1619" t="s">
        <v>77</v>
      </c>
      <c r="AN10" s="1620"/>
      <c r="AO10" s="208" t="s">
        <v>78</v>
      </c>
      <c r="AP10" s="209"/>
      <c r="AQ10" s="1619" t="s">
        <v>76</v>
      </c>
      <c r="AR10" s="1637"/>
      <c r="AS10" s="1637"/>
      <c r="AT10" s="1620"/>
      <c r="AU10" s="1619" t="s">
        <v>77</v>
      </c>
      <c r="AV10" s="1637"/>
      <c r="AW10" s="1637"/>
      <c r="AX10" s="210"/>
      <c r="AY10" s="1619" t="s">
        <v>78</v>
      </c>
      <c r="AZ10" s="1637"/>
      <c r="BA10" s="1637"/>
      <c r="BB10" s="1637"/>
      <c r="BC10" s="1620"/>
      <c r="BD10" s="1018"/>
      <c r="BE10" s="1018"/>
      <c r="BF10" s="211"/>
    </row>
    <row r="11" spans="1:58" ht="15" thickBot="1">
      <c r="A11" s="212"/>
      <c r="B11" s="213"/>
      <c r="C11" s="213"/>
      <c r="D11" s="213"/>
      <c r="E11" s="214"/>
      <c r="F11" s="215"/>
      <c r="G11" s="208" t="s">
        <v>100</v>
      </c>
      <c r="H11" s="208" t="s">
        <v>317</v>
      </c>
      <c r="I11" s="208" t="s">
        <v>100</v>
      </c>
      <c r="J11" s="208" t="s">
        <v>317</v>
      </c>
      <c r="K11" s="208"/>
      <c r="L11" s="208" t="s">
        <v>100</v>
      </c>
      <c r="M11" s="208" t="s">
        <v>317</v>
      </c>
      <c r="N11" s="208" t="s">
        <v>100</v>
      </c>
      <c r="O11" s="208" t="s">
        <v>317</v>
      </c>
      <c r="P11" s="208"/>
      <c r="Q11" s="208" t="s">
        <v>100</v>
      </c>
      <c r="R11" s="208" t="s">
        <v>317</v>
      </c>
      <c r="S11" s="208" t="s">
        <v>100</v>
      </c>
      <c r="T11" s="208" t="s">
        <v>317</v>
      </c>
      <c r="U11" s="208"/>
      <c r="V11" s="208" t="s">
        <v>100</v>
      </c>
      <c r="W11" s="208" t="s">
        <v>317</v>
      </c>
      <c r="X11" s="208" t="s">
        <v>100</v>
      </c>
      <c r="Y11" s="208" t="s">
        <v>317</v>
      </c>
      <c r="Z11" s="208"/>
      <c r="AA11" s="208" t="s">
        <v>100</v>
      </c>
      <c r="AB11" s="208" t="s">
        <v>317</v>
      </c>
      <c r="AC11" s="208" t="s">
        <v>100</v>
      </c>
      <c r="AD11" s="208" t="s">
        <v>317</v>
      </c>
      <c r="AE11" s="208"/>
      <c r="AF11" s="208" t="s">
        <v>100</v>
      </c>
      <c r="AG11" s="208" t="s">
        <v>317</v>
      </c>
      <c r="AH11" s="208" t="s">
        <v>100</v>
      </c>
      <c r="AI11" s="208" t="s">
        <v>317</v>
      </c>
      <c r="AJ11" s="208"/>
      <c r="AK11" s="208" t="s">
        <v>100</v>
      </c>
      <c r="AL11" s="208" t="s">
        <v>317</v>
      </c>
      <c r="AM11" s="208" t="s">
        <v>100</v>
      </c>
      <c r="AN11" s="208" t="s">
        <v>317</v>
      </c>
      <c r="AO11" s="208"/>
      <c r="AP11" s="209"/>
      <c r="AQ11" s="208" t="s">
        <v>100</v>
      </c>
      <c r="AR11" s="208" t="s">
        <v>277</v>
      </c>
      <c r="AS11" s="208" t="s">
        <v>317</v>
      </c>
      <c r="AT11" s="208" t="s">
        <v>277</v>
      </c>
      <c r="AU11" s="208" t="s">
        <v>100</v>
      </c>
      <c r="AV11" s="208" t="s">
        <v>277</v>
      </c>
      <c r="AW11" s="208" t="s">
        <v>317</v>
      </c>
      <c r="AX11" s="208" t="s">
        <v>277</v>
      </c>
      <c r="AY11" s="208" t="s">
        <v>100</v>
      </c>
      <c r="AZ11" s="208" t="s">
        <v>277</v>
      </c>
      <c r="BA11" s="208" t="s">
        <v>317</v>
      </c>
      <c r="BB11" s="208" t="s">
        <v>277</v>
      </c>
      <c r="BC11" s="208" t="s">
        <v>78</v>
      </c>
      <c r="BD11" s="1018" t="s">
        <v>100</v>
      </c>
      <c r="BE11" s="1018" t="s">
        <v>317</v>
      </c>
      <c r="BF11" s="211"/>
    </row>
    <row r="12" spans="1:58">
      <c r="A12" s="216"/>
      <c r="B12" s="217"/>
      <c r="C12" s="217"/>
      <c r="D12" s="218"/>
      <c r="E12" s="219"/>
      <c r="F12" s="219"/>
      <c r="G12" s="220"/>
      <c r="H12" s="220"/>
      <c r="I12" s="220"/>
      <c r="J12" s="220"/>
      <c r="K12" s="221"/>
      <c r="L12" s="220"/>
      <c r="M12" s="220"/>
      <c r="N12" s="220"/>
      <c r="O12" s="220"/>
      <c r="P12" s="221"/>
      <c r="Q12" s="220"/>
      <c r="R12" s="220"/>
      <c r="S12" s="220"/>
      <c r="T12" s="220"/>
      <c r="U12" s="221"/>
      <c r="V12" s="220"/>
      <c r="W12" s="220"/>
      <c r="X12" s="220"/>
      <c r="Y12" s="220"/>
      <c r="Z12" s="221"/>
      <c r="AA12" s="220"/>
      <c r="AB12" s="220"/>
      <c r="AC12" s="220"/>
      <c r="AD12" s="220"/>
      <c r="AE12" s="221"/>
      <c r="AF12" s="967"/>
      <c r="AG12" s="967"/>
      <c r="AH12" s="220"/>
      <c r="AI12" s="220"/>
      <c r="AJ12" s="221"/>
      <c r="AK12" s="967"/>
      <c r="AL12" s="967"/>
      <c r="AM12" s="220"/>
      <c r="AN12" s="220"/>
      <c r="AO12" s="221"/>
      <c r="AP12" s="222"/>
      <c r="AQ12" s="221"/>
      <c r="AR12" s="221"/>
      <c r="AS12" s="221"/>
      <c r="AT12" s="221"/>
      <c r="AU12" s="221"/>
      <c r="AV12" s="223"/>
      <c r="AW12" s="221"/>
      <c r="AX12" s="223"/>
      <c r="AY12" s="223"/>
      <c r="AZ12" s="223"/>
      <c r="BA12" s="223"/>
      <c r="BB12" s="223"/>
      <c r="BC12" s="221"/>
      <c r="BD12" s="1019"/>
      <c r="BE12" s="1019"/>
      <c r="BF12" s="211"/>
    </row>
    <row r="13" spans="1:58">
      <c r="A13" s="224"/>
      <c r="B13" s="225" t="s">
        <v>15</v>
      </c>
      <c r="C13" s="225" t="s">
        <v>91</v>
      </c>
      <c r="D13" s="225"/>
      <c r="E13" s="225"/>
      <c r="F13" s="225"/>
      <c r="G13" s="226">
        <f>SUM(G15,G17,G19)</f>
        <v>-601.80642006189908</v>
      </c>
      <c r="H13" s="226">
        <f>SUM(H15,H17,H19)</f>
        <v>3177.8495862878162</v>
      </c>
      <c r="I13" s="226">
        <f>SUM(I15,I17,I19)</f>
        <v>49957.646403912549</v>
      </c>
      <c r="J13" s="226">
        <f>SUM(J15,J17,J19)</f>
        <v>118031.47657694659</v>
      </c>
      <c r="K13" s="226">
        <f>SUM(G13:J13)</f>
        <v>170565.16614708505</v>
      </c>
      <c r="L13" s="226">
        <f>SUM(L15,L17,L19)</f>
        <v>0</v>
      </c>
      <c r="M13" s="226">
        <f>SUM(M15,M17,M19)</f>
        <v>0</v>
      </c>
      <c r="N13" s="226">
        <f>SUM(N15,N17,N19)</f>
        <v>0</v>
      </c>
      <c r="O13" s="226">
        <f>SUM(O15,O17,O19)</f>
        <v>0</v>
      </c>
      <c r="P13" s="226">
        <f>SUM(L13:O13)</f>
        <v>0</v>
      </c>
      <c r="Q13" s="226">
        <f>SUM(Q15,Q17,Q19)</f>
        <v>-155991.14323736393</v>
      </c>
      <c r="R13" s="226">
        <f>SUM(R15,R17,R19)</f>
        <v>570695.46469519357</v>
      </c>
      <c r="S13" s="226">
        <f>SUM(S15,S17,S19)</f>
        <v>2094799.6179585764</v>
      </c>
      <c r="T13" s="226">
        <f>SUM(T15,T17,T19)</f>
        <v>17061207.408254512</v>
      </c>
      <c r="U13" s="226">
        <f>SUM(Q13:T13)</f>
        <v>19570711.347670916</v>
      </c>
      <c r="V13" s="226">
        <f>SUM(V15,V17,V19)</f>
        <v>-8543.374781647155</v>
      </c>
      <c r="W13" s="226">
        <f>SUM(W15,W17,W19)</f>
        <v>23794.923209287321</v>
      </c>
      <c r="X13" s="226">
        <f>SUM(X15,X17,X19)</f>
        <v>-3896.0250815175532</v>
      </c>
      <c r="Y13" s="226">
        <f>SUM(Y15,Y17,Y19)</f>
        <v>542248.45549490862</v>
      </c>
      <c r="Z13" s="226">
        <f>SUM(V13:Y13)</f>
        <v>553603.9788410312</v>
      </c>
      <c r="AA13" s="226">
        <f>SUM(AA15,AA17,AA19)</f>
        <v>-41999.918860505553</v>
      </c>
      <c r="AB13" s="226">
        <f>SUM(AB15,AB17,AB19)</f>
        <v>121043.77752866829</v>
      </c>
      <c r="AC13" s="226">
        <f>SUM(AC15,AC17,AC19)</f>
        <v>13309596.691714501</v>
      </c>
      <c r="AD13" s="226">
        <f>SUM(AD15,AD17,AD19)</f>
        <v>73905144.425451666</v>
      </c>
      <c r="AE13" s="226">
        <f>SUM(AA13:AD13)</f>
        <v>87293784.975834325</v>
      </c>
      <c r="AF13" s="966"/>
      <c r="AG13" s="966"/>
      <c r="AH13" s="226">
        <f>SUM(AH15,AH17,AH19)</f>
        <v>1293527.2076509404</v>
      </c>
      <c r="AI13" s="226">
        <f>SUM(AI15,AI17,AI19)</f>
        <v>6280298.0019408343</v>
      </c>
      <c r="AJ13" s="226">
        <f>SUM(AF13:AI13)</f>
        <v>7573825.2095917743</v>
      </c>
      <c r="AK13" s="966"/>
      <c r="AL13" s="966"/>
      <c r="AM13" s="226">
        <f>SUM(AM15,AM17,AM19)</f>
        <v>-187.14709398433351</v>
      </c>
      <c r="AN13" s="226">
        <f>SUM(AN15,AN17,AN19)</f>
        <v>621.59495198426953</v>
      </c>
      <c r="AO13" s="226">
        <f>SUM(AK13:AN13)</f>
        <v>434.44785799993599</v>
      </c>
      <c r="AP13" s="227"/>
      <c r="AQ13" s="226">
        <f>SUM(AQ15,AQ17,AQ19)</f>
        <v>-207136.24329957855</v>
      </c>
      <c r="AR13" s="228">
        <f>AQ13/(AQ13+AS13)</f>
        <v>-0.40489846226143689</v>
      </c>
      <c r="AS13" s="226">
        <f>SUM(AS15,AS17,AS19)</f>
        <v>718712.01501943695</v>
      </c>
      <c r="AT13" s="228">
        <f>AS13/(AQ13+AS13)</f>
        <v>1.4048984622614369</v>
      </c>
      <c r="AU13" s="226">
        <f>SUM(AU15,AU17,AU19)</f>
        <v>16743797.991552433</v>
      </c>
      <c r="AV13" s="228">
        <f>AU13/(AU13+AW13)</f>
        <v>0.14604100244665513</v>
      </c>
      <c r="AW13" s="226">
        <f>SUM(AW15,AW17,AW19)</f>
        <v>97907551.362670854</v>
      </c>
      <c r="AX13" s="229">
        <f>AW13/(AU13+AW13)</f>
        <v>0.85395899755334492</v>
      </c>
      <c r="AY13" s="226">
        <f>SUM(AY15,AY17,AY19)</f>
        <v>16536661.748252854</v>
      </c>
      <c r="AZ13" s="228">
        <f>+AY13/BC13</f>
        <v>0.1435936238174588</v>
      </c>
      <c r="BA13" s="226">
        <f>SUM(BA15,BA17,BA19)</f>
        <v>98626263.3776903</v>
      </c>
      <c r="BB13" s="229">
        <f>+BA13/BC13</f>
        <v>0.85640637618254123</v>
      </c>
      <c r="BC13" s="226">
        <f>SUM(BC15,BC17,BC19)</f>
        <v>115162925.12594315</v>
      </c>
      <c r="BD13" s="1020">
        <f>+AY13-'T2'!F8</f>
        <v>1293527.2076509446</v>
      </c>
      <c r="BE13" s="1020">
        <f>+BA13-'T2'!H8</f>
        <v>6280298.0019408166</v>
      </c>
      <c r="BF13" s="211"/>
    </row>
    <row r="14" spans="1:58">
      <c r="A14" s="224"/>
      <c r="B14" s="230"/>
      <c r="C14" s="225"/>
      <c r="D14" s="225"/>
      <c r="E14" s="225"/>
      <c r="F14" s="225"/>
      <c r="G14" s="231"/>
      <c r="H14" s="231"/>
      <c r="I14" s="231"/>
      <c r="J14" s="231"/>
      <c r="K14" s="232"/>
      <c r="L14" s="231"/>
      <c r="M14" s="231"/>
      <c r="N14" s="231"/>
      <c r="O14" s="231"/>
      <c r="P14" s="232"/>
      <c r="Q14" s="231"/>
      <c r="R14" s="231"/>
      <c r="S14" s="231"/>
      <c r="T14" s="231"/>
      <c r="U14" s="232"/>
      <c r="V14" s="231"/>
      <c r="W14" s="231"/>
      <c r="X14" s="231"/>
      <c r="Y14" s="231"/>
      <c r="Z14" s="232"/>
      <c r="AA14" s="231"/>
      <c r="AB14" s="231"/>
      <c r="AC14" s="231"/>
      <c r="AD14" s="231"/>
      <c r="AE14" s="232"/>
      <c r="AF14" s="968"/>
      <c r="AG14" s="968"/>
      <c r="AH14" s="231"/>
      <c r="AI14" s="231"/>
      <c r="AJ14" s="232"/>
      <c r="AK14" s="968"/>
      <c r="AL14" s="968"/>
      <c r="AM14" s="231"/>
      <c r="AN14" s="231"/>
      <c r="AO14" s="232"/>
      <c r="AP14" s="222"/>
      <c r="AQ14" s="232"/>
      <c r="AR14" s="233"/>
      <c r="AS14" s="232"/>
      <c r="AT14" s="233"/>
      <c r="AU14" s="232"/>
      <c r="AV14" s="233"/>
      <c r="AW14" s="232"/>
      <c r="AX14" s="233"/>
      <c r="AY14" s="233"/>
      <c r="AZ14" s="233"/>
      <c r="BA14" s="233"/>
      <c r="BB14" s="233"/>
      <c r="BC14" s="232"/>
      <c r="BD14" s="1021"/>
      <c r="BE14" s="1021"/>
      <c r="BF14" s="211"/>
    </row>
    <row r="15" spans="1:58">
      <c r="A15" s="224"/>
      <c r="B15" s="225"/>
      <c r="C15" s="225" t="s">
        <v>79</v>
      </c>
      <c r="D15" s="225" t="s">
        <v>92</v>
      </c>
      <c r="E15" s="225"/>
      <c r="F15" s="225"/>
      <c r="G15" s="288">
        <v>0</v>
      </c>
      <c r="H15" s="288">
        <v>0</v>
      </c>
      <c r="I15" s="288">
        <v>41083.777600859205</v>
      </c>
      <c r="J15" s="288">
        <v>45309.593016351711</v>
      </c>
      <c r="K15" s="226">
        <f>SUM(G15:J15)</f>
        <v>86393.370617210923</v>
      </c>
      <c r="L15" s="288">
        <v>0</v>
      </c>
      <c r="M15" s="288">
        <v>0</v>
      </c>
      <c r="N15" s="288">
        <v>0</v>
      </c>
      <c r="O15" s="288">
        <v>0</v>
      </c>
      <c r="P15" s="226">
        <f>SUM(L15:O15)</f>
        <v>0</v>
      </c>
      <c r="Q15" s="288">
        <v>0</v>
      </c>
      <c r="R15" s="288">
        <v>0</v>
      </c>
      <c r="S15" s="288">
        <v>2655509.0431766603</v>
      </c>
      <c r="T15" s="288">
        <v>15023241.846318992</v>
      </c>
      <c r="U15" s="226">
        <f>SUM(Q15:T15)</f>
        <v>17678750.889495652</v>
      </c>
      <c r="V15" s="288">
        <v>0</v>
      </c>
      <c r="W15" s="288">
        <v>0</v>
      </c>
      <c r="X15" s="288">
        <v>53436.681819708065</v>
      </c>
      <c r="Y15" s="288">
        <v>375786.03252377006</v>
      </c>
      <c r="Z15" s="226">
        <f>SUM(V15:Y15)</f>
        <v>429222.71434347815</v>
      </c>
      <c r="AA15" s="288">
        <v>0</v>
      </c>
      <c r="AB15" s="288">
        <v>0</v>
      </c>
      <c r="AC15" s="288">
        <v>14464899.97051481</v>
      </c>
      <c r="AD15" s="288">
        <v>70223131.818982378</v>
      </c>
      <c r="AE15" s="226">
        <f>SUM(AA15:AD15)</f>
        <v>84688031.789497182</v>
      </c>
      <c r="AF15" s="969"/>
      <c r="AG15" s="969"/>
      <c r="AH15" s="288">
        <v>1287799.7973619506</v>
      </c>
      <c r="AI15" s="288">
        <v>6251915.6793995108</v>
      </c>
      <c r="AJ15" s="226">
        <f>SUM(AF15:AI15)</f>
        <v>7539715.4767614612</v>
      </c>
      <c r="AK15" s="969"/>
      <c r="AL15" s="969"/>
      <c r="AM15" s="288">
        <v>12.791618036330206</v>
      </c>
      <c r="AN15" s="288">
        <v>72.367131213245187</v>
      </c>
      <c r="AO15" s="226">
        <f>SUM(AK15:AN15)</f>
        <v>85.158749249575393</v>
      </c>
      <c r="AP15" s="227"/>
      <c r="AQ15" s="226">
        <f>SUM(G15,Q15,L15,V15,AA15,AK15,AF15)</f>
        <v>0</v>
      </c>
      <c r="AR15" s="228" t="e">
        <f>AQ15/(AQ15+AS15)</f>
        <v>#DIV/0!</v>
      </c>
      <c r="AS15" s="226">
        <f>SUM(H15,R15,M15,W15,AB15,AL15,AG15)</f>
        <v>0</v>
      </c>
      <c r="AT15" s="228" t="e">
        <f>AS15/(AQ15+AS15)</f>
        <v>#DIV/0!</v>
      </c>
      <c r="AU15" s="226">
        <f>SUM(I15,N15,S15,X15,AC15,AM15,AH15)</f>
        <v>18502742.062092029</v>
      </c>
      <c r="AV15" s="228">
        <f>AU15/(AU15+AW15)</f>
        <v>0.16756360734272605</v>
      </c>
      <c r="AW15" s="226">
        <f>SUM(J15,O15,T15,Y15,AD15,AN15,AI15)</f>
        <v>91919457.337372214</v>
      </c>
      <c r="AX15" s="228">
        <f>AW15/(AU15+AW15)</f>
        <v>0.83243639265727387</v>
      </c>
      <c r="AY15" s="1011">
        <f>+AQ15+AU15</f>
        <v>18502742.062092029</v>
      </c>
      <c r="AZ15" s="228">
        <f>+AY15/BC15</f>
        <v>0.16756360734272605</v>
      </c>
      <c r="BA15" s="1011">
        <f>+AS15+AW15</f>
        <v>91919457.337372214</v>
      </c>
      <c r="BB15" s="228">
        <f>+BA15/BC15</f>
        <v>0.83243639265727387</v>
      </c>
      <c r="BC15" s="226">
        <f>+AY15+BA15</f>
        <v>110422199.39946425</v>
      </c>
      <c r="BD15" s="1020">
        <f>+AY15-'T2'!F9</f>
        <v>1287799.797361955</v>
      </c>
      <c r="BE15" s="1020">
        <f>+BA15-'T2'!H9</f>
        <v>6251915.6793994904</v>
      </c>
      <c r="BF15" s="211"/>
    </row>
    <row r="16" spans="1:58">
      <c r="A16" s="224"/>
      <c r="B16" s="225"/>
      <c r="C16" s="225"/>
      <c r="D16" s="225"/>
      <c r="E16" s="225"/>
      <c r="F16" s="234"/>
      <c r="G16" s="235"/>
      <c r="H16" s="235"/>
      <c r="I16" s="235"/>
      <c r="J16" s="235"/>
      <c r="K16" s="236"/>
      <c r="L16" s="235"/>
      <c r="M16" s="235"/>
      <c r="N16" s="235"/>
      <c r="O16" s="235"/>
      <c r="P16" s="236"/>
      <c r="Q16" s="235"/>
      <c r="R16" s="235"/>
      <c r="S16" s="235"/>
      <c r="T16" s="235"/>
      <c r="U16" s="236"/>
      <c r="V16" s="235"/>
      <c r="W16" s="235"/>
      <c r="X16" s="235"/>
      <c r="Y16" s="235"/>
      <c r="Z16" s="236"/>
      <c r="AA16" s="235"/>
      <c r="AB16" s="235"/>
      <c r="AC16" s="235"/>
      <c r="AD16" s="235"/>
      <c r="AE16" s="236"/>
      <c r="AF16" s="970"/>
      <c r="AG16" s="970"/>
      <c r="AH16" s="235"/>
      <c r="AI16" s="235"/>
      <c r="AJ16" s="236"/>
      <c r="AK16" s="970"/>
      <c r="AL16" s="970"/>
      <c r="AM16" s="235"/>
      <c r="AN16" s="235"/>
      <c r="AO16" s="236"/>
      <c r="AP16" s="237"/>
      <c r="AQ16" s="236"/>
      <c r="AR16" s="228"/>
      <c r="AS16" s="236"/>
      <c r="AT16" s="228"/>
      <c r="AU16" s="236"/>
      <c r="AV16" s="228"/>
      <c r="AW16" s="236"/>
      <c r="AX16" s="228"/>
      <c r="AY16" s="228"/>
      <c r="AZ16" s="228"/>
      <c r="BA16" s="228"/>
      <c r="BB16" s="228"/>
      <c r="BC16" s="236"/>
      <c r="BD16" s="1022"/>
      <c r="BE16" s="1022"/>
      <c r="BF16" s="211"/>
    </row>
    <row r="17" spans="1:58">
      <c r="A17" s="224"/>
      <c r="B17" s="225"/>
      <c r="C17" s="225" t="s">
        <v>32</v>
      </c>
      <c r="D17" s="225" t="s">
        <v>94</v>
      </c>
      <c r="E17" s="225"/>
      <c r="F17" s="225"/>
      <c r="G17" s="288">
        <v>198.31051786989755</v>
      </c>
      <c r="H17" s="288">
        <v>982.73264835601969</v>
      </c>
      <c r="I17" s="288">
        <v>12607.747846735056</v>
      </c>
      <c r="J17" s="288">
        <v>62478.004516913148</v>
      </c>
      <c r="K17" s="226">
        <f>SUM(G17:J17)</f>
        <v>76266.795529874129</v>
      </c>
      <c r="L17" s="288">
        <v>0</v>
      </c>
      <c r="M17" s="288">
        <v>0</v>
      </c>
      <c r="N17" s="288">
        <v>0</v>
      </c>
      <c r="O17" s="288">
        <v>0</v>
      </c>
      <c r="P17" s="226">
        <f>SUM(L17:O17)</f>
        <v>0</v>
      </c>
      <c r="Q17" s="288">
        <v>18539.310808571736</v>
      </c>
      <c r="R17" s="288">
        <v>91872.010649257922</v>
      </c>
      <c r="S17" s="288">
        <v>64899.427528407403</v>
      </c>
      <c r="T17" s="288">
        <v>321610.70918902906</v>
      </c>
      <c r="U17" s="226">
        <f>SUM(Q17:T17)</f>
        <v>496921.45817526616</v>
      </c>
      <c r="V17" s="288">
        <v>46.26770040774651</v>
      </c>
      <c r="W17" s="288">
        <v>229.28072723241837</v>
      </c>
      <c r="X17" s="288">
        <v>1191.1152341212064</v>
      </c>
      <c r="Y17" s="288">
        <v>5902.6008357916553</v>
      </c>
      <c r="Z17" s="226">
        <f>SUM(V17:Y17)</f>
        <v>7369.2644975530266</v>
      </c>
      <c r="AA17" s="288">
        <v>755.57721203053791</v>
      </c>
      <c r="AB17" s="288">
        <v>3744.2814561321879</v>
      </c>
      <c r="AC17" s="288">
        <v>66559.598819305276</v>
      </c>
      <c r="AD17" s="288">
        <v>329837.72884967586</v>
      </c>
      <c r="AE17" s="226">
        <f>SUM(AA17:AD17)</f>
        <v>400897.18633714388</v>
      </c>
      <c r="AF17" s="969"/>
      <c r="AG17" s="969"/>
      <c r="AH17" s="288">
        <v>5727.4102889897013</v>
      </c>
      <c r="AI17" s="288">
        <v>28382.322541323672</v>
      </c>
      <c r="AJ17" s="226">
        <f>SUM(AF17:AI17)</f>
        <v>34109.732830313376</v>
      </c>
      <c r="AK17" s="969"/>
      <c r="AL17" s="969"/>
      <c r="AM17" s="288">
        <v>9.05224622854819E-2</v>
      </c>
      <c r="AN17" s="288">
        <v>0.44858628807515744</v>
      </c>
      <c r="AO17" s="226">
        <f>SUM(AK17:AN17)</f>
        <v>0.53910875036063932</v>
      </c>
      <c r="AP17" s="227"/>
      <c r="AQ17" s="226">
        <f>SUM(G17,Q17,L17,V17,AA17,AK17,AF17)</f>
        <v>19539.466238879915</v>
      </c>
      <c r="AR17" s="228">
        <f>AQ17/(AQ17+AS17)</f>
        <v>0.16791132072133211</v>
      </c>
      <c r="AS17" s="226">
        <f>SUM(H17,R17,M17,W17,AB17,AL17,AG17)</f>
        <v>96828.305480978539</v>
      </c>
      <c r="AT17" s="228">
        <f>AS17/(AQ17+AS17)</f>
        <v>0.83208867927866781</v>
      </c>
      <c r="AU17" s="226">
        <f>SUM(I17,N17,S17,X17,AC17,AM17,AH17)</f>
        <v>150985.39024002093</v>
      </c>
      <c r="AV17" s="228">
        <f>AU17/(AU17+AW17)</f>
        <v>0.16791132072133214</v>
      </c>
      <c r="AW17" s="226">
        <f>SUM(J17,O17,T17,Y17,AD17,AN17,AI17)</f>
        <v>748211.81451902154</v>
      </c>
      <c r="AX17" s="228">
        <f>AW17/(AU17+AW17)</f>
        <v>0.83208867927866792</v>
      </c>
      <c r="AY17" s="1011">
        <f>+AQ17+AU17</f>
        <v>170524.85647890085</v>
      </c>
      <c r="AZ17" s="228">
        <f>+AY17/BC17</f>
        <v>0.16791132072133211</v>
      </c>
      <c r="BA17" s="1011">
        <f>+AS17+AW17</f>
        <v>845040.12000000011</v>
      </c>
      <c r="BB17" s="228">
        <f>+BA17/BC17</f>
        <v>0.83208867927866781</v>
      </c>
      <c r="BC17" s="226">
        <f>+AY17+BA17</f>
        <v>1015564.976478901</v>
      </c>
      <c r="BD17" s="1020">
        <f>+AY17-'T2'!F36</f>
        <v>5727.4102889896894</v>
      </c>
      <c r="BE17" s="1020">
        <f>+BA17-'T2'!H36</f>
        <v>28382.322541323723</v>
      </c>
      <c r="BF17" s="51"/>
    </row>
    <row r="18" spans="1:58">
      <c r="A18" s="224"/>
      <c r="B18" s="225"/>
      <c r="C18" s="225"/>
      <c r="D18" s="225"/>
      <c r="E18" s="225"/>
      <c r="F18" s="225"/>
      <c r="G18" s="235"/>
      <c r="H18" s="235"/>
      <c r="I18" s="235"/>
      <c r="J18" s="235"/>
      <c r="K18" s="232"/>
      <c r="L18" s="235"/>
      <c r="M18" s="235"/>
      <c r="N18" s="235"/>
      <c r="O18" s="235"/>
      <c r="P18" s="232"/>
      <c r="Q18" s="235"/>
      <c r="R18" s="235"/>
      <c r="S18" s="235"/>
      <c r="T18" s="235"/>
      <c r="U18" s="232"/>
      <c r="V18" s="235"/>
      <c r="W18" s="235"/>
      <c r="X18" s="235"/>
      <c r="Y18" s="235"/>
      <c r="Z18" s="232"/>
      <c r="AA18" s="235"/>
      <c r="AB18" s="235"/>
      <c r="AC18" s="235"/>
      <c r="AD18" s="235"/>
      <c r="AE18" s="232"/>
      <c r="AF18" s="970"/>
      <c r="AG18" s="970"/>
      <c r="AH18" s="235"/>
      <c r="AI18" s="235"/>
      <c r="AJ18" s="232"/>
      <c r="AK18" s="970"/>
      <c r="AL18" s="970"/>
      <c r="AM18" s="235"/>
      <c r="AN18" s="235"/>
      <c r="AO18" s="232"/>
      <c r="AP18" s="222"/>
      <c r="AQ18" s="232"/>
      <c r="AR18" s="233"/>
      <c r="AS18" s="232"/>
      <c r="AT18" s="233"/>
      <c r="AU18" s="232"/>
      <c r="AV18" s="233"/>
      <c r="AW18" s="232"/>
      <c r="AX18" s="233"/>
      <c r="AY18" s="233"/>
      <c r="AZ18" s="233"/>
      <c r="BA18" s="233"/>
      <c r="BB18" s="233"/>
      <c r="BC18" s="232"/>
      <c r="BD18" s="1021"/>
      <c r="BE18" s="1021"/>
      <c r="BF18" s="51"/>
    </row>
    <row r="19" spans="1:58">
      <c r="A19" s="224"/>
      <c r="B19" s="225"/>
      <c r="C19" s="225" t="s">
        <v>34</v>
      </c>
      <c r="D19" s="225" t="s">
        <v>93</v>
      </c>
      <c r="E19" s="234"/>
      <c r="F19" s="234"/>
      <c r="G19" s="288">
        <v>-800.11693793179666</v>
      </c>
      <c r="H19" s="288">
        <v>2195.1169379317967</v>
      </c>
      <c r="I19" s="288">
        <v>-3733.8790436817176</v>
      </c>
      <c r="J19" s="288">
        <v>10243.879043681716</v>
      </c>
      <c r="K19" s="226">
        <f>SUM(G19:J19)</f>
        <v>7904.9999999999982</v>
      </c>
      <c r="L19" s="288">
        <v>0</v>
      </c>
      <c r="M19" s="288">
        <v>0</v>
      </c>
      <c r="N19" s="288">
        <v>0</v>
      </c>
      <c r="O19" s="288">
        <v>0</v>
      </c>
      <c r="P19" s="226">
        <f>SUM(L19:O19)</f>
        <v>0</v>
      </c>
      <c r="Q19" s="288">
        <v>-174530.45404593565</v>
      </c>
      <c r="R19" s="288">
        <v>478823.45404593559</v>
      </c>
      <c r="S19" s="288">
        <v>-625608.85274649144</v>
      </c>
      <c r="T19" s="288">
        <v>1716354.8527464911</v>
      </c>
      <c r="U19" s="226">
        <f>SUM(Q19:T19)</f>
        <v>1395038.9999999995</v>
      </c>
      <c r="V19" s="288">
        <v>-8589.6424820549018</v>
      </c>
      <c r="W19" s="288">
        <v>23565.642482054904</v>
      </c>
      <c r="X19" s="288">
        <v>-58523.822135346825</v>
      </c>
      <c r="Y19" s="288">
        <v>160559.82213534685</v>
      </c>
      <c r="Z19" s="226">
        <f>SUM(V19:Y19)</f>
        <v>117012.00000000003</v>
      </c>
      <c r="AA19" s="288">
        <v>-42755.496072536094</v>
      </c>
      <c r="AB19" s="288">
        <v>117299.4960725361</v>
      </c>
      <c r="AC19" s="288">
        <v>-1221862.8776196141</v>
      </c>
      <c r="AD19" s="288">
        <v>3352174.8776196144</v>
      </c>
      <c r="AE19" s="226">
        <f>SUM(AA19:AD19)</f>
        <v>2204856</v>
      </c>
      <c r="AF19" s="969"/>
      <c r="AG19" s="969"/>
      <c r="AH19" s="969"/>
      <c r="AI19" s="969"/>
      <c r="AJ19" s="966"/>
      <c r="AK19" s="969"/>
      <c r="AL19" s="969"/>
      <c r="AM19" s="288">
        <v>-200.02923448294919</v>
      </c>
      <c r="AN19" s="288">
        <v>548.77923448294916</v>
      </c>
      <c r="AO19" s="226">
        <f>SUM(AK19:AN19)</f>
        <v>348.75</v>
      </c>
      <c r="AP19" s="227"/>
      <c r="AQ19" s="226">
        <f>SUM(G19,Q19,L19,V19,AA19,AK19,AF19)</f>
        <v>-226675.70953845847</v>
      </c>
      <c r="AR19" s="228">
        <f>AQ19/(AQ19+AS19)</f>
        <v>-0.57356052898336707</v>
      </c>
      <c r="AS19" s="226">
        <f>SUM(H19,R19,M19,W19,AB19,AL19,AG19)</f>
        <v>621883.70953845838</v>
      </c>
      <c r="AT19" s="228">
        <f>AS19/(AQ19+AS19)</f>
        <v>1.5735605289833672</v>
      </c>
      <c r="AU19" s="226">
        <f>SUM(I19,N19,S19,X19,AC19,AM19,AH19)</f>
        <v>-1909929.4607796171</v>
      </c>
      <c r="AV19" s="228">
        <f>AU19/(AU19+AW19)</f>
        <v>-0.57356052898336674</v>
      </c>
      <c r="AW19" s="226">
        <f>SUM(J19,O19,T19,Y19,AD19,AN19,AI19)</f>
        <v>5239882.2107796175</v>
      </c>
      <c r="AX19" s="228">
        <f>AW19/(AU19+AW19)</f>
        <v>1.5735605289833667</v>
      </c>
      <c r="AY19" s="1011">
        <f>+AQ19+AU19</f>
        <v>-2136605.1703180755</v>
      </c>
      <c r="AZ19" s="228">
        <f>+AY19/BC19</f>
        <v>-0.57356052898336662</v>
      </c>
      <c r="BA19" s="1011">
        <f>+AS19+AW19</f>
        <v>5861765.9203180764</v>
      </c>
      <c r="BB19" s="228">
        <f>+BA19/BC19</f>
        <v>1.5735605289833667</v>
      </c>
      <c r="BC19" s="226">
        <f>+AY19+BA19</f>
        <v>3725160.7500000009</v>
      </c>
      <c r="BD19" s="1020">
        <f>+AY19-'T2'!F39</f>
        <v>0</v>
      </c>
      <c r="BE19" s="1020">
        <f>+BA19-'T2'!H39</f>
        <v>0</v>
      </c>
      <c r="BF19" s="51"/>
    </row>
    <row r="20" spans="1:58">
      <c r="A20" s="224"/>
      <c r="B20" s="225"/>
      <c r="C20" s="225"/>
      <c r="D20" s="225"/>
      <c r="E20" s="234"/>
      <c r="F20" s="234"/>
      <c r="G20" s="235"/>
      <c r="H20" s="235"/>
      <c r="I20" s="235"/>
      <c r="J20" s="235"/>
      <c r="K20" s="236"/>
      <c r="L20" s="235"/>
      <c r="M20" s="235"/>
      <c r="N20" s="235"/>
      <c r="O20" s="235"/>
      <c r="P20" s="236"/>
      <c r="Q20" s="235"/>
      <c r="R20" s="235"/>
      <c r="S20" s="235"/>
      <c r="T20" s="235"/>
      <c r="U20" s="236"/>
      <c r="V20" s="235"/>
      <c r="W20" s="235"/>
      <c r="X20" s="235"/>
      <c r="Y20" s="235"/>
      <c r="Z20" s="236"/>
      <c r="AA20" s="235"/>
      <c r="AB20" s="235"/>
      <c r="AC20" s="235"/>
      <c r="AD20" s="235"/>
      <c r="AE20" s="236"/>
      <c r="AF20" s="970"/>
      <c r="AG20" s="970"/>
      <c r="AH20" s="235"/>
      <c r="AI20" s="235"/>
      <c r="AJ20" s="236"/>
      <c r="AK20" s="970"/>
      <c r="AL20" s="970"/>
      <c r="AM20" s="235"/>
      <c r="AN20" s="235"/>
      <c r="AO20" s="236"/>
      <c r="AP20" s="237"/>
      <c r="AQ20" s="236"/>
      <c r="AR20" s="228"/>
      <c r="AS20" s="236"/>
      <c r="AT20" s="228"/>
      <c r="AU20" s="236"/>
      <c r="AV20" s="228"/>
      <c r="AW20" s="236"/>
      <c r="AX20" s="228"/>
      <c r="AY20" s="228"/>
      <c r="AZ20" s="228"/>
      <c r="BA20" s="228"/>
      <c r="BB20" s="228"/>
      <c r="BC20" s="236"/>
      <c r="BD20" s="1022"/>
      <c r="BE20" s="1022"/>
      <c r="BF20" s="51"/>
    </row>
    <row r="21" spans="1:58">
      <c r="A21" s="224"/>
      <c r="B21" s="225"/>
      <c r="C21" s="225"/>
      <c r="D21" s="225"/>
      <c r="E21" s="234"/>
      <c r="F21" s="234"/>
      <c r="G21" s="235"/>
      <c r="H21" s="235"/>
      <c r="I21" s="235"/>
      <c r="J21" s="235"/>
      <c r="K21" s="236"/>
      <c r="L21" s="235"/>
      <c r="M21" s="235"/>
      <c r="N21" s="235"/>
      <c r="O21" s="235"/>
      <c r="P21" s="236"/>
      <c r="Q21" s="235"/>
      <c r="R21" s="235"/>
      <c r="S21" s="235"/>
      <c r="T21" s="235"/>
      <c r="U21" s="236"/>
      <c r="V21" s="235"/>
      <c r="W21" s="235"/>
      <c r="X21" s="235"/>
      <c r="Y21" s="235"/>
      <c r="Z21" s="236"/>
      <c r="AA21" s="235"/>
      <c r="AB21" s="235"/>
      <c r="AC21" s="235"/>
      <c r="AD21" s="235"/>
      <c r="AE21" s="236"/>
      <c r="AF21" s="970"/>
      <c r="AG21" s="970"/>
      <c r="AH21" s="235"/>
      <c r="AI21" s="235"/>
      <c r="AJ21" s="236"/>
      <c r="AK21" s="970"/>
      <c r="AL21" s="970"/>
      <c r="AM21" s="235"/>
      <c r="AN21" s="235"/>
      <c r="AO21" s="236"/>
      <c r="AP21" s="237"/>
      <c r="AQ21" s="236"/>
      <c r="AR21" s="228"/>
      <c r="AS21" s="236"/>
      <c r="AT21" s="228"/>
      <c r="AU21" s="236"/>
      <c r="AV21" s="228"/>
      <c r="AW21" s="236"/>
      <c r="AX21" s="228"/>
      <c r="AY21" s="228"/>
      <c r="AZ21" s="228"/>
      <c r="BA21" s="228"/>
      <c r="BB21" s="228"/>
      <c r="BC21" s="236"/>
      <c r="BD21" s="1022"/>
      <c r="BE21" s="1022"/>
      <c r="BF21" s="51"/>
    </row>
    <row r="22" spans="1:58">
      <c r="A22" s="224"/>
      <c r="B22" s="225" t="s">
        <v>39</v>
      </c>
      <c r="C22" s="225" t="s">
        <v>80</v>
      </c>
      <c r="D22" s="225"/>
      <c r="E22" s="225"/>
      <c r="F22" s="225"/>
      <c r="G22" s="226">
        <f>SUM(G24:G32)</f>
        <v>0</v>
      </c>
      <c r="H22" s="226">
        <f>SUM(H24:H32)</f>
        <v>0</v>
      </c>
      <c r="I22" s="226">
        <f>SUM(I24:I32)</f>
        <v>87094.362423016297</v>
      </c>
      <c r="J22" s="226">
        <f>SUM(J24:J32)</f>
        <v>1206.3770432375914</v>
      </c>
      <c r="K22" s="226">
        <f>SUM(G22:J22)</f>
        <v>88300.739466253886</v>
      </c>
      <c r="L22" s="226">
        <f>SUM(L24:L32)</f>
        <v>0</v>
      </c>
      <c r="M22" s="226">
        <f>SUM(M24:M32)</f>
        <v>0</v>
      </c>
      <c r="N22" s="226">
        <f>SUM(N24:N32)</f>
        <v>0</v>
      </c>
      <c r="O22" s="226">
        <f>SUM(O24:O32)</f>
        <v>0</v>
      </c>
      <c r="P22" s="226">
        <f>SUM(L22:O22)</f>
        <v>0</v>
      </c>
      <c r="Q22" s="226">
        <f>SUM(Q24:Q32)</f>
        <v>0</v>
      </c>
      <c r="R22" s="226">
        <f>SUM(R24:R32)</f>
        <v>0</v>
      </c>
      <c r="S22" s="226">
        <f>SUM(S24:S32)</f>
        <v>11852401.257669723</v>
      </c>
      <c r="T22" s="226">
        <f>SUM(T24:T32)</f>
        <v>648755.79011670919</v>
      </c>
      <c r="U22" s="226">
        <f>SUM(Q22:T22)</f>
        <v>12501157.047786431</v>
      </c>
      <c r="V22" s="226">
        <f>SUM(V24:V32)</f>
        <v>0</v>
      </c>
      <c r="W22" s="226">
        <f>SUM(W24:W32)</f>
        <v>0</v>
      </c>
      <c r="X22" s="226">
        <f>SUM(X24:X32)</f>
        <v>389775.8263393956</v>
      </c>
      <c r="Y22" s="226">
        <f>SUM(Y24:Y32)</f>
        <v>17424.634410734056</v>
      </c>
      <c r="Z22" s="226">
        <f>SUM(V22:Y22)</f>
        <v>407200.46075012966</v>
      </c>
      <c r="AA22" s="226">
        <f>SUM(AA24:AA32)</f>
        <v>0</v>
      </c>
      <c r="AB22" s="226">
        <f>SUM(AB24:AB32)</f>
        <v>0</v>
      </c>
      <c r="AC22" s="226">
        <f>SUM(AC24:AC32)</f>
        <v>78820723.580532804</v>
      </c>
      <c r="AD22" s="226">
        <f>SUM(AD24:AD32)</f>
        <v>5207130.0109787714</v>
      </c>
      <c r="AE22" s="226">
        <f>SUM(AA22:AD22)</f>
        <v>84027853.591511577</v>
      </c>
      <c r="AF22" s="966"/>
      <c r="AG22" s="966"/>
      <c r="AH22" s="226">
        <f>SUM(AH24:AH32)</f>
        <v>6967948.5519953156</v>
      </c>
      <c r="AI22" s="226">
        <f>SUM(AI24:AI32)</f>
        <v>460323.2801203577</v>
      </c>
      <c r="AJ22" s="226">
        <f>SUM(AF22:AI22)</f>
        <v>7428271.8321156735</v>
      </c>
      <c r="AK22" s="966"/>
      <c r="AL22" s="966"/>
      <c r="AM22" s="226">
        <f>SUM(AM24:AM32)</f>
        <v>16.868720209407591</v>
      </c>
      <c r="AN22" s="226">
        <f>SUM(AN24:AN32)</f>
        <v>0.92333019021189766</v>
      </c>
      <c r="AO22" s="226">
        <f>SUM(AK22:AN22)</f>
        <v>17.792050399619487</v>
      </c>
      <c r="AP22" s="227"/>
      <c r="AQ22" s="226">
        <f>SUM(AQ24:AQ32)</f>
        <v>0</v>
      </c>
      <c r="AR22" s="228" t="e">
        <f>AQ22/(AQ22+AS22)</f>
        <v>#DIV/0!</v>
      </c>
      <c r="AS22" s="226">
        <f>SUM(AS24:AS32)</f>
        <v>0</v>
      </c>
      <c r="AT22" s="228" t="e">
        <f>AS22/(AQ22+AS22)</f>
        <v>#DIV/0!</v>
      </c>
      <c r="AU22" s="226">
        <f>SUM(AU24:AU32)</f>
        <v>98117960.447680458</v>
      </c>
      <c r="AV22" s="228">
        <f>AU22/(AU22+AW22)</f>
        <v>0.93935211954843834</v>
      </c>
      <c r="AW22" s="226">
        <f>SUM(AW24:AW32)</f>
        <v>6334841.0160000008</v>
      </c>
      <c r="AX22" s="228">
        <f>AW22/(AU22+AW22)</f>
        <v>6.0647880451561692E-2</v>
      </c>
      <c r="AY22" s="226">
        <f>SUM(AY24:AY32)</f>
        <v>98117960.447680458</v>
      </c>
      <c r="AZ22" s="229">
        <f>+AY22/BC22</f>
        <v>0.93935211954843834</v>
      </c>
      <c r="BA22" s="226">
        <f>SUM(BA24:BA32)</f>
        <v>6334841.0160000008</v>
      </c>
      <c r="BB22" s="229">
        <f>+BA22/BC22</f>
        <v>6.0647880451561692E-2</v>
      </c>
      <c r="BC22" s="226">
        <f>SUM(BC24:BC32)</f>
        <v>104452801.46368046</v>
      </c>
      <c r="BD22" s="1020">
        <f>+AY22-'T2'!F44</f>
        <v>6967948.551995337</v>
      </c>
      <c r="BE22" s="1020">
        <f>+BA22-'T2'!H44</f>
        <v>460323.2801203588</v>
      </c>
      <c r="BF22" s="51"/>
    </row>
    <row r="23" spans="1:58">
      <c r="A23" s="224"/>
      <c r="B23" s="225"/>
      <c r="C23" s="225"/>
      <c r="D23" s="225"/>
      <c r="E23" s="225"/>
      <c r="F23" s="225"/>
      <c r="G23" s="231"/>
      <c r="H23" s="231"/>
      <c r="I23" s="231"/>
      <c r="J23" s="231"/>
      <c r="K23" s="232"/>
      <c r="L23" s="231"/>
      <c r="M23" s="231"/>
      <c r="N23" s="231"/>
      <c r="O23" s="231"/>
      <c r="P23" s="232"/>
      <c r="Q23" s="231"/>
      <c r="R23" s="231"/>
      <c r="S23" s="231"/>
      <c r="T23" s="231"/>
      <c r="U23" s="232"/>
      <c r="V23" s="231"/>
      <c r="W23" s="231"/>
      <c r="X23" s="231"/>
      <c r="Y23" s="231"/>
      <c r="Z23" s="232"/>
      <c r="AA23" s="231"/>
      <c r="AB23" s="231"/>
      <c r="AC23" s="231"/>
      <c r="AD23" s="231"/>
      <c r="AE23" s="232"/>
      <c r="AF23" s="968"/>
      <c r="AG23" s="968"/>
      <c r="AH23" s="231"/>
      <c r="AI23" s="231"/>
      <c r="AJ23" s="232"/>
      <c r="AK23" s="968"/>
      <c r="AL23" s="968"/>
      <c r="AM23" s="231"/>
      <c r="AN23" s="231"/>
      <c r="AO23" s="232"/>
      <c r="AP23" s="222"/>
      <c r="AQ23" s="232"/>
      <c r="AR23" s="233"/>
      <c r="AS23" s="232"/>
      <c r="AT23" s="233"/>
      <c r="AU23" s="232"/>
      <c r="AV23" s="233"/>
      <c r="AW23" s="232"/>
      <c r="AX23" s="233"/>
      <c r="AY23" s="233"/>
      <c r="AZ23" s="233"/>
      <c r="BA23" s="233"/>
      <c r="BB23" s="233"/>
      <c r="BC23" s="232"/>
      <c r="BD23" s="1021"/>
      <c r="BE23" s="1021"/>
      <c r="BF23" s="51"/>
    </row>
    <row r="24" spans="1:58">
      <c r="A24" s="224"/>
      <c r="B24" s="225"/>
      <c r="C24" s="225"/>
      <c r="D24" s="225" t="s">
        <v>63</v>
      </c>
      <c r="E24" s="225"/>
      <c r="F24" s="225"/>
      <c r="G24" s="288">
        <v>0</v>
      </c>
      <c r="H24" s="288">
        <v>0</v>
      </c>
      <c r="I24" s="288">
        <v>0</v>
      </c>
      <c r="J24" s="288">
        <v>0</v>
      </c>
      <c r="K24" s="226">
        <f t="shared" ref="K24:K32" si="0">SUM(G24:J24)</f>
        <v>0</v>
      </c>
      <c r="L24" s="288">
        <v>0</v>
      </c>
      <c r="M24" s="288">
        <v>0</v>
      </c>
      <c r="N24" s="288">
        <v>0</v>
      </c>
      <c r="O24" s="288">
        <v>0</v>
      </c>
      <c r="P24" s="226">
        <f t="shared" ref="P24:P32" si="1">SUM(L24:O24)</f>
        <v>0</v>
      </c>
      <c r="Q24" s="288">
        <v>0</v>
      </c>
      <c r="R24" s="288">
        <v>0</v>
      </c>
      <c r="S24" s="288">
        <v>0</v>
      </c>
      <c r="T24" s="288">
        <v>0</v>
      </c>
      <c r="U24" s="226">
        <f t="shared" ref="U24:U31" si="2">SUM(Q24:T24)</f>
        <v>0</v>
      </c>
      <c r="V24" s="288">
        <v>0</v>
      </c>
      <c r="W24" s="288">
        <v>0</v>
      </c>
      <c r="X24" s="288">
        <v>0</v>
      </c>
      <c r="Y24" s="288">
        <v>0</v>
      </c>
      <c r="Z24" s="226">
        <f t="shared" ref="Z24:Z31" si="3">SUM(V24:Y24)</f>
        <v>0</v>
      </c>
      <c r="AA24" s="288">
        <v>0</v>
      </c>
      <c r="AB24" s="288">
        <v>0</v>
      </c>
      <c r="AC24" s="288">
        <v>0</v>
      </c>
      <c r="AD24" s="288">
        <v>0</v>
      </c>
      <c r="AE24" s="226">
        <f t="shared" ref="AE24:AE31" si="4">SUM(AA24:AD24)</f>
        <v>0</v>
      </c>
      <c r="AF24" s="969"/>
      <c r="AG24" s="969"/>
      <c r="AH24" s="288">
        <v>0</v>
      </c>
      <c r="AI24" s="288">
        <v>0</v>
      </c>
      <c r="AJ24" s="226">
        <f t="shared" ref="AJ24:AJ31" si="5">SUM(AF24:AI24)</f>
        <v>0</v>
      </c>
      <c r="AK24" s="969"/>
      <c r="AL24" s="969"/>
      <c r="AM24" s="288">
        <v>0</v>
      </c>
      <c r="AN24" s="288">
        <v>0</v>
      </c>
      <c r="AO24" s="226">
        <f>SUM(AK24:AN24)</f>
        <v>0</v>
      </c>
      <c r="AP24" s="227"/>
      <c r="AQ24" s="226">
        <f t="shared" ref="AQ24:AQ31" si="6">SUM(G24,Q24,L24,V24,AA24,AK24,AF24)</f>
        <v>0</v>
      </c>
      <c r="AR24" s="228" t="e">
        <f t="shared" ref="AR24:AR31" si="7">AQ24/(AQ24+AS24)</f>
        <v>#DIV/0!</v>
      </c>
      <c r="AS24" s="226">
        <f t="shared" ref="AS24:AS31" si="8">SUM(H24,R24,M24,W24,AB24,AL24,AG24)</f>
        <v>0</v>
      </c>
      <c r="AT24" s="228" t="e">
        <f t="shared" ref="AT24:AT31" si="9">AS24/(AQ24+AS24)</f>
        <v>#DIV/0!</v>
      </c>
      <c r="AU24" s="226">
        <f t="shared" ref="AU24:AU31" si="10">SUM(I24,N24,S24,X24,AC24,AM24,AH24)</f>
        <v>0</v>
      </c>
      <c r="AV24" s="228" t="e">
        <f t="shared" ref="AV24:AV31" si="11">AU24/(AU24+AW24)</f>
        <v>#DIV/0!</v>
      </c>
      <c r="AW24" s="226">
        <f t="shared" ref="AW24:AW31" si="12">SUM(J24,O24,T24,Y24,AD24,AN24,AI24)</f>
        <v>0</v>
      </c>
      <c r="AX24" s="228" t="e">
        <f t="shared" ref="AX24:AX31" si="13">AW24/(AU24+AW24)</f>
        <v>#DIV/0!</v>
      </c>
      <c r="AY24" s="1011">
        <f t="shared" ref="AY24:AY31" si="14">+AQ24+AU24</f>
        <v>0</v>
      </c>
      <c r="AZ24" s="228" t="e">
        <f t="shared" ref="AZ24:AZ31" si="15">+AY24/BC24</f>
        <v>#DIV/0!</v>
      </c>
      <c r="BA24" s="1011">
        <f t="shared" ref="BA24:BA31" si="16">+AS24+AW24</f>
        <v>0</v>
      </c>
      <c r="BB24" s="228" t="e">
        <f t="shared" ref="BB24:BB31" si="17">+BA24/BC24</f>
        <v>#DIV/0!</v>
      </c>
      <c r="BC24" s="226">
        <f t="shared" ref="BC24:BC31" si="18">+AY24+BA24</f>
        <v>0</v>
      </c>
      <c r="BD24" s="1020">
        <f>+AY24-'T2'!F45</f>
        <v>0</v>
      </c>
      <c r="BE24" s="1020">
        <f>+BA24-'T2'!H45</f>
        <v>0</v>
      </c>
      <c r="BF24" s="51"/>
    </row>
    <row r="25" spans="1:58">
      <c r="A25" s="224"/>
      <c r="B25" s="225"/>
      <c r="C25" s="225"/>
      <c r="D25" s="225" t="s">
        <v>64</v>
      </c>
      <c r="E25" s="234"/>
      <c r="F25" s="234"/>
      <c r="G25" s="288"/>
      <c r="H25" s="288">
        <v>0</v>
      </c>
      <c r="I25" s="288">
        <v>0</v>
      </c>
      <c r="J25" s="288">
        <v>0</v>
      </c>
      <c r="K25" s="226">
        <f t="shared" si="0"/>
        <v>0</v>
      </c>
      <c r="L25" s="288">
        <v>0</v>
      </c>
      <c r="M25" s="288">
        <v>0</v>
      </c>
      <c r="N25" s="288">
        <v>0</v>
      </c>
      <c r="O25" s="288">
        <v>0</v>
      </c>
      <c r="P25" s="226">
        <f t="shared" si="1"/>
        <v>0</v>
      </c>
      <c r="Q25" s="288">
        <v>0</v>
      </c>
      <c r="R25" s="288">
        <v>0</v>
      </c>
      <c r="S25" s="288">
        <v>0</v>
      </c>
      <c r="T25" s="288">
        <v>0</v>
      </c>
      <c r="U25" s="226">
        <f t="shared" si="2"/>
        <v>0</v>
      </c>
      <c r="V25" s="288">
        <v>0</v>
      </c>
      <c r="W25" s="288">
        <v>0</v>
      </c>
      <c r="X25" s="288">
        <v>0</v>
      </c>
      <c r="Y25" s="288">
        <v>0</v>
      </c>
      <c r="Z25" s="226">
        <f t="shared" si="3"/>
        <v>0</v>
      </c>
      <c r="AA25" s="288">
        <v>0</v>
      </c>
      <c r="AB25" s="288">
        <v>0</v>
      </c>
      <c r="AC25" s="288">
        <v>0</v>
      </c>
      <c r="AD25" s="288">
        <v>2890790.0459890882</v>
      </c>
      <c r="AE25" s="226">
        <f t="shared" si="4"/>
        <v>2890790.0459890882</v>
      </c>
      <c r="AF25" s="969"/>
      <c r="AG25" s="969"/>
      <c r="AH25" s="288">
        <v>0</v>
      </c>
      <c r="AI25" s="288">
        <v>255553.05001091163</v>
      </c>
      <c r="AJ25" s="226">
        <f t="shared" si="5"/>
        <v>255553.05001091163</v>
      </c>
      <c r="AK25" s="969"/>
      <c r="AL25" s="969"/>
      <c r="AM25" s="288">
        <v>0</v>
      </c>
      <c r="AN25" s="288">
        <v>0</v>
      </c>
      <c r="AO25" s="226">
        <f t="shared" ref="AO25:AO31" si="19">SUM(AK25:AN25)</f>
        <v>0</v>
      </c>
      <c r="AP25" s="227"/>
      <c r="AQ25" s="226">
        <f t="shared" si="6"/>
        <v>0</v>
      </c>
      <c r="AR25" s="228" t="e">
        <f t="shared" si="7"/>
        <v>#DIV/0!</v>
      </c>
      <c r="AS25" s="226">
        <f t="shared" si="8"/>
        <v>0</v>
      </c>
      <c r="AT25" s="228" t="e">
        <f t="shared" si="9"/>
        <v>#DIV/0!</v>
      </c>
      <c r="AU25" s="226">
        <f t="shared" si="10"/>
        <v>0</v>
      </c>
      <c r="AV25" s="228">
        <f t="shared" si="11"/>
        <v>0</v>
      </c>
      <c r="AW25" s="226">
        <f t="shared" si="12"/>
        <v>3146343.0959999999</v>
      </c>
      <c r="AX25" s="228">
        <f t="shared" si="13"/>
        <v>1</v>
      </c>
      <c r="AY25" s="1011">
        <f t="shared" si="14"/>
        <v>0</v>
      </c>
      <c r="AZ25" s="228">
        <f t="shared" si="15"/>
        <v>0</v>
      </c>
      <c r="BA25" s="1011">
        <f t="shared" si="16"/>
        <v>3146343.0959999999</v>
      </c>
      <c r="BB25" s="228">
        <f t="shared" si="17"/>
        <v>1</v>
      </c>
      <c r="BC25" s="226">
        <f t="shared" si="18"/>
        <v>3146343.0959999999</v>
      </c>
      <c r="BD25" s="1020">
        <f>+AY25-'T2'!F46</f>
        <v>0</v>
      </c>
      <c r="BE25" s="1020">
        <f>+BA25-'T2'!H46</f>
        <v>255553.05001091165</v>
      </c>
      <c r="BF25" s="51"/>
    </row>
    <row r="26" spans="1:58">
      <c r="A26" s="224"/>
      <c r="B26" s="225"/>
      <c r="C26" s="225"/>
      <c r="D26" s="225" t="s">
        <v>81</v>
      </c>
      <c r="E26" s="234"/>
      <c r="F26" s="234"/>
      <c r="G26" s="288">
        <v>0</v>
      </c>
      <c r="H26" s="288">
        <v>0</v>
      </c>
      <c r="I26" s="288">
        <v>0</v>
      </c>
      <c r="J26" s="288">
        <v>0</v>
      </c>
      <c r="K26" s="226">
        <f t="shared" si="0"/>
        <v>0</v>
      </c>
      <c r="L26" s="288">
        <v>0</v>
      </c>
      <c r="M26" s="288">
        <v>0</v>
      </c>
      <c r="N26" s="288">
        <v>0</v>
      </c>
      <c r="O26" s="288">
        <v>0</v>
      </c>
      <c r="P26" s="226">
        <f t="shared" si="1"/>
        <v>0</v>
      </c>
      <c r="Q26" s="288">
        <v>0</v>
      </c>
      <c r="R26" s="288">
        <v>0</v>
      </c>
      <c r="S26" s="288">
        <v>0</v>
      </c>
      <c r="T26" s="288">
        <v>0</v>
      </c>
      <c r="U26" s="226">
        <f t="shared" si="2"/>
        <v>0</v>
      </c>
      <c r="V26" s="288">
        <v>0</v>
      </c>
      <c r="W26" s="288">
        <v>0</v>
      </c>
      <c r="X26" s="288">
        <v>0</v>
      </c>
      <c r="Y26" s="288">
        <v>0</v>
      </c>
      <c r="Z26" s="226">
        <f t="shared" si="3"/>
        <v>0</v>
      </c>
      <c r="AA26" s="288">
        <v>0</v>
      </c>
      <c r="AB26" s="288">
        <v>0</v>
      </c>
      <c r="AC26" s="288">
        <v>0</v>
      </c>
      <c r="AD26" s="288">
        <v>0</v>
      </c>
      <c r="AE26" s="226">
        <f t="shared" si="4"/>
        <v>0</v>
      </c>
      <c r="AF26" s="969"/>
      <c r="AG26" s="969"/>
      <c r="AH26" s="288">
        <v>0</v>
      </c>
      <c r="AI26" s="288">
        <v>0</v>
      </c>
      <c r="AJ26" s="226">
        <f t="shared" si="5"/>
        <v>0</v>
      </c>
      <c r="AK26" s="969"/>
      <c r="AL26" s="969"/>
      <c r="AM26" s="288">
        <v>0</v>
      </c>
      <c r="AN26" s="288">
        <v>0</v>
      </c>
      <c r="AO26" s="226">
        <f t="shared" si="19"/>
        <v>0</v>
      </c>
      <c r="AP26" s="227"/>
      <c r="AQ26" s="226">
        <f t="shared" si="6"/>
        <v>0</v>
      </c>
      <c r="AR26" s="228" t="e">
        <f t="shared" si="7"/>
        <v>#DIV/0!</v>
      </c>
      <c r="AS26" s="226">
        <f t="shared" si="8"/>
        <v>0</v>
      </c>
      <c r="AT26" s="228" t="e">
        <f t="shared" si="9"/>
        <v>#DIV/0!</v>
      </c>
      <c r="AU26" s="226">
        <f t="shared" si="10"/>
        <v>0</v>
      </c>
      <c r="AV26" s="228" t="e">
        <f t="shared" si="11"/>
        <v>#DIV/0!</v>
      </c>
      <c r="AW26" s="226">
        <f t="shared" si="12"/>
        <v>0</v>
      </c>
      <c r="AX26" s="228" t="e">
        <f t="shared" si="13"/>
        <v>#DIV/0!</v>
      </c>
      <c r="AY26" s="1011">
        <f t="shared" si="14"/>
        <v>0</v>
      </c>
      <c r="AZ26" s="228" t="e">
        <f t="shared" si="15"/>
        <v>#DIV/0!</v>
      </c>
      <c r="BA26" s="1011">
        <f t="shared" si="16"/>
        <v>0</v>
      </c>
      <c r="BB26" s="228" t="e">
        <f t="shared" si="17"/>
        <v>#DIV/0!</v>
      </c>
      <c r="BC26" s="226">
        <f t="shared" si="18"/>
        <v>0</v>
      </c>
      <c r="BD26" s="1020">
        <f>+AY26-'T2'!F47</f>
        <v>0</v>
      </c>
      <c r="BE26" s="1020">
        <f>+BA26-'T2'!H47</f>
        <v>0</v>
      </c>
      <c r="BF26" s="51"/>
    </row>
    <row r="27" spans="1:58">
      <c r="A27" s="224"/>
      <c r="B27" s="225"/>
      <c r="C27" s="225"/>
      <c r="D27" s="225" t="s">
        <v>66</v>
      </c>
      <c r="E27" s="225"/>
      <c r="F27" s="225"/>
      <c r="G27" s="288">
        <v>0</v>
      </c>
      <c r="H27" s="288">
        <v>0</v>
      </c>
      <c r="I27" s="288">
        <v>16788.613881700381</v>
      </c>
      <c r="J27" s="288">
        <v>1181.2319226852812</v>
      </c>
      <c r="K27" s="226">
        <f t="shared" si="0"/>
        <v>17969.845804385663</v>
      </c>
      <c r="L27" s="288">
        <v>0</v>
      </c>
      <c r="M27" s="288">
        <v>0</v>
      </c>
      <c r="N27" s="288">
        <v>0</v>
      </c>
      <c r="O27" s="288">
        <v>0</v>
      </c>
      <c r="P27" s="226">
        <f t="shared" si="1"/>
        <v>0</v>
      </c>
      <c r="Q27" s="288">
        <v>0</v>
      </c>
      <c r="R27" s="288">
        <v>0</v>
      </c>
      <c r="S27" s="288">
        <v>2445779.4830604927</v>
      </c>
      <c r="T27" s="288">
        <v>172082.8551202493</v>
      </c>
      <c r="U27" s="226">
        <f t="shared" si="2"/>
        <v>2617862.3381807418</v>
      </c>
      <c r="V27" s="288">
        <v>0</v>
      </c>
      <c r="W27" s="288">
        <v>0</v>
      </c>
      <c r="X27" s="288">
        <v>79131.730528464075</v>
      </c>
      <c r="Y27" s="288">
        <v>5567.6380942584456</v>
      </c>
      <c r="Z27" s="226">
        <f t="shared" si="3"/>
        <v>84699.368622722526</v>
      </c>
      <c r="AA27" s="288">
        <v>0</v>
      </c>
      <c r="AB27" s="288">
        <v>0</v>
      </c>
      <c r="AC27" s="288">
        <v>14569725.757808976</v>
      </c>
      <c r="AD27" s="288">
        <v>1025112.9301778238</v>
      </c>
      <c r="AE27" s="226">
        <f t="shared" si="4"/>
        <v>15594838.6879868</v>
      </c>
      <c r="AF27" s="969"/>
      <c r="AG27" s="969"/>
      <c r="AH27" s="288">
        <v>1288000.0954744809</v>
      </c>
      <c r="AI27" s="288">
        <v>90622.53977110672</v>
      </c>
      <c r="AJ27" s="226">
        <f t="shared" si="5"/>
        <v>1378622.6352455877</v>
      </c>
      <c r="AK27" s="969"/>
      <c r="AL27" s="969"/>
      <c r="AM27" s="288">
        <v>3.3192458839411474</v>
      </c>
      <c r="AN27" s="288">
        <v>0.24491387633211339</v>
      </c>
      <c r="AO27" s="226">
        <f t="shared" si="19"/>
        <v>3.5641597602732609</v>
      </c>
      <c r="AP27" s="227"/>
      <c r="AQ27" s="226">
        <f t="shared" si="6"/>
        <v>0</v>
      </c>
      <c r="AR27" s="228" t="e">
        <f t="shared" si="7"/>
        <v>#DIV/0!</v>
      </c>
      <c r="AS27" s="226">
        <f t="shared" si="8"/>
        <v>0</v>
      </c>
      <c r="AT27" s="228" t="e">
        <f t="shared" si="9"/>
        <v>#DIV/0!</v>
      </c>
      <c r="AU27" s="226">
        <f t="shared" si="10"/>
        <v>18399428.999999996</v>
      </c>
      <c r="AV27" s="228">
        <f t="shared" si="11"/>
        <v>0.93426588432956981</v>
      </c>
      <c r="AW27" s="226">
        <f t="shared" si="12"/>
        <v>1294567.44</v>
      </c>
      <c r="AX27" s="228">
        <f t="shared" si="13"/>
        <v>6.5734115670430179E-2</v>
      </c>
      <c r="AY27" s="1011">
        <f t="shared" si="14"/>
        <v>18399428.999999996</v>
      </c>
      <c r="AZ27" s="228">
        <f t="shared" si="15"/>
        <v>0.93426588432956981</v>
      </c>
      <c r="BA27" s="1011">
        <f t="shared" si="16"/>
        <v>1294567.44</v>
      </c>
      <c r="BB27" s="228">
        <f t="shared" si="17"/>
        <v>6.5734115670430179E-2</v>
      </c>
      <c r="BC27" s="226">
        <f t="shared" si="18"/>
        <v>19693996.439999998</v>
      </c>
      <c r="BD27" s="1020">
        <f>+AY27-'T2'!F48</f>
        <v>1288000.0954744816</v>
      </c>
      <c r="BE27" s="1020">
        <f>+BA27-'T2'!H48</f>
        <v>90622.539771106793</v>
      </c>
      <c r="BF27" s="51"/>
    </row>
    <row r="28" spans="1:58">
      <c r="A28" s="224"/>
      <c r="B28" s="225"/>
      <c r="C28" s="225"/>
      <c r="D28" s="225" t="s">
        <v>82</v>
      </c>
      <c r="E28" s="225"/>
      <c r="F28" s="225"/>
      <c r="G28" s="288">
        <v>0</v>
      </c>
      <c r="H28" s="288">
        <v>0</v>
      </c>
      <c r="I28" s="288">
        <v>0</v>
      </c>
      <c r="J28" s="288">
        <v>25.145120552310143</v>
      </c>
      <c r="K28" s="226">
        <f t="shared" si="0"/>
        <v>25.145120552310143</v>
      </c>
      <c r="L28" s="288">
        <v>0</v>
      </c>
      <c r="M28" s="288">
        <v>0</v>
      </c>
      <c r="N28" s="288">
        <v>0</v>
      </c>
      <c r="O28" s="288">
        <v>0</v>
      </c>
      <c r="P28" s="226">
        <f t="shared" si="1"/>
        <v>0</v>
      </c>
      <c r="Q28" s="288">
        <v>0</v>
      </c>
      <c r="R28" s="288">
        <v>0</v>
      </c>
      <c r="S28" s="288">
        <v>1.1984318693866953</v>
      </c>
      <c r="T28" s="288">
        <v>476672.93499645987</v>
      </c>
      <c r="U28" s="226">
        <f t="shared" si="2"/>
        <v>476674.13342832925</v>
      </c>
      <c r="V28" s="288">
        <v>0</v>
      </c>
      <c r="W28" s="288">
        <v>0</v>
      </c>
      <c r="X28" s="288">
        <v>0</v>
      </c>
      <c r="Y28" s="288">
        <v>11856.996316475608</v>
      </c>
      <c r="Z28" s="226">
        <f t="shared" si="3"/>
        <v>11856.996316475608</v>
      </c>
      <c r="AA28" s="288">
        <v>0</v>
      </c>
      <c r="AB28" s="288">
        <v>0</v>
      </c>
      <c r="AC28" s="288">
        <v>0</v>
      </c>
      <c r="AD28" s="288">
        <v>1291227.0348118595</v>
      </c>
      <c r="AE28" s="226">
        <f t="shared" si="4"/>
        <v>1291227.0348118595</v>
      </c>
      <c r="AF28" s="969"/>
      <c r="AG28" s="969"/>
      <c r="AH28" s="288">
        <v>0</v>
      </c>
      <c r="AI28" s="288">
        <v>114147.69033833935</v>
      </c>
      <c r="AJ28" s="226">
        <f t="shared" si="5"/>
        <v>114147.69033833935</v>
      </c>
      <c r="AK28" s="969"/>
      <c r="AL28" s="969"/>
      <c r="AM28" s="288">
        <v>-1.1984318694522302</v>
      </c>
      <c r="AN28" s="288">
        <v>0.67841631387978429</v>
      </c>
      <c r="AO28" s="226">
        <f t="shared" si="19"/>
        <v>-0.52001555557244594</v>
      </c>
      <c r="AP28" s="227"/>
      <c r="AQ28" s="226">
        <f t="shared" si="6"/>
        <v>0</v>
      </c>
      <c r="AR28" s="228" t="e">
        <f t="shared" si="7"/>
        <v>#DIV/0!</v>
      </c>
      <c r="AS28" s="226">
        <f t="shared" si="8"/>
        <v>0</v>
      </c>
      <c r="AT28" s="228" t="e">
        <f t="shared" si="9"/>
        <v>#DIV/0!</v>
      </c>
      <c r="AU28" s="226">
        <f t="shared" si="10"/>
        <v>-6.5534910831388515E-11</v>
      </c>
      <c r="AV28" s="228">
        <f t="shared" si="11"/>
        <v>-3.4602595778166311E-17</v>
      </c>
      <c r="AW28" s="226">
        <f t="shared" si="12"/>
        <v>1893930.4800000004</v>
      </c>
      <c r="AX28" s="228">
        <f t="shared" si="13"/>
        <v>1</v>
      </c>
      <c r="AY28" s="1011">
        <f t="shared" si="14"/>
        <v>-6.5534910831388515E-11</v>
      </c>
      <c r="AZ28" s="228">
        <f t="shared" si="15"/>
        <v>-3.4602595778166311E-17</v>
      </c>
      <c r="BA28" s="1011">
        <f t="shared" si="16"/>
        <v>1893930.4800000004</v>
      </c>
      <c r="BB28" s="228">
        <f t="shared" si="17"/>
        <v>1</v>
      </c>
      <c r="BC28" s="226">
        <f t="shared" si="18"/>
        <v>1893930.4800000004</v>
      </c>
      <c r="BD28" s="1020">
        <f>+AY28-'T2'!F49</f>
        <v>-6.5534910831388515E-11</v>
      </c>
      <c r="BE28" s="1020">
        <f>+BA28-'T2'!H49</f>
        <v>114147.69033833966</v>
      </c>
      <c r="BF28" s="51"/>
    </row>
    <row r="29" spans="1:58">
      <c r="A29" s="224"/>
      <c r="B29" s="225"/>
      <c r="C29" s="225"/>
      <c r="D29" s="225" t="s">
        <v>68</v>
      </c>
      <c r="E29" s="225"/>
      <c r="F29" s="225"/>
      <c r="G29" s="288">
        <v>0</v>
      </c>
      <c r="H29" s="288">
        <v>0</v>
      </c>
      <c r="I29" s="288">
        <v>0</v>
      </c>
      <c r="J29" s="288">
        <v>0</v>
      </c>
      <c r="K29" s="226">
        <f t="shared" si="0"/>
        <v>0</v>
      </c>
      <c r="L29" s="288">
        <v>0</v>
      </c>
      <c r="M29" s="288">
        <v>0</v>
      </c>
      <c r="N29" s="288">
        <v>0</v>
      </c>
      <c r="O29" s="288">
        <v>0</v>
      </c>
      <c r="P29" s="226">
        <f t="shared" si="1"/>
        <v>0</v>
      </c>
      <c r="Q29" s="288">
        <v>0</v>
      </c>
      <c r="R29" s="288">
        <v>0</v>
      </c>
      <c r="S29" s="288">
        <v>0</v>
      </c>
      <c r="T29" s="288">
        <v>0</v>
      </c>
      <c r="U29" s="226">
        <f t="shared" si="2"/>
        <v>0</v>
      </c>
      <c r="V29" s="288">
        <v>0</v>
      </c>
      <c r="W29" s="288">
        <v>0</v>
      </c>
      <c r="X29" s="288">
        <v>0</v>
      </c>
      <c r="Y29" s="288">
        <v>0</v>
      </c>
      <c r="Z29" s="226">
        <f t="shared" si="3"/>
        <v>0</v>
      </c>
      <c r="AA29" s="288">
        <v>0</v>
      </c>
      <c r="AB29" s="288">
        <v>0</v>
      </c>
      <c r="AC29" s="288">
        <v>0</v>
      </c>
      <c r="AD29" s="288">
        <v>0</v>
      </c>
      <c r="AE29" s="226">
        <f t="shared" si="4"/>
        <v>0</v>
      </c>
      <c r="AF29" s="969"/>
      <c r="AG29" s="969"/>
      <c r="AH29" s="288">
        <v>0</v>
      </c>
      <c r="AI29" s="288">
        <v>0</v>
      </c>
      <c r="AJ29" s="226">
        <f t="shared" si="5"/>
        <v>0</v>
      </c>
      <c r="AK29" s="969"/>
      <c r="AL29" s="969"/>
      <c r="AM29" s="288">
        <v>0</v>
      </c>
      <c r="AN29" s="288">
        <v>0</v>
      </c>
      <c r="AO29" s="226">
        <f t="shared" si="19"/>
        <v>0</v>
      </c>
      <c r="AP29" s="227"/>
      <c r="AQ29" s="226">
        <f t="shared" si="6"/>
        <v>0</v>
      </c>
      <c r="AR29" s="228" t="e">
        <f t="shared" si="7"/>
        <v>#DIV/0!</v>
      </c>
      <c r="AS29" s="226">
        <f t="shared" si="8"/>
        <v>0</v>
      </c>
      <c r="AT29" s="228" t="e">
        <f t="shared" si="9"/>
        <v>#DIV/0!</v>
      </c>
      <c r="AU29" s="226">
        <f t="shared" si="10"/>
        <v>0</v>
      </c>
      <c r="AV29" s="228" t="e">
        <f t="shared" si="11"/>
        <v>#DIV/0!</v>
      </c>
      <c r="AW29" s="226">
        <f t="shared" si="12"/>
        <v>0</v>
      </c>
      <c r="AX29" s="228" t="e">
        <f t="shared" si="13"/>
        <v>#DIV/0!</v>
      </c>
      <c r="AY29" s="1011">
        <f t="shared" si="14"/>
        <v>0</v>
      </c>
      <c r="AZ29" s="228" t="e">
        <f t="shared" si="15"/>
        <v>#DIV/0!</v>
      </c>
      <c r="BA29" s="1011">
        <f t="shared" si="16"/>
        <v>0</v>
      </c>
      <c r="BB29" s="228" t="e">
        <f t="shared" si="17"/>
        <v>#DIV/0!</v>
      </c>
      <c r="BC29" s="226">
        <f t="shared" si="18"/>
        <v>0</v>
      </c>
      <c r="BD29" s="1020">
        <f>+AY29-'T2'!F50</f>
        <v>0</v>
      </c>
      <c r="BE29" s="1020">
        <f>+BA29-'T2'!H50</f>
        <v>0</v>
      </c>
      <c r="BF29" s="51"/>
    </row>
    <row r="30" spans="1:58">
      <c r="A30" s="224"/>
      <c r="B30" s="225"/>
      <c r="C30" s="225"/>
      <c r="D30" s="225" t="s">
        <v>69</v>
      </c>
      <c r="E30" s="225"/>
      <c r="F30" s="225"/>
      <c r="G30" s="288">
        <v>0</v>
      </c>
      <c r="H30" s="288">
        <v>0</v>
      </c>
      <c r="I30" s="288">
        <v>0</v>
      </c>
      <c r="J30" s="288">
        <v>0</v>
      </c>
      <c r="K30" s="226">
        <f t="shared" si="0"/>
        <v>0</v>
      </c>
      <c r="L30" s="288">
        <v>0</v>
      </c>
      <c r="M30" s="288">
        <v>0</v>
      </c>
      <c r="N30" s="288">
        <v>0</v>
      </c>
      <c r="O30" s="288">
        <v>0</v>
      </c>
      <c r="P30" s="226">
        <f t="shared" si="1"/>
        <v>0</v>
      </c>
      <c r="Q30" s="288">
        <v>0</v>
      </c>
      <c r="R30" s="288">
        <v>0</v>
      </c>
      <c r="S30" s="288">
        <v>0</v>
      </c>
      <c r="T30" s="288">
        <v>0</v>
      </c>
      <c r="U30" s="226">
        <f t="shared" si="2"/>
        <v>0</v>
      </c>
      <c r="V30" s="288">
        <v>0</v>
      </c>
      <c r="W30" s="288">
        <v>0</v>
      </c>
      <c r="X30" s="288">
        <v>0</v>
      </c>
      <c r="Y30" s="288">
        <v>0</v>
      </c>
      <c r="Z30" s="226">
        <f t="shared" si="3"/>
        <v>0</v>
      </c>
      <c r="AA30" s="288">
        <v>0</v>
      </c>
      <c r="AB30" s="288">
        <v>0</v>
      </c>
      <c r="AC30" s="288">
        <v>0</v>
      </c>
      <c r="AD30" s="288">
        <v>0</v>
      </c>
      <c r="AE30" s="226">
        <f t="shared" si="4"/>
        <v>0</v>
      </c>
      <c r="AF30" s="969"/>
      <c r="AG30" s="969"/>
      <c r="AH30" s="288">
        <v>0</v>
      </c>
      <c r="AI30" s="288">
        <v>0</v>
      </c>
      <c r="AJ30" s="226">
        <f t="shared" si="5"/>
        <v>0</v>
      </c>
      <c r="AK30" s="969"/>
      <c r="AL30" s="969"/>
      <c r="AM30" s="288">
        <v>0</v>
      </c>
      <c r="AN30" s="288">
        <v>0</v>
      </c>
      <c r="AO30" s="226">
        <f t="shared" si="19"/>
        <v>0</v>
      </c>
      <c r="AP30" s="227"/>
      <c r="AQ30" s="226">
        <f t="shared" si="6"/>
        <v>0</v>
      </c>
      <c r="AR30" s="228" t="e">
        <f t="shared" si="7"/>
        <v>#DIV/0!</v>
      </c>
      <c r="AS30" s="226">
        <f t="shared" si="8"/>
        <v>0</v>
      </c>
      <c r="AT30" s="228" t="e">
        <f t="shared" si="9"/>
        <v>#DIV/0!</v>
      </c>
      <c r="AU30" s="226">
        <f t="shared" si="10"/>
        <v>0</v>
      </c>
      <c r="AV30" s="228" t="e">
        <f t="shared" si="11"/>
        <v>#DIV/0!</v>
      </c>
      <c r="AW30" s="226">
        <f t="shared" si="12"/>
        <v>0</v>
      </c>
      <c r="AX30" s="228" t="e">
        <f t="shared" si="13"/>
        <v>#DIV/0!</v>
      </c>
      <c r="AY30" s="1011">
        <f t="shared" si="14"/>
        <v>0</v>
      </c>
      <c r="AZ30" s="228" t="e">
        <f t="shared" si="15"/>
        <v>#DIV/0!</v>
      </c>
      <c r="BA30" s="1011">
        <f t="shared" si="16"/>
        <v>0</v>
      </c>
      <c r="BB30" s="228" t="e">
        <f t="shared" si="17"/>
        <v>#DIV/0!</v>
      </c>
      <c r="BC30" s="226">
        <f t="shared" si="18"/>
        <v>0</v>
      </c>
      <c r="BD30" s="1020">
        <f>+AY30-'T2'!F51</f>
        <v>0</v>
      </c>
      <c r="BE30" s="1020">
        <f>+BA30-'T2'!H51</f>
        <v>0</v>
      </c>
      <c r="BF30" s="51"/>
    </row>
    <row r="31" spans="1:58">
      <c r="A31" s="224"/>
      <c r="B31" s="225"/>
      <c r="C31" s="225"/>
      <c r="D31" s="225" t="s">
        <v>83</v>
      </c>
      <c r="E31" s="225"/>
      <c r="F31" s="225"/>
      <c r="G31" s="288">
        <v>0</v>
      </c>
      <c r="H31" s="288">
        <v>0</v>
      </c>
      <c r="I31" s="288">
        <v>65676.139560035823</v>
      </c>
      <c r="J31" s="288">
        <v>0</v>
      </c>
      <c r="K31" s="226">
        <f t="shared" si="0"/>
        <v>65676.139560035823</v>
      </c>
      <c r="L31" s="288">
        <v>0</v>
      </c>
      <c r="M31" s="288">
        <v>0</v>
      </c>
      <c r="N31" s="288">
        <v>0</v>
      </c>
      <c r="O31" s="288">
        <v>0</v>
      </c>
      <c r="P31" s="226">
        <f t="shared" si="1"/>
        <v>0</v>
      </c>
      <c r="Q31" s="288">
        <v>0</v>
      </c>
      <c r="R31" s="288">
        <v>0</v>
      </c>
      <c r="S31" s="288">
        <v>9567753.8475045096</v>
      </c>
      <c r="T31" s="288">
        <v>0</v>
      </c>
      <c r="U31" s="226">
        <f t="shared" si="2"/>
        <v>9567753.8475045096</v>
      </c>
      <c r="V31" s="288">
        <v>0</v>
      </c>
      <c r="W31" s="288">
        <v>0</v>
      </c>
      <c r="X31" s="288">
        <v>309559.00316936627</v>
      </c>
      <c r="Y31" s="288">
        <v>0</v>
      </c>
      <c r="Z31" s="226">
        <f t="shared" si="3"/>
        <v>309559.00316936627</v>
      </c>
      <c r="AA31" s="288">
        <v>0</v>
      </c>
      <c r="AB31" s="288">
        <v>0</v>
      </c>
      <c r="AC31" s="288">
        <v>56995970.54074344</v>
      </c>
      <c r="AD31" s="288">
        <v>0</v>
      </c>
      <c r="AE31" s="226">
        <f t="shared" si="4"/>
        <v>56995970.54074344</v>
      </c>
      <c r="AF31" s="969"/>
      <c r="AG31" s="969"/>
      <c r="AH31" s="288">
        <v>5038585.9499649163</v>
      </c>
      <c r="AI31" s="288">
        <v>0</v>
      </c>
      <c r="AJ31" s="226">
        <f t="shared" si="5"/>
        <v>5038585.9499649163</v>
      </c>
      <c r="AK31" s="969"/>
      <c r="AL31" s="969"/>
      <c r="AM31" s="288">
        <v>14.747906194918675</v>
      </c>
      <c r="AN31" s="288">
        <v>0</v>
      </c>
      <c r="AO31" s="226">
        <f t="shared" si="19"/>
        <v>14.747906194918675</v>
      </c>
      <c r="AP31" s="227"/>
      <c r="AQ31" s="226">
        <f t="shared" si="6"/>
        <v>0</v>
      </c>
      <c r="AR31" s="228" t="e">
        <f t="shared" si="7"/>
        <v>#DIV/0!</v>
      </c>
      <c r="AS31" s="226">
        <f t="shared" si="8"/>
        <v>0</v>
      </c>
      <c r="AT31" s="228" t="e">
        <f t="shared" si="9"/>
        <v>#DIV/0!</v>
      </c>
      <c r="AU31" s="226">
        <f t="shared" si="10"/>
        <v>71977560.228848457</v>
      </c>
      <c r="AV31" s="228">
        <f t="shared" si="11"/>
        <v>1</v>
      </c>
      <c r="AW31" s="226">
        <f t="shared" si="12"/>
        <v>0</v>
      </c>
      <c r="AX31" s="228">
        <f t="shared" si="13"/>
        <v>0</v>
      </c>
      <c r="AY31" s="1011">
        <f t="shared" si="14"/>
        <v>71977560.228848457</v>
      </c>
      <c r="AZ31" s="228">
        <f t="shared" si="15"/>
        <v>1</v>
      </c>
      <c r="BA31" s="1011">
        <f t="shared" si="16"/>
        <v>0</v>
      </c>
      <c r="BB31" s="228">
        <f t="shared" si="17"/>
        <v>0</v>
      </c>
      <c r="BC31" s="226">
        <f t="shared" si="18"/>
        <v>71977560.228848457</v>
      </c>
      <c r="BD31" s="1020">
        <f>+AY31-'T2'!F52</f>
        <v>5038585.9499649256</v>
      </c>
      <c r="BE31" s="1020">
        <f>+BA31-'T2'!H52</f>
        <v>0</v>
      </c>
      <c r="BF31" s="51"/>
    </row>
    <row r="32" spans="1:58">
      <c r="A32" s="224"/>
      <c r="B32" s="225"/>
      <c r="C32" s="225"/>
      <c r="D32" s="225" t="s">
        <v>387</v>
      </c>
      <c r="E32" s="225"/>
      <c r="F32" s="225"/>
      <c r="G32" s="947">
        <f>SUM(G33:G40)</f>
        <v>0</v>
      </c>
      <c r="H32" s="971"/>
      <c r="I32" s="947">
        <f>SUM(I33:I40)</f>
        <v>4629.6089812800928</v>
      </c>
      <c r="J32" s="971"/>
      <c r="K32" s="226">
        <f t="shared" si="0"/>
        <v>4629.6089812800928</v>
      </c>
      <c r="L32" s="947">
        <f>SUM(L33:L40)</f>
        <v>0</v>
      </c>
      <c r="M32" s="971"/>
      <c r="N32" s="947">
        <f>SUM(N33:N40)</f>
        <v>0</v>
      </c>
      <c r="O32" s="971"/>
      <c r="P32" s="226">
        <f t="shared" si="1"/>
        <v>0</v>
      </c>
      <c r="Q32" s="947">
        <f>SUM(Q33:Q40)</f>
        <v>0</v>
      </c>
      <c r="R32" s="971"/>
      <c r="S32" s="947">
        <f>SUM(S33:S40)</f>
        <v>-161133.27132714842</v>
      </c>
      <c r="T32" s="971"/>
      <c r="U32" s="226">
        <f>SUM(Q32:T32)</f>
        <v>-161133.27132714842</v>
      </c>
      <c r="V32" s="947">
        <f>SUM(V33:V40)</f>
        <v>0</v>
      </c>
      <c r="W32" s="971"/>
      <c r="X32" s="947">
        <f>SUM(X33:X40)</f>
        <v>1085.0926415652721</v>
      </c>
      <c r="Y32" s="971"/>
      <c r="Z32" s="226">
        <f>SUM(V32:Y32)</f>
        <v>1085.0926415652721</v>
      </c>
      <c r="AA32" s="947">
        <f>SUM(AA33:AA40)</f>
        <v>0</v>
      </c>
      <c r="AB32" s="971"/>
      <c r="AC32" s="947">
        <f>SUM(AC33:AC40)</f>
        <v>7255027.2819803804</v>
      </c>
      <c r="AD32" s="971"/>
      <c r="AE32" s="226">
        <f>SUM(AA32:AD32)</f>
        <v>7255027.2819803804</v>
      </c>
      <c r="AF32" s="971"/>
      <c r="AG32" s="971"/>
      <c r="AH32" s="947">
        <f>SUM(AH33:AH40)</f>
        <v>641362.5065559186</v>
      </c>
      <c r="AI32" s="971"/>
      <c r="AJ32" s="226">
        <f>SUM(AF32:AI32)</f>
        <v>641362.5065559186</v>
      </c>
      <c r="AK32" s="971"/>
      <c r="AL32" s="971"/>
      <c r="AM32" s="947">
        <f>SUM(AM33:AM40)</f>
        <v>0</v>
      </c>
      <c r="AN32" s="971"/>
      <c r="AO32" s="226">
        <f>SUM(AK32:AN32)</f>
        <v>0</v>
      </c>
      <c r="AP32" s="227"/>
      <c r="AQ32" s="226">
        <f>SUM(G32,Q32,L32,V32,AA32,AK32,AF32)</f>
        <v>0</v>
      </c>
      <c r="AR32" s="228" t="e">
        <f>AQ32/(AQ32+AS32)</f>
        <v>#DIV/0!</v>
      </c>
      <c r="AS32" s="971"/>
      <c r="AT32" s="971"/>
      <c r="AU32" s="226">
        <f>SUM(I32,N32,S32,X32,AC32,AM32,AH32)</f>
        <v>7740971.2188319955</v>
      </c>
      <c r="AV32" s="228">
        <f>AU32/(AU32+AW32)</f>
        <v>1</v>
      </c>
      <c r="AW32" s="971"/>
      <c r="AX32" s="971"/>
      <c r="AY32" s="1011">
        <f>+AQ32+AU32</f>
        <v>7740971.2188319955</v>
      </c>
      <c r="AZ32" s="228">
        <f>+AY32/BC32</f>
        <v>1</v>
      </c>
      <c r="BA32" s="971"/>
      <c r="BB32" s="971"/>
      <c r="BC32" s="226">
        <f>+AY32+BA32</f>
        <v>7740971.2188319955</v>
      </c>
      <c r="BD32" s="1020">
        <f>+AY32-'T2'!F53</f>
        <v>641362.5065559186</v>
      </c>
      <c r="BE32" s="1020">
        <f>+BA32-'T2'!H53</f>
        <v>0</v>
      </c>
      <c r="BF32" s="51"/>
    </row>
    <row r="33" spans="1:58" s="270" customFormat="1">
      <c r="A33" s="1384"/>
      <c r="B33" s="1385"/>
      <c r="C33" s="1385"/>
      <c r="D33" s="1385"/>
      <c r="E33" s="1382" t="s">
        <v>63</v>
      </c>
      <c r="F33" s="1385"/>
      <c r="G33" s="1386">
        <v>0</v>
      </c>
      <c r="H33" s="1387"/>
      <c r="I33" s="1386">
        <v>0</v>
      </c>
      <c r="J33" s="1387"/>
      <c r="K33" s="1383">
        <f t="shared" ref="K33:K40" si="20">SUM(G33:J33)</f>
        <v>0</v>
      </c>
      <c r="L33" s="1386">
        <v>0</v>
      </c>
      <c r="M33" s="1387"/>
      <c r="N33" s="1386">
        <v>0</v>
      </c>
      <c r="O33" s="1387"/>
      <c r="P33" s="1383">
        <f t="shared" ref="P33:P40" si="21">SUM(L33:O33)</f>
        <v>0</v>
      </c>
      <c r="Q33" s="1386">
        <v>0</v>
      </c>
      <c r="R33" s="1387"/>
      <c r="S33" s="1386">
        <v>0</v>
      </c>
      <c r="T33" s="1387"/>
      <c r="U33" s="1383">
        <f t="shared" ref="U33:U40" si="22">SUM(Q33:T33)</f>
        <v>0</v>
      </c>
      <c r="V33" s="1386">
        <v>0</v>
      </c>
      <c r="W33" s="1387"/>
      <c r="X33" s="1386">
        <v>0</v>
      </c>
      <c r="Y33" s="1387"/>
      <c r="Z33" s="1383">
        <f t="shared" ref="Z33:Z40" si="23">SUM(V33:Y33)</f>
        <v>0</v>
      </c>
      <c r="AA33" s="1386">
        <v>0</v>
      </c>
      <c r="AB33" s="1387"/>
      <c r="AC33" s="1386">
        <v>0</v>
      </c>
      <c r="AD33" s="1387"/>
      <c r="AE33" s="1383">
        <f t="shared" ref="AE33:AE40" si="24">SUM(AA33:AD33)</f>
        <v>0</v>
      </c>
      <c r="AF33" s="1387"/>
      <c r="AG33" s="1387"/>
      <c r="AH33" s="1386">
        <v>0</v>
      </c>
      <c r="AI33" s="1387"/>
      <c r="AJ33" s="1383">
        <f t="shared" ref="AJ33:AJ40" si="25">SUM(AF33:AI33)</f>
        <v>0</v>
      </c>
      <c r="AK33" s="1387"/>
      <c r="AL33" s="1387"/>
      <c r="AM33" s="1386">
        <v>0</v>
      </c>
      <c r="AN33" s="1387"/>
      <c r="AO33" s="1383">
        <f>SUM(AK33:AN33)</f>
        <v>0</v>
      </c>
      <c r="AP33" s="1388"/>
      <c r="AQ33" s="1383">
        <f t="shared" ref="AQ33:AQ40" si="26">SUM(G33,Q33,L33,V33,AA33,AK33,AF33)</f>
        <v>0</v>
      </c>
      <c r="AR33" s="1389" t="e">
        <f t="shared" ref="AR33:AR40" si="27">AQ33/(AQ33+AS33)</f>
        <v>#DIV/0!</v>
      </c>
      <c r="AS33" s="1392"/>
      <c r="AT33" s="1392"/>
      <c r="AU33" s="1383">
        <f t="shared" ref="AU33:AU40" si="28">SUM(I33,N33,S33,X33,AC33,AM33,AH33)</f>
        <v>0</v>
      </c>
      <c r="AV33" s="1389" t="e">
        <f t="shared" ref="AV33:AV40" si="29">AU33/(AU33+AW33)</f>
        <v>#DIV/0!</v>
      </c>
      <c r="AW33" s="1392"/>
      <c r="AX33" s="1392"/>
      <c r="AY33" s="1390">
        <f t="shared" ref="AY33:AY40" si="30">+AQ33+AU33</f>
        <v>0</v>
      </c>
      <c r="AZ33" s="1389" t="e">
        <f t="shared" ref="AZ33:AZ40" si="31">+AY33/BC33</f>
        <v>#DIV/0!</v>
      </c>
      <c r="BA33" s="1392"/>
      <c r="BB33" s="1392"/>
      <c r="BC33" s="1383">
        <f t="shared" ref="BC33:BC40" si="32">+AY33+BA33</f>
        <v>0</v>
      </c>
      <c r="BD33" s="1020"/>
      <c r="BE33" s="1020"/>
    </row>
    <row r="34" spans="1:58" s="270" customFormat="1">
      <c r="A34" s="1384"/>
      <c r="B34" s="1385"/>
      <c r="C34" s="1385"/>
      <c r="D34" s="1385"/>
      <c r="E34" s="1382" t="s">
        <v>64</v>
      </c>
      <c r="F34" s="1391"/>
      <c r="G34" s="1386">
        <v>0</v>
      </c>
      <c r="H34" s="1387"/>
      <c r="I34" s="1386">
        <v>0</v>
      </c>
      <c r="J34" s="1387"/>
      <c r="K34" s="1383">
        <f t="shared" si="20"/>
        <v>0</v>
      </c>
      <c r="L34" s="1386">
        <v>0</v>
      </c>
      <c r="M34" s="1387"/>
      <c r="N34" s="1386">
        <v>0</v>
      </c>
      <c r="O34" s="1387"/>
      <c r="P34" s="1383">
        <f t="shared" si="21"/>
        <v>0</v>
      </c>
      <c r="Q34" s="1386">
        <v>0</v>
      </c>
      <c r="R34" s="1387"/>
      <c r="S34" s="1386">
        <v>0</v>
      </c>
      <c r="T34" s="1387"/>
      <c r="U34" s="1383">
        <f t="shared" si="22"/>
        <v>0</v>
      </c>
      <c r="V34" s="1386">
        <v>0</v>
      </c>
      <c r="W34" s="1387"/>
      <c r="X34" s="1386">
        <v>0</v>
      </c>
      <c r="Y34" s="1387"/>
      <c r="Z34" s="1383">
        <f t="shared" si="23"/>
        <v>0</v>
      </c>
      <c r="AA34" s="1386">
        <v>0</v>
      </c>
      <c r="AB34" s="1387"/>
      <c r="AC34" s="1386">
        <v>-5842023.2940723905</v>
      </c>
      <c r="AD34" s="1387"/>
      <c r="AE34" s="1383">
        <f t="shared" si="24"/>
        <v>-5842023.2940723905</v>
      </c>
      <c r="AF34" s="1387"/>
      <c r="AG34" s="1387"/>
      <c r="AH34" s="1386">
        <v>-516449.42983888625</v>
      </c>
      <c r="AI34" s="1387"/>
      <c r="AJ34" s="1383">
        <f t="shared" si="25"/>
        <v>-516449.42983888625</v>
      </c>
      <c r="AK34" s="1387"/>
      <c r="AL34" s="1387"/>
      <c r="AM34" s="1386">
        <v>0</v>
      </c>
      <c r="AN34" s="1387"/>
      <c r="AO34" s="1383">
        <f t="shared" ref="AO34:AO40" si="33">SUM(AK34:AN34)</f>
        <v>0</v>
      </c>
      <c r="AP34" s="1388"/>
      <c r="AQ34" s="1383">
        <f t="shared" si="26"/>
        <v>0</v>
      </c>
      <c r="AR34" s="1389" t="e">
        <f t="shared" si="27"/>
        <v>#DIV/0!</v>
      </c>
      <c r="AS34" s="1392"/>
      <c r="AT34" s="1392"/>
      <c r="AU34" s="1383">
        <f t="shared" si="28"/>
        <v>-6358472.723911277</v>
      </c>
      <c r="AV34" s="1389">
        <f t="shared" si="29"/>
        <v>1</v>
      </c>
      <c r="AW34" s="1392"/>
      <c r="AX34" s="1392"/>
      <c r="AY34" s="1390">
        <f t="shared" si="30"/>
        <v>-6358472.723911277</v>
      </c>
      <c r="AZ34" s="1389">
        <f t="shared" si="31"/>
        <v>1</v>
      </c>
      <c r="BA34" s="1392"/>
      <c r="BB34" s="1392"/>
      <c r="BC34" s="1383">
        <f t="shared" si="32"/>
        <v>-6358472.723911277</v>
      </c>
      <c r="BD34" s="1020"/>
      <c r="BE34" s="1020"/>
    </row>
    <row r="35" spans="1:58" s="270" customFormat="1">
      <c r="A35" s="1384"/>
      <c r="B35" s="1385"/>
      <c r="C35" s="1385"/>
      <c r="D35" s="1385"/>
      <c r="E35" s="1382" t="s">
        <v>81</v>
      </c>
      <c r="F35" s="1391"/>
      <c r="G35" s="1386">
        <v>0</v>
      </c>
      <c r="H35" s="1387"/>
      <c r="I35" s="1386">
        <v>0</v>
      </c>
      <c r="J35" s="1387"/>
      <c r="K35" s="1383">
        <f t="shared" si="20"/>
        <v>0</v>
      </c>
      <c r="L35" s="1386">
        <v>0</v>
      </c>
      <c r="M35" s="1387"/>
      <c r="N35" s="1386">
        <v>0</v>
      </c>
      <c r="O35" s="1387"/>
      <c r="P35" s="1383">
        <f t="shared" si="21"/>
        <v>0</v>
      </c>
      <c r="Q35" s="1386">
        <v>0</v>
      </c>
      <c r="R35" s="1387"/>
      <c r="S35" s="1386">
        <v>0</v>
      </c>
      <c r="T35" s="1387"/>
      <c r="U35" s="1383">
        <f t="shared" si="22"/>
        <v>0</v>
      </c>
      <c r="V35" s="1386">
        <v>0</v>
      </c>
      <c r="W35" s="1387"/>
      <c r="X35" s="1386">
        <v>0</v>
      </c>
      <c r="Y35" s="1387"/>
      <c r="Z35" s="1383">
        <f t="shared" si="23"/>
        <v>0</v>
      </c>
      <c r="AA35" s="1386">
        <v>0</v>
      </c>
      <c r="AB35" s="1387"/>
      <c r="AC35" s="1386">
        <v>11321741.707580494</v>
      </c>
      <c r="AD35" s="1387"/>
      <c r="AE35" s="1383">
        <f t="shared" si="24"/>
        <v>11321741.707580494</v>
      </c>
      <c r="AF35" s="1387"/>
      <c r="AG35" s="1387"/>
      <c r="AH35" s="1386">
        <v>1000870.2046080256</v>
      </c>
      <c r="AI35" s="1387"/>
      <c r="AJ35" s="1383">
        <f t="shared" si="25"/>
        <v>1000870.2046080256</v>
      </c>
      <c r="AK35" s="1387"/>
      <c r="AL35" s="1387"/>
      <c r="AM35" s="1386">
        <v>0</v>
      </c>
      <c r="AN35" s="1387"/>
      <c r="AO35" s="1383">
        <f t="shared" si="33"/>
        <v>0</v>
      </c>
      <c r="AP35" s="1388"/>
      <c r="AQ35" s="1383">
        <f t="shared" si="26"/>
        <v>0</v>
      </c>
      <c r="AR35" s="1389" t="e">
        <f t="shared" si="27"/>
        <v>#DIV/0!</v>
      </c>
      <c r="AS35" s="1392"/>
      <c r="AT35" s="1392"/>
      <c r="AU35" s="1383">
        <f t="shared" si="28"/>
        <v>12322611.912188519</v>
      </c>
      <c r="AV35" s="1389">
        <f t="shared" si="29"/>
        <v>1</v>
      </c>
      <c r="AW35" s="1392"/>
      <c r="AX35" s="1392"/>
      <c r="AY35" s="1390">
        <f t="shared" si="30"/>
        <v>12322611.912188519</v>
      </c>
      <c r="AZ35" s="1389">
        <f t="shared" si="31"/>
        <v>1</v>
      </c>
      <c r="BA35" s="1392"/>
      <c r="BB35" s="1392"/>
      <c r="BC35" s="1383">
        <f t="shared" si="32"/>
        <v>12322611.912188519</v>
      </c>
      <c r="BD35" s="1020"/>
      <c r="BE35" s="1020"/>
    </row>
    <row r="36" spans="1:58" s="270" customFormat="1">
      <c r="A36" s="1384"/>
      <c r="B36" s="1385"/>
      <c r="C36" s="1385"/>
      <c r="D36" s="1385"/>
      <c r="E36" s="1382" t="s">
        <v>66</v>
      </c>
      <c r="F36" s="1385"/>
      <c r="G36" s="1386">
        <v>0</v>
      </c>
      <c r="H36" s="1387"/>
      <c r="I36" s="1386">
        <v>-779.72432398401361</v>
      </c>
      <c r="J36" s="1387"/>
      <c r="K36" s="1383">
        <f t="shared" si="20"/>
        <v>-779.72432398401361</v>
      </c>
      <c r="L36" s="1386">
        <v>0</v>
      </c>
      <c r="M36" s="1387"/>
      <c r="N36" s="1386">
        <v>0</v>
      </c>
      <c r="O36" s="1387"/>
      <c r="P36" s="1383">
        <f t="shared" si="21"/>
        <v>0</v>
      </c>
      <c r="Q36" s="1386">
        <v>0</v>
      </c>
      <c r="R36" s="1387"/>
      <c r="S36" s="1386">
        <v>-113591.05376881285</v>
      </c>
      <c r="T36" s="1387"/>
      <c r="U36" s="1383">
        <f t="shared" si="22"/>
        <v>-113591.05376881285</v>
      </c>
      <c r="V36" s="1386">
        <v>0</v>
      </c>
      <c r="W36" s="1387"/>
      <c r="X36" s="1386">
        <v>-3675.1655334241686</v>
      </c>
      <c r="Y36" s="1387"/>
      <c r="Z36" s="1383">
        <f t="shared" si="23"/>
        <v>-3675.1655334241686</v>
      </c>
      <c r="AA36" s="1386">
        <v>0</v>
      </c>
      <c r="AB36" s="1387"/>
      <c r="AC36" s="1386">
        <v>-676671.0847715009</v>
      </c>
      <c r="AD36" s="1387"/>
      <c r="AE36" s="1383">
        <f t="shared" si="24"/>
        <v>-676671.0847715009</v>
      </c>
      <c r="AF36" s="1387"/>
      <c r="AG36" s="1387"/>
      <c r="AH36" s="1386">
        <v>-59819.411585244525</v>
      </c>
      <c r="AI36" s="1387"/>
      <c r="AJ36" s="1383">
        <f t="shared" si="25"/>
        <v>-59819.411585244525</v>
      </c>
      <c r="AK36" s="1387"/>
      <c r="AL36" s="1387"/>
      <c r="AM36" s="1386">
        <v>0</v>
      </c>
      <c r="AN36" s="1387"/>
      <c r="AO36" s="1383">
        <f t="shared" si="33"/>
        <v>0</v>
      </c>
      <c r="AP36" s="1388"/>
      <c r="AQ36" s="1383">
        <f t="shared" si="26"/>
        <v>0</v>
      </c>
      <c r="AR36" s="1389" t="e">
        <f t="shared" si="27"/>
        <v>#DIV/0!</v>
      </c>
      <c r="AS36" s="1392"/>
      <c r="AT36" s="1392"/>
      <c r="AU36" s="1383">
        <f t="shared" si="28"/>
        <v>-854536.43998296652</v>
      </c>
      <c r="AV36" s="1389">
        <f t="shared" si="29"/>
        <v>1</v>
      </c>
      <c r="AW36" s="1392"/>
      <c r="AX36" s="1392"/>
      <c r="AY36" s="1390">
        <f t="shared" si="30"/>
        <v>-854536.43998296652</v>
      </c>
      <c r="AZ36" s="1389">
        <f t="shared" si="31"/>
        <v>1</v>
      </c>
      <c r="BA36" s="1392"/>
      <c r="BB36" s="1392"/>
      <c r="BC36" s="1383">
        <f t="shared" si="32"/>
        <v>-854536.43998296652</v>
      </c>
      <c r="BD36" s="1020"/>
      <c r="BE36" s="1020"/>
    </row>
    <row r="37" spans="1:58" s="270" customFormat="1">
      <c r="A37" s="1384"/>
      <c r="B37" s="1385"/>
      <c r="C37" s="1385"/>
      <c r="D37" s="1385"/>
      <c r="E37" s="1382" t="s">
        <v>82</v>
      </c>
      <c r="F37" s="1385"/>
      <c r="G37" s="1386">
        <v>0</v>
      </c>
      <c r="H37" s="1387"/>
      <c r="I37" s="1386">
        <v>-44.419205751067231</v>
      </c>
      <c r="J37" s="1387"/>
      <c r="K37" s="1383">
        <f t="shared" si="20"/>
        <v>-44.419205751067231</v>
      </c>
      <c r="L37" s="1386">
        <v>0</v>
      </c>
      <c r="M37" s="1387"/>
      <c r="N37" s="1386">
        <v>0</v>
      </c>
      <c r="O37" s="1387"/>
      <c r="P37" s="1383">
        <f t="shared" si="21"/>
        <v>0</v>
      </c>
      <c r="Q37" s="1386">
        <v>0</v>
      </c>
      <c r="R37" s="1387"/>
      <c r="S37" s="1386">
        <v>-842050.57860982954</v>
      </c>
      <c r="T37" s="1387"/>
      <c r="U37" s="1383">
        <f t="shared" si="22"/>
        <v>-842050.57860982954</v>
      </c>
      <c r="V37" s="1386">
        <v>0</v>
      </c>
      <c r="W37" s="1387"/>
      <c r="X37" s="1386">
        <v>-20945.549172274263</v>
      </c>
      <c r="Y37" s="1387"/>
      <c r="Z37" s="1383">
        <f t="shared" si="23"/>
        <v>-20945.549172274263</v>
      </c>
      <c r="AA37" s="1386">
        <v>0</v>
      </c>
      <c r="AB37" s="1387"/>
      <c r="AC37" s="1386">
        <v>-2280970.5450141123</v>
      </c>
      <c r="AD37" s="1387"/>
      <c r="AE37" s="1383">
        <f t="shared" si="24"/>
        <v>-2280970.5450141123</v>
      </c>
      <c r="AF37" s="1387"/>
      <c r="AG37" s="1387"/>
      <c r="AH37" s="1386">
        <v>-201643.48516841687</v>
      </c>
      <c r="AI37" s="1387"/>
      <c r="AJ37" s="1383">
        <f t="shared" si="25"/>
        <v>-201643.48516841687</v>
      </c>
      <c r="AK37" s="1387"/>
      <c r="AL37" s="1387"/>
      <c r="AM37" s="1386">
        <v>0</v>
      </c>
      <c r="AN37" s="1387"/>
      <c r="AO37" s="1383">
        <f t="shared" si="33"/>
        <v>0</v>
      </c>
      <c r="AP37" s="1388"/>
      <c r="AQ37" s="1383">
        <f t="shared" si="26"/>
        <v>0</v>
      </c>
      <c r="AR37" s="1389" t="e">
        <f t="shared" si="27"/>
        <v>#DIV/0!</v>
      </c>
      <c r="AS37" s="1392"/>
      <c r="AT37" s="1392"/>
      <c r="AU37" s="1383">
        <f t="shared" si="28"/>
        <v>-3345654.5771703841</v>
      </c>
      <c r="AV37" s="1389">
        <f t="shared" si="29"/>
        <v>1</v>
      </c>
      <c r="AW37" s="1392"/>
      <c r="AX37" s="1392"/>
      <c r="AY37" s="1390">
        <f t="shared" si="30"/>
        <v>-3345654.5771703841</v>
      </c>
      <c r="AZ37" s="1389">
        <f t="shared" si="31"/>
        <v>1</v>
      </c>
      <c r="BA37" s="1392"/>
      <c r="BB37" s="1392"/>
      <c r="BC37" s="1383">
        <f t="shared" si="32"/>
        <v>-3345654.5771703841</v>
      </c>
      <c r="BD37" s="1020"/>
      <c r="BE37" s="1020"/>
    </row>
    <row r="38" spans="1:58" s="270" customFormat="1">
      <c r="A38" s="1384"/>
      <c r="B38" s="1385"/>
      <c r="C38" s="1385"/>
      <c r="D38" s="1385"/>
      <c r="E38" s="1382" t="s">
        <v>68</v>
      </c>
      <c r="F38" s="1385"/>
      <c r="G38" s="1386">
        <v>0</v>
      </c>
      <c r="H38" s="1387"/>
      <c r="I38" s="1386">
        <v>0</v>
      </c>
      <c r="J38" s="1387"/>
      <c r="K38" s="1383">
        <f t="shared" si="20"/>
        <v>0</v>
      </c>
      <c r="L38" s="1386">
        <v>0</v>
      </c>
      <c r="M38" s="1387"/>
      <c r="N38" s="1386">
        <v>0</v>
      </c>
      <c r="O38" s="1387"/>
      <c r="P38" s="1383">
        <f t="shared" si="21"/>
        <v>0</v>
      </c>
      <c r="Q38" s="1386">
        <v>0</v>
      </c>
      <c r="R38" s="1387"/>
      <c r="S38" s="1386">
        <v>0</v>
      </c>
      <c r="T38" s="1387"/>
      <c r="U38" s="1383">
        <f t="shared" si="22"/>
        <v>0</v>
      </c>
      <c r="V38" s="1386">
        <v>0</v>
      </c>
      <c r="W38" s="1387"/>
      <c r="X38" s="1386">
        <v>0</v>
      </c>
      <c r="Y38" s="1387"/>
      <c r="Z38" s="1383">
        <f t="shared" si="23"/>
        <v>0</v>
      </c>
      <c r="AA38" s="1386">
        <v>0</v>
      </c>
      <c r="AB38" s="1387"/>
      <c r="AC38" s="1386">
        <v>0</v>
      </c>
      <c r="AD38" s="1387"/>
      <c r="AE38" s="1383">
        <f t="shared" si="24"/>
        <v>0</v>
      </c>
      <c r="AF38" s="1387"/>
      <c r="AG38" s="1387"/>
      <c r="AH38" s="1386">
        <v>0</v>
      </c>
      <c r="AI38" s="1387"/>
      <c r="AJ38" s="1383">
        <f t="shared" si="25"/>
        <v>0</v>
      </c>
      <c r="AK38" s="1387"/>
      <c r="AL38" s="1387"/>
      <c r="AM38" s="1386">
        <v>0</v>
      </c>
      <c r="AN38" s="1387"/>
      <c r="AO38" s="1383">
        <f t="shared" si="33"/>
        <v>0</v>
      </c>
      <c r="AP38" s="1388"/>
      <c r="AQ38" s="1383">
        <f t="shared" si="26"/>
        <v>0</v>
      </c>
      <c r="AR38" s="1389" t="e">
        <f t="shared" si="27"/>
        <v>#DIV/0!</v>
      </c>
      <c r="AS38" s="1392"/>
      <c r="AT38" s="1392"/>
      <c r="AU38" s="1383">
        <f t="shared" si="28"/>
        <v>0</v>
      </c>
      <c r="AV38" s="1389" t="e">
        <f t="shared" si="29"/>
        <v>#DIV/0!</v>
      </c>
      <c r="AW38" s="1392"/>
      <c r="AX38" s="1392"/>
      <c r="AY38" s="1390">
        <f t="shared" si="30"/>
        <v>0</v>
      </c>
      <c r="AZ38" s="1389" t="e">
        <f t="shared" si="31"/>
        <v>#DIV/0!</v>
      </c>
      <c r="BA38" s="1392"/>
      <c r="BB38" s="1392"/>
      <c r="BC38" s="1383">
        <f t="shared" si="32"/>
        <v>0</v>
      </c>
      <c r="BD38" s="1020"/>
      <c r="BE38" s="1020"/>
    </row>
    <row r="39" spans="1:58" s="270" customFormat="1">
      <c r="A39" s="1384"/>
      <c r="B39" s="1385"/>
      <c r="C39" s="1385"/>
      <c r="D39" s="1385"/>
      <c r="E39" s="1382" t="s">
        <v>69</v>
      </c>
      <c r="F39" s="1385"/>
      <c r="G39" s="1386">
        <v>0</v>
      </c>
      <c r="H39" s="1387"/>
      <c r="I39" s="1386">
        <v>0</v>
      </c>
      <c r="J39" s="1387"/>
      <c r="K39" s="1383">
        <f t="shared" si="20"/>
        <v>0</v>
      </c>
      <c r="L39" s="1386">
        <v>0</v>
      </c>
      <c r="M39" s="1387"/>
      <c r="N39" s="1386">
        <v>0</v>
      </c>
      <c r="O39" s="1387"/>
      <c r="P39" s="1383">
        <f t="shared" si="21"/>
        <v>0</v>
      </c>
      <c r="Q39" s="1386">
        <v>0</v>
      </c>
      <c r="R39" s="1387"/>
      <c r="S39" s="1386">
        <v>0</v>
      </c>
      <c r="T39" s="1387"/>
      <c r="U39" s="1383">
        <f t="shared" si="22"/>
        <v>0</v>
      </c>
      <c r="V39" s="1386">
        <v>0</v>
      </c>
      <c r="W39" s="1387"/>
      <c r="X39" s="1386">
        <v>0</v>
      </c>
      <c r="Y39" s="1387"/>
      <c r="Z39" s="1383">
        <f t="shared" si="23"/>
        <v>0</v>
      </c>
      <c r="AA39" s="1386">
        <v>0</v>
      </c>
      <c r="AB39" s="1387"/>
      <c r="AC39" s="1386">
        <v>0</v>
      </c>
      <c r="AD39" s="1387"/>
      <c r="AE39" s="1383">
        <f t="shared" si="24"/>
        <v>0</v>
      </c>
      <c r="AF39" s="1387"/>
      <c r="AG39" s="1387"/>
      <c r="AH39" s="1386">
        <v>0</v>
      </c>
      <c r="AI39" s="1387"/>
      <c r="AJ39" s="1383">
        <f t="shared" si="25"/>
        <v>0</v>
      </c>
      <c r="AK39" s="1387"/>
      <c r="AL39" s="1387"/>
      <c r="AM39" s="1386">
        <v>0</v>
      </c>
      <c r="AN39" s="1387"/>
      <c r="AO39" s="1383">
        <f t="shared" si="33"/>
        <v>0</v>
      </c>
      <c r="AP39" s="1388"/>
      <c r="AQ39" s="1383">
        <f t="shared" si="26"/>
        <v>0</v>
      </c>
      <c r="AR39" s="1389" t="e">
        <f t="shared" si="27"/>
        <v>#DIV/0!</v>
      </c>
      <c r="AS39" s="1392"/>
      <c r="AT39" s="1392"/>
      <c r="AU39" s="1383">
        <f t="shared" si="28"/>
        <v>0</v>
      </c>
      <c r="AV39" s="1389" t="e">
        <f t="shared" si="29"/>
        <v>#DIV/0!</v>
      </c>
      <c r="AW39" s="1392"/>
      <c r="AX39" s="1392"/>
      <c r="AY39" s="1390">
        <f t="shared" si="30"/>
        <v>0</v>
      </c>
      <c r="AZ39" s="1389" t="e">
        <f t="shared" si="31"/>
        <v>#DIV/0!</v>
      </c>
      <c r="BA39" s="1392"/>
      <c r="BB39" s="1392"/>
      <c r="BC39" s="1383">
        <f t="shared" si="32"/>
        <v>0</v>
      </c>
      <c r="BD39" s="1020"/>
      <c r="BE39" s="1020"/>
    </row>
    <row r="40" spans="1:58" s="270" customFormat="1">
      <c r="A40" s="1384"/>
      <c r="B40" s="1385"/>
      <c r="C40" s="1385"/>
      <c r="D40" s="1385"/>
      <c r="E40" s="1382" t="s">
        <v>83</v>
      </c>
      <c r="F40" s="1385"/>
      <c r="G40" s="1386">
        <v>0</v>
      </c>
      <c r="H40" s="1387"/>
      <c r="I40" s="1386">
        <v>5453.7525110151737</v>
      </c>
      <c r="J40" s="1387"/>
      <c r="K40" s="1383">
        <f t="shared" si="20"/>
        <v>5453.7525110151737</v>
      </c>
      <c r="L40" s="1386">
        <v>0</v>
      </c>
      <c r="M40" s="1387"/>
      <c r="N40" s="1386">
        <v>0</v>
      </c>
      <c r="O40" s="1387"/>
      <c r="P40" s="1383">
        <f t="shared" si="21"/>
        <v>0</v>
      </c>
      <c r="Q40" s="1386">
        <v>0</v>
      </c>
      <c r="R40" s="1387"/>
      <c r="S40" s="1386">
        <v>794508.36105149402</v>
      </c>
      <c r="T40" s="1387"/>
      <c r="U40" s="1383">
        <f t="shared" si="22"/>
        <v>794508.36105149402</v>
      </c>
      <c r="V40" s="1386">
        <v>0</v>
      </c>
      <c r="W40" s="1387"/>
      <c r="X40" s="1386">
        <v>25705.807347263704</v>
      </c>
      <c r="Y40" s="1387"/>
      <c r="Z40" s="1383">
        <f t="shared" si="23"/>
        <v>25705.807347263704</v>
      </c>
      <c r="AA40" s="1386">
        <v>0</v>
      </c>
      <c r="AB40" s="1387"/>
      <c r="AC40" s="1386">
        <v>4732950.4982578903</v>
      </c>
      <c r="AD40" s="1387"/>
      <c r="AE40" s="1383">
        <f t="shared" si="24"/>
        <v>4732950.4982578903</v>
      </c>
      <c r="AF40" s="1387"/>
      <c r="AG40" s="1387"/>
      <c r="AH40" s="1386">
        <v>418404.6285404407</v>
      </c>
      <c r="AI40" s="1387"/>
      <c r="AJ40" s="1383">
        <f t="shared" si="25"/>
        <v>418404.6285404407</v>
      </c>
      <c r="AK40" s="1387"/>
      <c r="AL40" s="1387"/>
      <c r="AM40" s="1386">
        <v>0</v>
      </c>
      <c r="AN40" s="1387"/>
      <c r="AO40" s="1383">
        <f t="shared" si="33"/>
        <v>0</v>
      </c>
      <c r="AP40" s="1388"/>
      <c r="AQ40" s="1383">
        <f t="shared" si="26"/>
        <v>0</v>
      </c>
      <c r="AR40" s="1389" t="e">
        <f t="shared" si="27"/>
        <v>#DIV/0!</v>
      </c>
      <c r="AS40" s="1392"/>
      <c r="AT40" s="1392"/>
      <c r="AU40" s="1383">
        <f t="shared" si="28"/>
        <v>5977023.0477081034</v>
      </c>
      <c r="AV40" s="1389">
        <f t="shared" si="29"/>
        <v>1</v>
      </c>
      <c r="AW40" s="1392"/>
      <c r="AX40" s="1392"/>
      <c r="AY40" s="1390">
        <f t="shared" si="30"/>
        <v>5977023.0477081034</v>
      </c>
      <c r="AZ40" s="1389">
        <f t="shared" si="31"/>
        <v>1</v>
      </c>
      <c r="BA40" s="1392"/>
      <c r="BB40" s="1392"/>
      <c r="BC40" s="1383">
        <f t="shared" si="32"/>
        <v>5977023.0477081034</v>
      </c>
      <c r="BD40" s="1020"/>
      <c r="BE40" s="1020"/>
    </row>
    <row r="41" spans="1:58">
      <c r="A41" s="224"/>
      <c r="B41" s="225"/>
      <c r="C41" s="225"/>
      <c r="D41" s="234"/>
      <c r="E41" s="234"/>
      <c r="F41" s="234"/>
      <c r="G41" s="231"/>
      <c r="H41" s="231"/>
      <c r="I41" s="231"/>
      <c r="J41" s="231"/>
      <c r="K41" s="232"/>
      <c r="L41" s="231"/>
      <c r="M41" s="231"/>
      <c r="N41" s="231"/>
      <c r="O41" s="231"/>
      <c r="P41" s="232"/>
      <c r="Q41" s="231"/>
      <c r="R41" s="231"/>
      <c r="S41" s="231"/>
      <c r="T41" s="231"/>
      <c r="U41" s="232"/>
      <c r="V41" s="231"/>
      <c r="W41" s="231"/>
      <c r="X41" s="231"/>
      <c r="Y41" s="231"/>
      <c r="Z41" s="232"/>
      <c r="AA41" s="231"/>
      <c r="AB41" s="231"/>
      <c r="AC41" s="231"/>
      <c r="AD41" s="231"/>
      <c r="AE41" s="232"/>
      <c r="AF41" s="968"/>
      <c r="AG41" s="968"/>
      <c r="AH41" s="231"/>
      <c r="AI41" s="231"/>
      <c r="AJ41" s="232"/>
      <c r="AK41" s="968"/>
      <c r="AL41" s="968"/>
      <c r="AM41" s="231"/>
      <c r="AN41" s="231"/>
      <c r="AO41" s="232"/>
      <c r="AP41" s="222"/>
      <c r="AQ41" s="232"/>
      <c r="AR41" s="233"/>
      <c r="AS41" s="232"/>
      <c r="AT41" s="233"/>
      <c r="AU41" s="232"/>
      <c r="AV41" s="233"/>
      <c r="AW41" s="232"/>
      <c r="AX41" s="233"/>
      <c r="AY41" s="233"/>
      <c r="AZ41" s="233"/>
      <c r="BA41" s="233"/>
      <c r="BB41" s="233"/>
      <c r="BC41" s="232"/>
      <c r="BD41" s="1021"/>
      <c r="BE41" s="1021"/>
      <c r="BF41" s="51"/>
    </row>
    <row r="42" spans="1:58">
      <c r="A42" s="224"/>
      <c r="B42" s="225"/>
      <c r="C42" s="225"/>
      <c r="D42" s="225"/>
      <c r="E42" s="234"/>
      <c r="F42" s="225"/>
      <c r="G42" s="231"/>
      <c r="H42" s="231"/>
      <c r="I42" s="231"/>
      <c r="J42" s="231"/>
      <c r="K42" s="235"/>
      <c r="L42" s="231"/>
      <c r="M42" s="231"/>
      <c r="N42" s="231"/>
      <c r="O42" s="231"/>
      <c r="P42" s="232"/>
      <c r="Q42" s="231"/>
      <c r="R42" s="231"/>
      <c r="S42" s="231"/>
      <c r="T42" s="231"/>
      <c r="U42" s="232"/>
      <c r="V42" s="231"/>
      <c r="W42" s="231"/>
      <c r="X42" s="231"/>
      <c r="Y42" s="231"/>
      <c r="Z42" s="232"/>
      <c r="AA42" s="231"/>
      <c r="AB42" s="231"/>
      <c r="AC42" s="231"/>
      <c r="AD42" s="231"/>
      <c r="AE42" s="232"/>
      <c r="AF42" s="968"/>
      <c r="AG42" s="968"/>
      <c r="AH42" s="231"/>
      <c r="AI42" s="231"/>
      <c r="AJ42" s="232"/>
      <c r="AK42" s="968"/>
      <c r="AL42" s="968"/>
      <c r="AM42" s="231"/>
      <c r="AN42" s="231"/>
      <c r="AO42" s="232"/>
      <c r="AP42" s="222"/>
      <c r="AQ42" s="232"/>
      <c r="AR42" s="233"/>
      <c r="AS42" s="232"/>
      <c r="AT42" s="233"/>
      <c r="AU42" s="232"/>
      <c r="AV42" s="233"/>
      <c r="AW42" s="232"/>
      <c r="AX42" s="233"/>
      <c r="AY42" s="233"/>
      <c r="AZ42" s="233"/>
      <c r="BA42" s="233"/>
      <c r="BB42" s="233"/>
      <c r="BC42" s="232"/>
      <c r="BD42" s="1021"/>
      <c r="BE42" s="1021"/>
      <c r="BF42" s="51"/>
    </row>
    <row r="43" spans="1:58">
      <c r="A43" s="224"/>
      <c r="B43" s="225" t="s">
        <v>41</v>
      </c>
      <c r="C43" s="225" t="s">
        <v>90</v>
      </c>
      <c r="D43" s="225"/>
      <c r="E43" s="234"/>
      <c r="F43" s="234"/>
      <c r="G43" s="226">
        <f>SUM(G45,G47,G49)</f>
        <v>0</v>
      </c>
      <c r="H43" s="226">
        <f>SUM(H45,H47,H49)</f>
        <v>0</v>
      </c>
      <c r="I43" s="226">
        <f>SUM(I45,I47,I49)</f>
        <v>127031.50093278255</v>
      </c>
      <c r="J43" s="226">
        <f>SUM(J45,J47,J49)</f>
        <v>64755.461567217484</v>
      </c>
      <c r="K43" s="226">
        <f>SUM(G43:J43)</f>
        <v>191786.96250000002</v>
      </c>
      <c r="L43" s="226">
        <f>SUM(L45,L47,L49)</f>
        <v>0</v>
      </c>
      <c r="M43" s="226">
        <f>SUM(M45,M47,M49)</f>
        <v>0</v>
      </c>
      <c r="N43" s="226">
        <f t="shared" ref="N43:AN43" si="34">SUM(N45,N47,N49)</f>
        <v>0</v>
      </c>
      <c r="O43" s="226">
        <f t="shared" si="34"/>
        <v>0</v>
      </c>
      <c r="P43" s="226">
        <f>SUM(L43:O43)</f>
        <v>0</v>
      </c>
      <c r="Q43" s="226">
        <f t="shared" si="34"/>
        <v>-120460.67600931863</v>
      </c>
      <c r="R43" s="226">
        <f t="shared" si="34"/>
        <v>378719.49676038133</v>
      </c>
      <c r="S43" s="226">
        <f t="shared" si="34"/>
        <v>168466.46642547817</v>
      </c>
      <c r="T43" s="226">
        <f t="shared" si="34"/>
        <v>1626597.3596750584</v>
      </c>
      <c r="U43" s="226">
        <f>SUM(Q43:T43)</f>
        <v>2053322.6468515992</v>
      </c>
      <c r="V43" s="226">
        <f t="shared" si="34"/>
        <v>-955.99666061943947</v>
      </c>
      <c r="W43" s="226">
        <f t="shared" si="34"/>
        <v>3005.5831181487906</v>
      </c>
      <c r="X43" s="226">
        <f t="shared" si="34"/>
        <v>-8499.5121741709791</v>
      </c>
      <c r="Y43" s="226">
        <f t="shared" si="34"/>
        <v>85588.766216216987</v>
      </c>
      <c r="Z43" s="226">
        <f>SUM(V43:Y43)</f>
        <v>79138.840499575366</v>
      </c>
      <c r="AA43" s="226">
        <f t="shared" si="34"/>
        <v>-18054.506661158342</v>
      </c>
      <c r="AB43" s="226">
        <f t="shared" si="34"/>
        <v>56762.039725245224</v>
      </c>
      <c r="AC43" s="226">
        <f t="shared" si="34"/>
        <v>-1533821.5146195041</v>
      </c>
      <c r="AD43" s="226">
        <f t="shared" si="34"/>
        <v>5029090.4688019259</v>
      </c>
      <c r="AE43" s="226">
        <f>SUM(AA43:AD43)</f>
        <v>3533976.4872465087</v>
      </c>
      <c r="AF43" s="966"/>
      <c r="AG43" s="966"/>
      <c r="AH43" s="226">
        <f>SUM(AH45,AH47,AH49)</f>
        <v>-136856.38683551518</v>
      </c>
      <c r="AI43" s="226">
        <f>SUM(AI45,AI47,AI49)</f>
        <v>430266.40450515883</v>
      </c>
      <c r="AJ43" s="226">
        <f>SUM(AF43:AI43)</f>
        <v>293410.01766964362</v>
      </c>
      <c r="AK43" s="966"/>
      <c r="AL43" s="966"/>
      <c r="AM43" s="226">
        <f t="shared" si="34"/>
        <v>-0.58817704247643865</v>
      </c>
      <c r="AN43" s="226">
        <f t="shared" si="34"/>
        <v>1.8491853184972531</v>
      </c>
      <c r="AO43" s="226">
        <f>SUM(AK43:AN43)</f>
        <v>1.2610082760208146</v>
      </c>
      <c r="AP43" s="227"/>
      <c r="AQ43" s="226">
        <f>SUM(AQ45,AQ47,AQ49)</f>
        <v>-139471.17933109641</v>
      </c>
      <c r="AR43" s="228">
        <f>AQ43/(AQ43+AS43)</f>
        <v>-0.46643392724785748</v>
      </c>
      <c r="AS43" s="226">
        <f>SUM(AS45,AS47,AS49)</f>
        <v>438487.11960377533</v>
      </c>
      <c r="AT43" s="228">
        <f>AS43/(AQ43+AS43)</f>
        <v>1.4664339272478575</v>
      </c>
      <c r="AU43" s="226">
        <f>SUM(AU45,AU47,AU49)</f>
        <v>-1383680.0344479722</v>
      </c>
      <c r="AV43" s="228">
        <f>AU43/(AU43+AW43)</f>
        <v>-0.23642060638028847</v>
      </c>
      <c r="AW43" s="226">
        <f>SUM(AW45,AW47,AW49)</f>
        <v>7236300.3099508965</v>
      </c>
      <c r="AX43" s="228">
        <f>AW43/(AU43+AW43)</f>
        <v>1.2364206063802885</v>
      </c>
      <c r="AY43" s="1011">
        <f>SUM(AY45,AY47,AY49)</f>
        <v>-1523151.2137790686</v>
      </c>
      <c r="AZ43" s="228">
        <f>+AY43/BC43</f>
        <v>-0.24760098945269449</v>
      </c>
      <c r="BA43" s="1011">
        <f>SUM(BA45,BA47,BA49)</f>
        <v>7674787.429554672</v>
      </c>
      <c r="BB43" s="229">
        <f>+BA43/BC43</f>
        <v>1.2476009894526945</v>
      </c>
      <c r="BC43" s="226">
        <f>SUM(BC45,BC47,BC49)</f>
        <v>6151636.2157756034</v>
      </c>
      <c r="BD43" s="1020">
        <f>+AY43-'T2'!F63</f>
        <v>-136856.3868355155</v>
      </c>
      <c r="BE43" s="1020">
        <f>+BA43-'T2'!H63</f>
        <v>430266.40450515971</v>
      </c>
      <c r="BF43" s="51"/>
    </row>
    <row r="44" spans="1:58">
      <c r="A44" s="224"/>
      <c r="B44" s="225"/>
      <c r="C44" s="225"/>
      <c r="D44" s="225"/>
      <c r="E44" s="234"/>
      <c r="F44" s="234"/>
      <c r="G44" s="231"/>
      <c r="H44" s="231"/>
      <c r="I44" s="231"/>
      <c r="J44" s="231"/>
      <c r="K44" s="232"/>
      <c r="L44" s="231"/>
      <c r="M44" s="231"/>
      <c r="N44" s="231"/>
      <c r="O44" s="231"/>
      <c r="P44" s="232"/>
      <c r="Q44" s="231"/>
      <c r="R44" s="231"/>
      <c r="S44" s="231"/>
      <c r="T44" s="231"/>
      <c r="U44" s="232"/>
      <c r="V44" s="231"/>
      <c r="W44" s="231"/>
      <c r="X44" s="231"/>
      <c r="Y44" s="231"/>
      <c r="Z44" s="232"/>
      <c r="AA44" s="231"/>
      <c r="AB44" s="231"/>
      <c r="AC44" s="231"/>
      <c r="AD44" s="231"/>
      <c r="AE44" s="232"/>
      <c r="AF44" s="968"/>
      <c r="AG44" s="968"/>
      <c r="AH44" s="231"/>
      <c r="AI44" s="231"/>
      <c r="AJ44" s="232"/>
      <c r="AK44" s="968"/>
      <c r="AL44" s="968"/>
      <c r="AM44" s="231"/>
      <c r="AN44" s="231"/>
      <c r="AO44" s="232"/>
      <c r="AP44" s="222"/>
      <c r="AQ44" s="232"/>
      <c r="AR44" s="233"/>
      <c r="AS44" s="232"/>
      <c r="AT44" s="233"/>
      <c r="AU44" s="232"/>
      <c r="AV44" s="233"/>
      <c r="AW44" s="232"/>
      <c r="AX44" s="233"/>
      <c r="AY44" s="233"/>
      <c r="AZ44" s="233"/>
      <c r="BA44" s="233"/>
      <c r="BB44" s="228"/>
      <c r="BC44" s="232"/>
      <c r="BD44" s="1021"/>
      <c r="BE44" s="1021"/>
      <c r="BF44" s="51"/>
    </row>
    <row r="45" spans="1:58">
      <c r="A45" s="224"/>
      <c r="B45" s="225"/>
      <c r="C45" s="225" t="s">
        <v>95</v>
      </c>
      <c r="D45" s="225" t="s">
        <v>84</v>
      </c>
      <c r="E45" s="234"/>
      <c r="F45" s="234"/>
      <c r="G45" s="288">
        <v>0</v>
      </c>
      <c r="H45" s="288">
        <v>0</v>
      </c>
      <c r="I45" s="288">
        <v>0</v>
      </c>
      <c r="J45" s="288">
        <v>0</v>
      </c>
      <c r="K45" s="226">
        <f>SUM(G45:J45)</f>
        <v>0</v>
      </c>
      <c r="L45" s="288">
        <v>0</v>
      </c>
      <c r="M45" s="288">
        <v>0</v>
      </c>
      <c r="N45" s="288">
        <v>0</v>
      </c>
      <c r="O45" s="288">
        <v>0</v>
      </c>
      <c r="P45" s="226">
        <f>SUM(L45:O45)</f>
        <v>0</v>
      </c>
      <c r="Q45" s="288">
        <v>-120460.67600931863</v>
      </c>
      <c r="R45" s="288">
        <v>378719.49676038133</v>
      </c>
      <c r="S45" s="288">
        <v>-421689.29543352459</v>
      </c>
      <c r="T45" s="288">
        <v>1325760.099034061</v>
      </c>
      <c r="U45" s="226">
        <f>SUM(Q45:T45)</f>
        <v>1162329.624351599</v>
      </c>
      <c r="V45" s="288">
        <v>-955.99666061943947</v>
      </c>
      <c r="W45" s="288">
        <v>3005.5831181487906</v>
      </c>
      <c r="X45" s="288">
        <v>-24611.168832634787</v>
      </c>
      <c r="Y45" s="288">
        <v>77375.702874680792</v>
      </c>
      <c r="Z45" s="226">
        <f>SUM(V45:Y45)</f>
        <v>54814.120499575358</v>
      </c>
      <c r="AA45" s="288">
        <v>-18054.506661158342</v>
      </c>
      <c r="AB45" s="288">
        <v>56762.039725245224</v>
      </c>
      <c r="AC45" s="288">
        <v>-1590440.6606145841</v>
      </c>
      <c r="AD45" s="288">
        <v>5000228.3447970059</v>
      </c>
      <c r="AE45" s="226">
        <f>SUM(AA45:AD45)</f>
        <v>3448495.2172465087</v>
      </c>
      <c r="AF45" s="969"/>
      <c r="AG45" s="969"/>
      <c r="AH45" s="288">
        <v>-136856.38683551518</v>
      </c>
      <c r="AI45" s="288">
        <v>430266.40450515883</v>
      </c>
      <c r="AJ45" s="226">
        <f>SUM(AF45:AI45)</f>
        <v>293410.01766964362</v>
      </c>
      <c r="AK45" s="969"/>
      <c r="AL45" s="969"/>
      <c r="AM45" s="288">
        <v>-0.58817704247643865</v>
      </c>
      <c r="AN45" s="288">
        <v>1.8491853184972531</v>
      </c>
      <c r="AO45" s="226">
        <f>SUM(AK45:AN45)</f>
        <v>1.2610082760208146</v>
      </c>
      <c r="AP45" s="227"/>
      <c r="AQ45" s="226">
        <f>SUM(G45,Q45,L45,V45,AA45,AK45,AF45)</f>
        <v>-139471.17933109641</v>
      </c>
      <c r="AR45" s="228">
        <f>AQ45/(AQ45+AS45)</f>
        <v>-0.46643392724785748</v>
      </c>
      <c r="AS45" s="226">
        <f>SUM(H45,R45,M45,W45,AB45,AL45,AG45)</f>
        <v>438487.11960377533</v>
      </c>
      <c r="AT45" s="228">
        <f>AS45/(AQ45+AS45)</f>
        <v>1.4664339272478575</v>
      </c>
      <c r="AU45" s="226">
        <f>SUM(I45,N45,S45,X45,AC45,AM45,AH45)</f>
        <v>-2173598.0998933013</v>
      </c>
      <c r="AV45" s="228">
        <f>AU45/(AU45+AW45)</f>
        <v>-0.46643392724785743</v>
      </c>
      <c r="AW45" s="226">
        <f>SUM(J45,O45,T45,Y45,AD45,AN45,AI45)</f>
        <v>6833632.400396225</v>
      </c>
      <c r="AX45" s="228">
        <f>AW45/(AU45+AW45)</f>
        <v>1.4664339272478573</v>
      </c>
      <c r="AY45" s="1011">
        <f>+AQ45+AU45</f>
        <v>-2313069.2792243976</v>
      </c>
      <c r="AZ45" s="228">
        <f>+AY45/BC45</f>
        <v>-0.46643392724785748</v>
      </c>
      <c r="BA45" s="1011">
        <f>+AS45+AW45</f>
        <v>7272119.5200000005</v>
      </c>
      <c r="BB45" s="228">
        <f>+BA45/BC45</f>
        <v>1.4664339272478575</v>
      </c>
      <c r="BC45" s="226">
        <f>+AY45+BA45</f>
        <v>4959050.2407756029</v>
      </c>
      <c r="BD45" s="1020">
        <f>+AY45-'T2'!F64</f>
        <v>-136856.3868355155</v>
      </c>
      <c r="BE45" s="1020">
        <f>+BA45-'T2'!H64</f>
        <v>430266.40450515971</v>
      </c>
      <c r="BF45" s="51"/>
    </row>
    <row r="46" spans="1:58">
      <c r="A46" s="224"/>
      <c r="B46" s="225"/>
      <c r="C46" s="225"/>
      <c r="D46" s="225"/>
      <c r="E46" s="234"/>
      <c r="F46" s="234"/>
      <c r="G46" s="231"/>
      <c r="H46" s="231"/>
      <c r="I46" s="231"/>
      <c r="J46" s="231"/>
      <c r="K46" s="232"/>
      <c r="L46" s="231"/>
      <c r="M46" s="231"/>
      <c r="N46" s="231"/>
      <c r="O46" s="231"/>
      <c r="P46" s="232"/>
      <c r="Q46" s="231"/>
      <c r="R46" s="231"/>
      <c r="S46" s="231"/>
      <c r="T46" s="231"/>
      <c r="U46" s="232"/>
      <c r="V46" s="231"/>
      <c r="W46" s="231"/>
      <c r="X46" s="231"/>
      <c r="Y46" s="231"/>
      <c r="Z46" s="232"/>
      <c r="AA46" s="231"/>
      <c r="AB46" s="231"/>
      <c r="AC46" s="231"/>
      <c r="AD46" s="231"/>
      <c r="AE46" s="232"/>
      <c r="AF46" s="968"/>
      <c r="AG46" s="968"/>
      <c r="AH46" s="231"/>
      <c r="AI46" s="231"/>
      <c r="AJ46" s="232"/>
      <c r="AK46" s="968"/>
      <c r="AL46" s="968"/>
      <c r="AM46" s="231"/>
      <c r="AN46" s="231"/>
      <c r="AO46" s="232"/>
      <c r="AP46" s="222"/>
      <c r="AQ46" s="232"/>
      <c r="AR46" s="233"/>
      <c r="AS46" s="232"/>
      <c r="AT46" s="233"/>
      <c r="AU46" s="232"/>
      <c r="AV46" s="233"/>
      <c r="AW46" s="232"/>
      <c r="AX46" s="233"/>
      <c r="AY46" s="233"/>
      <c r="AZ46" s="233"/>
      <c r="BA46" s="233"/>
      <c r="BB46" s="233"/>
      <c r="BC46" s="232"/>
      <c r="BD46" s="1021"/>
      <c r="BE46" s="1021"/>
      <c r="BF46" s="51"/>
    </row>
    <row r="47" spans="1:58">
      <c r="A47" s="224"/>
      <c r="B47" s="225"/>
      <c r="C47" s="225" t="s">
        <v>96</v>
      </c>
      <c r="D47" s="225" t="s">
        <v>98</v>
      </c>
      <c r="E47" s="234"/>
      <c r="F47" s="234"/>
      <c r="G47" s="288">
        <v>0</v>
      </c>
      <c r="H47" s="288">
        <v>0</v>
      </c>
      <c r="I47" s="288">
        <v>127031.50093278255</v>
      </c>
      <c r="J47" s="288">
        <v>64755.461567217484</v>
      </c>
      <c r="K47" s="226">
        <f>SUM(G47:J47)</f>
        <v>191786.96250000002</v>
      </c>
      <c r="L47" s="288">
        <v>0</v>
      </c>
      <c r="M47" s="288">
        <v>0</v>
      </c>
      <c r="N47" s="288">
        <v>0</v>
      </c>
      <c r="O47" s="288">
        <v>0</v>
      </c>
      <c r="P47" s="226">
        <f>SUM(L47:O47)</f>
        <v>0</v>
      </c>
      <c r="Q47" s="288">
        <v>0</v>
      </c>
      <c r="R47" s="288">
        <v>0</v>
      </c>
      <c r="S47" s="288">
        <v>590155.76185900276</v>
      </c>
      <c r="T47" s="288">
        <v>300837.26064099738</v>
      </c>
      <c r="U47" s="226">
        <f>SUM(Q47:T47)</f>
        <v>890993.0225000002</v>
      </c>
      <c r="V47" s="288">
        <v>0</v>
      </c>
      <c r="W47" s="288">
        <v>0</v>
      </c>
      <c r="X47" s="288">
        <v>16111.656658463808</v>
      </c>
      <c r="Y47" s="288">
        <v>8213.0633415361917</v>
      </c>
      <c r="Z47" s="226">
        <f>SUM(V47:Y47)</f>
        <v>24324.720000000001</v>
      </c>
      <c r="AA47" s="288">
        <v>0</v>
      </c>
      <c r="AB47" s="288">
        <v>0</v>
      </c>
      <c r="AC47" s="288">
        <v>56619.145995080013</v>
      </c>
      <c r="AD47" s="288">
        <v>28862.124004919991</v>
      </c>
      <c r="AE47" s="226">
        <f>SUM(AA47:AD47)</f>
        <v>85481.27</v>
      </c>
      <c r="AF47" s="969"/>
      <c r="AG47" s="969"/>
      <c r="AH47" s="288">
        <f>0</f>
        <v>0</v>
      </c>
      <c r="AI47" s="288">
        <v>0</v>
      </c>
      <c r="AJ47" s="226">
        <f>SUM(AF47:AI47)</f>
        <v>0</v>
      </c>
      <c r="AK47" s="969"/>
      <c r="AL47" s="969"/>
      <c r="AM47" s="288">
        <v>0</v>
      </c>
      <c r="AN47" s="288">
        <v>0</v>
      </c>
      <c r="AO47" s="226">
        <f>SUM(AK47:AN47)</f>
        <v>0</v>
      </c>
      <c r="AP47" s="227"/>
      <c r="AQ47" s="226">
        <f>SUM(G47,Q47,L47,V47,AA47,AK47,AF47)</f>
        <v>0</v>
      </c>
      <c r="AR47" s="228" t="e">
        <f>AQ47/(AQ47+AS47)</f>
        <v>#DIV/0!</v>
      </c>
      <c r="AS47" s="226">
        <f>SUM(H47,R47,M47,W47,AB47,AL47,AG47)</f>
        <v>0</v>
      </c>
      <c r="AT47" s="228" t="e">
        <f>AS47/(AQ47+AS47)</f>
        <v>#DIV/0!</v>
      </c>
      <c r="AU47" s="226">
        <f>SUM(I47,N47,S47,X47,AC47,AM47,AH47)</f>
        <v>789918.06544532906</v>
      </c>
      <c r="AV47" s="228">
        <f>AU47/(AU47+AW47)</f>
        <v>0.66235733272423314</v>
      </c>
      <c r="AW47" s="226">
        <f>SUM(J47,O47,T47,Y47,AD47,AN47,AI47)</f>
        <v>402667.90955467109</v>
      </c>
      <c r="AX47" s="228">
        <f>AW47/(AU47+AW47)</f>
        <v>0.33764266727576692</v>
      </c>
      <c r="AY47" s="1011">
        <f>+AQ47+AU47</f>
        <v>789918.06544532906</v>
      </c>
      <c r="AZ47" s="228">
        <f>+AY47/BC47</f>
        <v>0.66235733272423314</v>
      </c>
      <c r="BA47" s="1011">
        <f>+AS47+AW47</f>
        <v>402667.90955467109</v>
      </c>
      <c r="BB47" s="228">
        <f>+BA47/BC47</f>
        <v>0.33764266727576692</v>
      </c>
      <c r="BC47" s="226">
        <f>+AY47+BA47</f>
        <v>1192585.9750000001</v>
      </c>
      <c r="BD47" s="1020">
        <f>+AY47-'T2'!F66</f>
        <v>0</v>
      </c>
      <c r="BE47" s="1020">
        <f>+BA47-'T2'!H66</f>
        <v>0</v>
      </c>
      <c r="BF47" s="51"/>
    </row>
    <row r="48" spans="1:58">
      <c r="A48" s="224"/>
      <c r="B48" s="225"/>
      <c r="C48" s="225"/>
      <c r="D48" s="225"/>
      <c r="E48" s="234"/>
      <c r="F48" s="234"/>
      <c r="G48" s="947"/>
      <c r="H48" s="947"/>
      <c r="I48" s="947"/>
      <c r="J48" s="947"/>
      <c r="K48" s="226"/>
      <c r="L48" s="947"/>
      <c r="M48" s="947"/>
      <c r="N48" s="947"/>
      <c r="O48" s="947"/>
      <c r="P48" s="226"/>
      <c r="Q48" s="947"/>
      <c r="R48" s="947"/>
      <c r="S48" s="947"/>
      <c r="T48" s="947"/>
      <c r="U48" s="226"/>
      <c r="V48" s="947"/>
      <c r="W48" s="947"/>
      <c r="X48" s="947"/>
      <c r="Y48" s="947"/>
      <c r="Z48" s="226"/>
      <c r="AA48" s="947"/>
      <c r="AB48" s="947"/>
      <c r="AC48" s="947"/>
      <c r="AD48" s="947"/>
      <c r="AE48" s="226"/>
      <c r="AF48" s="971"/>
      <c r="AG48" s="971"/>
      <c r="AH48" s="947"/>
      <c r="AI48" s="947"/>
      <c r="AJ48" s="226"/>
      <c r="AK48" s="971"/>
      <c r="AL48" s="971"/>
      <c r="AM48" s="947"/>
      <c r="AN48" s="947"/>
      <c r="AO48" s="226"/>
      <c r="AP48" s="227"/>
      <c r="AQ48" s="226"/>
      <c r="AR48" s="228"/>
      <c r="AS48" s="226"/>
      <c r="AT48" s="228"/>
      <c r="AU48" s="226"/>
      <c r="AV48" s="228"/>
      <c r="AW48" s="226"/>
      <c r="AX48" s="228"/>
      <c r="AY48" s="228"/>
      <c r="AZ48" s="228"/>
      <c r="BA48" s="228"/>
      <c r="BB48" s="228"/>
      <c r="BC48" s="226"/>
      <c r="BD48" s="1020"/>
      <c r="BE48" s="1020"/>
      <c r="BF48" s="51"/>
    </row>
    <row r="49" spans="1:58">
      <c r="A49" s="224"/>
      <c r="B49" s="225"/>
      <c r="C49" s="225" t="s">
        <v>281</v>
      </c>
      <c r="D49" s="225" t="s">
        <v>283</v>
      </c>
      <c r="E49" s="234"/>
      <c r="F49" s="234"/>
      <c r="G49" s="288">
        <v>0</v>
      </c>
      <c r="H49" s="288">
        <v>0</v>
      </c>
      <c r="I49" s="288">
        <v>0</v>
      </c>
      <c r="J49" s="288">
        <v>0</v>
      </c>
      <c r="K49" s="226">
        <f>SUM(G49:J49)</f>
        <v>0</v>
      </c>
      <c r="L49" s="288">
        <v>0</v>
      </c>
      <c r="M49" s="288">
        <v>0</v>
      </c>
      <c r="N49" s="288">
        <v>0</v>
      </c>
      <c r="O49" s="288">
        <v>0</v>
      </c>
      <c r="P49" s="226">
        <f>SUM(L49:O49)</f>
        <v>0</v>
      </c>
      <c r="Q49" s="288">
        <v>0</v>
      </c>
      <c r="R49" s="288">
        <v>0</v>
      </c>
      <c r="S49" s="288">
        <v>0</v>
      </c>
      <c r="T49" s="288">
        <v>0</v>
      </c>
      <c r="U49" s="226">
        <f>SUM(Q49:T49)</f>
        <v>0</v>
      </c>
      <c r="V49" s="288">
        <v>0</v>
      </c>
      <c r="W49" s="288">
        <v>0</v>
      </c>
      <c r="X49" s="288">
        <v>0</v>
      </c>
      <c r="Y49" s="288">
        <v>0</v>
      </c>
      <c r="Z49" s="226">
        <f>SUM(V49:Y49)</f>
        <v>0</v>
      </c>
      <c r="AA49" s="288">
        <v>0</v>
      </c>
      <c r="AB49" s="288">
        <v>0</v>
      </c>
      <c r="AC49" s="288">
        <v>0</v>
      </c>
      <c r="AD49" s="288">
        <v>0</v>
      </c>
      <c r="AE49" s="226">
        <f>SUM(AA49:AD49)</f>
        <v>0</v>
      </c>
      <c r="AF49" s="969"/>
      <c r="AG49" s="969"/>
      <c r="AH49" s="288">
        <v>0</v>
      </c>
      <c r="AI49" s="288">
        <v>0</v>
      </c>
      <c r="AJ49" s="226">
        <f>SUM(AF49:AI49)</f>
        <v>0</v>
      </c>
      <c r="AK49" s="969"/>
      <c r="AL49" s="969"/>
      <c r="AM49" s="288">
        <v>0</v>
      </c>
      <c r="AN49" s="288">
        <v>0</v>
      </c>
      <c r="AO49" s="226">
        <f>SUM(AK49:AN49)</f>
        <v>0</v>
      </c>
      <c r="AP49" s="227"/>
      <c r="AQ49" s="226">
        <f>SUM(G49,Q49,L49,V49,AA49,AK49,AF49)</f>
        <v>0</v>
      </c>
      <c r="AR49" s="228" t="e">
        <f>AQ49/(AQ49+AS49)</f>
        <v>#DIV/0!</v>
      </c>
      <c r="AS49" s="226">
        <f>SUM(H49,R49,M49,W49,AB49,AL49,AG49)</f>
        <v>0</v>
      </c>
      <c r="AT49" s="228" t="e">
        <f>AS49/(AQ49+AS49)</f>
        <v>#DIV/0!</v>
      </c>
      <c r="AU49" s="226">
        <f>SUM(I49,N49,S49,X49,AC49,AM49,AH49)</f>
        <v>0</v>
      </c>
      <c r="AV49" s="228" t="e">
        <f>AU49/(AU49+AW49)</f>
        <v>#DIV/0!</v>
      </c>
      <c r="AW49" s="226">
        <f>SUM(J49,O49,T49,Y49,AD49,AN49,AI49)</f>
        <v>0</v>
      </c>
      <c r="AX49" s="228" t="e">
        <f>AW49/(AU49+AW49)</f>
        <v>#DIV/0!</v>
      </c>
      <c r="AY49" s="1011">
        <f>+AQ49+AU49</f>
        <v>0</v>
      </c>
      <c r="AZ49" s="228" t="e">
        <f>+AY49/BC49</f>
        <v>#DIV/0!</v>
      </c>
      <c r="BA49" s="1011">
        <f>+AS49+AW49</f>
        <v>0</v>
      </c>
      <c r="BB49" s="228" t="e">
        <f>+BA49/BC49</f>
        <v>#DIV/0!</v>
      </c>
      <c r="BC49" s="226">
        <f>+AY49+BA49</f>
        <v>0</v>
      </c>
      <c r="BD49" s="1020">
        <f>+AY49-'T2'!F69</f>
        <v>0</v>
      </c>
      <c r="BE49" s="1020">
        <f>+BA49-'T2'!H69</f>
        <v>0</v>
      </c>
      <c r="BF49" s="51"/>
    </row>
    <row r="50" spans="1:58">
      <c r="A50" s="224"/>
      <c r="B50" s="225"/>
      <c r="C50" s="225"/>
      <c r="D50" s="234"/>
      <c r="E50" s="234"/>
      <c r="F50" s="234"/>
      <c r="G50" s="231"/>
      <c r="H50" s="231"/>
      <c r="I50" s="231"/>
      <c r="J50" s="231"/>
      <c r="K50" s="232"/>
      <c r="L50" s="231"/>
      <c r="M50" s="231"/>
      <c r="N50" s="231"/>
      <c r="O50" s="231"/>
      <c r="P50" s="232"/>
      <c r="Q50" s="231"/>
      <c r="R50" s="231"/>
      <c r="S50" s="231"/>
      <c r="T50" s="231"/>
      <c r="U50" s="232"/>
      <c r="V50" s="231"/>
      <c r="W50" s="231"/>
      <c r="X50" s="231"/>
      <c r="Y50" s="231"/>
      <c r="Z50" s="232"/>
      <c r="AA50" s="231"/>
      <c r="AB50" s="231"/>
      <c r="AC50" s="231"/>
      <c r="AD50" s="231"/>
      <c r="AE50" s="232"/>
      <c r="AF50" s="968"/>
      <c r="AG50" s="968"/>
      <c r="AH50" s="231"/>
      <c r="AI50" s="231"/>
      <c r="AJ50" s="232"/>
      <c r="AK50" s="968"/>
      <c r="AL50" s="968"/>
      <c r="AM50" s="231"/>
      <c r="AN50" s="231"/>
      <c r="AO50" s="232"/>
      <c r="AP50" s="222"/>
      <c r="AQ50" s="232"/>
      <c r="AR50" s="233"/>
      <c r="AS50" s="232"/>
      <c r="AT50" s="233"/>
      <c r="AU50" s="232"/>
      <c r="AV50" s="233"/>
      <c r="AW50" s="232"/>
      <c r="AX50" s="233"/>
      <c r="AY50" s="233"/>
      <c r="AZ50" s="233"/>
      <c r="BA50" s="233"/>
      <c r="BB50" s="233"/>
      <c r="BC50" s="232"/>
      <c r="BD50" s="1021"/>
      <c r="BE50" s="1021"/>
      <c r="BF50" s="51"/>
    </row>
    <row r="51" spans="1:58" ht="17.25" customHeight="1">
      <c r="A51" s="224"/>
      <c r="B51" s="225"/>
      <c r="C51" s="225"/>
      <c r="D51" s="225"/>
      <c r="E51" s="234"/>
      <c r="F51" s="234"/>
      <c r="G51" s="231"/>
      <c r="H51" s="231"/>
      <c r="I51" s="231"/>
      <c r="J51" s="231"/>
      <c r="K51" s="232"/>
      <c r="L51" s="231"/>
      <c r="M51" s="231"/>
      <c r="N51" s="231"/>
      <c r="O51" s="231"/>
      <c r="P51" s="232"/>
      <c r="Q51" s="231"/>
      <c r="R51" s="231"/>
      <c r="S51" s="231"/>
      <c r="T51" s="231"/>
      <c r="U51" s="232"/>
      <c r="V51" s="231"/>
      <c r="W51" s="231"/>
      <c r="X51" s="231"/>
      <c r="Y51" s="231"/>
      <c r="Z51" s="232"/>
      <c r="AA51" s="231"/>
      <c r="AB51" s="231"/>
      <c r="AC51" s="231"/>
      <c r="AD51" s="231"/>
      <c r="AE51" s="232"/>
      <c r="AF51" s="968"/>
      <c r="AG51" s="968"/>
      <c r="AH51" s="231"/>
      <c r="AI51" s="231"/>
      <c r="AJ51" s="232"/>
      <c r="AK51" s="968"/>
      <c r="AL51" s="968"/>
      <c r="AM51" s="231"/>
      <c r="AN51" s="231"/>
      <c r="AO51" s="232"/>
      <c r="AP51" s="222"/>
      <c r="AQ51" s="232"/>
      <c r="AR51" s="233"/>
      <c r="AS51" s="232"/>
      <c r="AT51" s="233"/>
      <c r="AU51" s="232"/>
      <c r="AV51" s="233"/>
      <c r="AW51" s="232"/>
      <c r="AX51" s="233"/>
      <c r="AY51" s="233"/>
      <c r="AZ51" s="233"/>
      <c r="BA51" s="233"/>
      <c r="BB51" s="233"/>
      <c r="BC51" s="232"/>
      <c r="BD51" s="1021"/>
      <c r="BE51" s="1021"/>
      <c r="BF51" s="51"/>
    </row>
    <row r="52" spans="1:58" ht="17.25" customHeight="1">
      <c r="A52" s="224"/>
      <c r="B52" s="225" t="s">
        <v>45</v>
      </c>
      <c r="C52" s="225" t="s">
        <v>86</v>
      </c>
      <c r="D52" s="225"/>
      <c r="E52" s="225"/>
      <c r="F52" s="225"/>
      <c r="G52" s="226">
        <f>SUM(G54:G59)</f>
        <v>1998.4197386719059</v>
      </c>
      <c r="H52" s="226">
        <f>SUM(H54:H59)</f>
        <v>0</v>
      </c>
      <c r="I52" s="226">
        <f>SUM(I54:I59)</f>
        <v>8726.1854726449674</v>
      </c>
      <c r="J52" s="226">
        <f>SUM(J54:J59)</f>
        <v>0</v>
      </c>
      <c r="K52" s="226">
        <f>SUM(G52:J52)</f>
        <v>10724.605211316873</v>
      </c>
      <c r="L52" s="226">
        <f>SUM(L54:L59)</f>
        <v>0</v>
      </c>
      <c r="M52" s="226">
        <f>SUM(M54:M59)</f>
        <v>0</v>
      </c>
      <c r="N52" s="226">
        <f>SUM(N54:N59)</f>
        <v>0</v>
      </c>
      <c r="O52" s="226">
        <f>SUM(O54:O59)</f>
        <v>0</v>
      </c>
      <c r="P52" s="226">
        <f>SUM(L52:O52)</f>
        <v>0</v>
      </c>
      <c r="Q52" s="226">
        <f>SUM(Q54:Q59)</f>
        <v>358887.05568021088</v>
      </c>
      <c r="R52" s="226">
        <f>SUM(R54:R59)</f>
        <v>0</v>
      </c>
      <c r="S52" s="226">
        <f>SUM(S54:S59)</f>
        <v>1261396.3752432212</v>
      </c>
      <c r="T52" s="226">
        <f>SUM(T54:T59)</f>
        <v>0</v>
      </c>
      <c r="U52" s="226">
        <f>SUM(Q52:T52)</f>
        <v>1620283.4309234321</v>
      </c>
      <c r="V52" s="226">
        <f>SUM(V54:V59)</f>
        <v>14963.654801915865</v>
      </c>
      <c r="W52" s="226">
        <f>SUM(W54:W59)</f>
        <v>0</v>
      </c>
      <c r="X52" s="226">
        <f>SUM(X54:X59)</f>
        <v>40088.972299004774</v>
      </c>
      <c r="Y52" s="226">
        <f>SUM(Y54:Y59)</f>
        <v>0</v>
      </c>
      <c r="Z52" s="226">
        <f>SUM(V52:Y52)</f>
        <v>55052.627100920639</v>
      </c>
      <c r="AA52" s="226">
        <f>SUM(AA54:AA59)</f>
        <v>76119.48510730837</v>
      </c>
      <c r="AB52" s="226">
        <f>SUM(AB54:AB59)</f>
        <v>0</v>
      </c>
      <c r="AC52" s="226">
        <f>SUM(AC54:AC59)</f>
        <v>5458490.6244715881</v>
      </c>
      <c r="AD52" s="226">
        <f>SUM(AD54:AD59)</f>
        <v>0</v>
      </c>
      <c r="AE52" s="226">
        <f>SUM(AA52:AD52)</f>
        <v>5534610.1095788963</v>
      </c>
      <c r="AF52" s="966"/>
      <c r="AG52" s="966"/>
      <c r="AH52" s="226">
        <f>SUM(AH54:AH59)</f>
        <v>469699.57631242054</v>
      </c>
      <c r="AI52" s="226">
        <f>SUM(AI54:AI59)</f>
        <v>0</v>
      </c>
      <c r="AJ52" s="226">
        <f>SUM(AF52:AI52)</f>
        <v>469699.57631242054</v>
      </c>
      <c r="AK52" s="966"/>
      <c r="AL52" s="966"/>
      <c r="AM52" s="226">
        <f>SUM(AM54:AM59)</f>
        <v>1.7594100618995101</v>
      </c>
      <c r="AN52" s="226">
        <f>SUM(AN54:AN59)</f>
        <v>0</v>
      </c>
      <c r="AO52" s="226">
        <f>SUM(AK52:AN52)</f>
        <v>1.7594100618995101</v>
      </c>
      <c r="AP52" s="227"/>
      <c r="AQ52" s="226">
        <f>SUM(AQ54:AQ59)</f>
        <v>451968.61532810703</v>
      </c>
      <c r="AR52" s="228">
        <f>AQ52/(AQ52+AS52)</f>
        <v>1</v>
      </c>
      <c r="AS52" s="226">
        <f>SUM(AS54:AS59)</f>
        <v>0</v>
      </c>
      <c r="AT52" s="228">
        <f>AS52/(AQ52+AS52)</f>
        <v>0</v>
      </c>
      <c r="AU52" s="226">
        <f>SUM(AU54:AU59)</f>
        <v>7238403.4932089411</v>
      </c>
      <c r="AV52" s="228">
        <f>AU52/(AU52+AW52)</f>
        <v>1</v>
      </c>
      <c r="AW52" s="226">
        <f>SUM(AW54:AW59)</f>
        <v>0</v>
      </c>
      <c r="AX52" s="228">
        <f>AW52/(AU52+AW52)</f>
        <v>0</v>
      </c>
      <c r="AY52" s="226">
        <f>SUM(AY54:AY59)</f>
        <v>7690372.1085370481</v>
      </c>
      <c r="AZ52" s="229">
        <f>+AY52/BC52</f>
        <v>1</v>
      </c>
      <c r="BA52" s="226">
        <f>SUM(BA54:BA59)</f>
        <v>0</v>
      </c>
      <c r="BB52" s="229">
        <f>+BA52/BC52</f>
        <v>0</v>
      </c>
      <c r="BC52" s="226">
        <f>SUM(BC54:BC59)</f>
        <v>7690372.1085370481</v>
      </c>
      <c r="BD52" s="1020">
        <f>+AY52-'T2'!F71</f>
        <v>469699.57631242089</v>
      </c>
      <c r="BE52" s="1020">
        <f>+BA52-'T2'!H71</f>
        <v>0</v>
      </c>
      <c r="BF52" s="51"/>
    </row>
    <row r="53" spans="1:58">
      <c r="A53" s="224"/>
      <c r="B53" s="225"/>
      <c r="C53" s="225"/>
      <c r="D53" s="225"/>
      <c r="E53" s="225"/>
      <c r="F53" s="225"/>
      <c r="G53" s="235"/>
      <c r="H53" s="235"/>
      <c r="I53" s="235"/>
      <c r="J53" s="235"/>
      <c r="K53" s="232"/>
      <c r="L53" s="235"/>
      <c r="M53" s="235"/>
      <c r="N53" s="235"/>
      <c r="O53" s="235"/>
      <c r="P53" s="232"/>
      <c r="Q53" s="235"/>
      <c r="R53" s="235"/>
      <c r="S53" s="235"/>
      <c r="T53" s="235"/>
      <c r="U53" s="232"/>
      <c r="V53" s="235"/>
      <c r="W53" s="235"/>
      <c r="X53" s="235"/>
      <c r="Y53" s="235"/>
      <c r="Z53" s="232"/>
      <c r="AA53" s="235"/>
      <c r="AB53" s="235"/>
      <c r="AC53" s="235"/>
      <c r="AD53" s="235"/>
      <c r="AE53" s="232"/>
      <c r="AF53" s="970"/>
      <c r="AG53" s="970"/>
      <c r="AH53" s="235"/>
      <c r="AI53" s="235"/>
      <c r="AJ53" s="232"/>
      <c r="AK53" s="970"/>
      <c r="AL53" s="970"/>
      <c r="AM53" s="235"/>
      <c r="AN53" s="235"/>
      <c r="AO53" s="232"/>
      <c r="AP53" s="222"/>
      <c r="AQ53" s="232"/>
      <c r="AR53" s="233"/>
      <c r="AS53" s="232"/>
      <c r="AT53" s="233"/>
      <c r="AU53" s="232"/>
      <c r="AV53" s="233"/>
      <c r="AW53" s="232"/>
      <c r="AX53" s="233"/>
      <c r="AY53" s="233"/>
      <c r="AZ53" s="233"/>
      <c r="BA53" s="233"/>
      <c r="BB53" s="233"/>
      <c r="BC53" s="232"/>
      <c r="BD53" s="1021"/>
      <c r="BE53" s="1021"/>
      <c r="BF53" s="51"/>
    </row>
    <row r="54" spans="1:58">
      <c r="A54" s="224"/>
      <c r="B54" s="225"/>
      <c r="C54" s="225" t="s">
        <v>54</v>
      </c>
      <c r="D54" s="225" t="s">
        <v>87</v>
      </c>
      <c r="E54" s="238"/>
      <c r="F54" s="234"/>
      <c r="G54" s="288">
        <v>0</v>
      </c>
      <c r="H54" s="288">
        <v>0</v>
      </c>
      <c r="I54" s="288">
        <v>0</v>
      </c>
      <c r="J54" s="288">
        <v>0</v>
      </c>
      <c r="K54" s="226">
        <f t="shared" ref="K54:K59" si="35">SUM(G54:J54)</f>
        <v>0</v>
      </c>
      <c r="L54" s="288">
        <v>0</v>
      </c>
      <c r="M54" s="288">
        <v>0</v>
      </c>
      <c r="N54" s="288">
        <v>0</v>
      </c>
      <c r="O54" s="288">
        <v>0</v>
      </c>
      <c r="P54" s="226">
        <f t="shared" ref="P54:P59" si="36">SUM(L54:O54)</f>
        <v>0</v>
      </c>
      <c r="Q54" s="288">
        <v>0</v>
      </c>
      <c r="R54" s="288">
        <v>0</v>
      </c>
      <c r="S54" s="288">
        <v>0</v>
      </c>
      <c r="T54" s="288">
        <v>0</v>
      </c>
      <c r="U54" s="226">
        <f t="shared" ref="U54:U59" si="37">SUM(Q54:T54)</f>
        <v>0</v>
      </c>
      <c r="V54" s="288">
        <v>0</v>
      </c>
      <c r="W54" s="288">
        <v>0</v>
      </c>
      <c r="X54" s="288">
        <v>0</v>
      </c>
      <c r="Y54" s="288">
        <v>0</v>
      </c>
      <c r="Z54" s="226">
        <f t="shared" ref="Z54:Z59" si="38">SUM(V54:Y54)</f>
        <v>0</v>
      </c>
      <c r="AA54" s="288">
        <v>0</v>
      </c>
      <c r="AB54" s="288">
        <v>0</v>
      </c>
      <c r="AC54" s="288">
        <v>0</v>
      </c>
      <c r="AD54" s="288">
        <v>0</v>
      </c>
      <c r="AE54" s="226">
        <f t="shared" ref="AE54:AE59" si="39">SUM(AA54:AD54)</f>
        <v>0</v>
      </c>
      <c r="AF54" s="969"/>
      <c r="AG54" s="969"/>
      <c r="AH54" s="288">
        <v>0</v>
      </c>
      <c r="AI54" s="288">
        <v>0</v>
      </c>
      <c r="AJ54" s="226">
        <f t="shared" ref="AJ54:AJ59" si="40">SUM(AF54:AI54)</f>
        <v>0</v>
      </c>
      <c r="AK54" s="969"/>
      <c r="AL54" s="969"/>
      <c r="AM54" s="288">
        <v>0</v>
      </c>
      <c r="AN54" s="288">
        <v>0</v>
      </c>
      <c r="AO54" s="226">
        <f t="shared" ref="AO54:AO59" si="41">SUM(AK54:AN54)</f>
        <v>0</v>
      </c>
      <c r="AP54" s="227"/>
      <c r="AQ54" s="226">
        <f t="shared" ref="AQ54:AQ59" si="42">SUM(G54,Q54,L54,V54,AA54,AK54,AF54)</f>
        <v>0</v>
      </c>
      <c r="AR54" s="228" t="e">
        <f t="shared" ref="AR54:AR59" si="43">AQ54/(AQ54+AS54)</f>
        <v>#DIV/0!</v>
      </c>
      <c r="AS54" s="226">
        <f t="shared" ref="AS54:AS59" si="44">SUM(H54,R54,M54,W54,AB54,AL54,AG54)</f>
        <v>0</v>
      </c>
      <c r="AT54" s="228" t="e">
        <f t="shared" ref="AT54:AT59" si="45">AS54/(AQ54+AS54)</f>
        <v>#DIV/0!</v>
      </c>
      <c r="AU54" s="226">
        <f t="shared" ref="AU54:AU59" si="46">SUM(I54,N54,S54,X54,AC54,AM54,AH54)</f>
        <v>0</v>
      </c>
      <c r="AV54" s="228" t="e">
        <f t="shared" ref="AV54:AV59" si="47">AU54/(AU54+AW54)</f>
        <v>#DIV/0!</v>
      </c>
      <c r="AW54" s="226">
        <f t="shared" ref="AW54:AW59" si="48">SUM(J54,O54,T54,Y54,AD54,AN54,AI54)</f>
        <v>0</v>
      </c>
      <c r="AX54" s="228" t="e">
        <f t="shared" ref="AX54:AX59" si="49">AW54/(AU54+AW54)</f>
        <v>#DIV/0!</v>
      </c>
      <c r="AY54" s="1011">
        <f t="shared" ref="AY54:AY59" si="50">+AQ54+AU54</f>
        <v>0</v>
      </c>
      <c r="AZ54" s="228" t="e">
        <f t="shared" ref="AZ54:AZ59" si="51">+AY54/BC54</f>
        <v>#DIV/0!</v>
      </c>
      <c r="BA54" s="1011">
        <f t="shared" ref="BA54:BA59" si="52">+AS54+AW54</f>
        <v>0</v>
      </c>
      <c r="BB54" s="228" t="e">
        <f t="shared" ref="BB54:BB59" si="53">+BA54/BC54</f>
        <v>#DIV/0!</v>
      </c>
      <c r="BC54" s="226">
        <f t="shared" ref="BC54:BC59" si="54">+AY54+BA54</f>
        <v>0</v>
      </c>
      <c r="BD54" s="1020">
        <f>+AY54-'T2'!F72</f>
        <v>0</v>
      </c>
      <c r="BE54" s="1020">
        <f>+BA54-'T2'!H72</f>
        <v>0</v>
      </c>
      <c r="BF54" s="51"/>
    </row>
    <row r="55" spans="1:58">
      <c r="A55" s="224"/>
      <c r="B55" s="225"/>
      <c r="C55" s="225" t="s">
        <v>55</v>
      </c>
      <c r="D55" s="225" t="s">
        <v>296</v>
      </c>
      <c r="E55" s="225"/>
      <c r="F55" s="234"/>
      <c r="G55" s="288">
        <v>0</v>
      </c>
      <c r="H55" s="288">
        <v>0</v>
      </c>
      <c r="I55" s="288">
        <v>0</v>
      </c>
      <c r="J55" s="288">
        <v>0</v>
      </c>
      <c r="K55" s="226">
        <f t="shared" si="35"/>
        <v>0</v>
      </c>
      <c r="L55" s="288">
        <v>0</v>
      </c>
      <c r="M55" s="288">
        <v>0</v>
      </c>
      <c r="N55" s="288">
        <v>0</v>
      </c>
      <c r="O55" s="288">
        <v>0</v>
      </c>
      <c r="P55" s="226">
        <f t="shared" si="36"/>
        <v>0</v>
      </c>
      <c r="Q55" s="288">
        <v>0</v>
      </c>
      <c r="R55" s="288">
        <v>0</v>
      </c>
      <c r="S55" s="288">
        <v>0</v>
      </c>
      <c r="T55" s="288">
        <v>0</v>
      </c>
      <c r="U55" s="226">
        <f t="shared" si="37"/>
        <v>0</v>
      </c>
      <c r="V55" s="288">
        <v>0</v>
      </c>
      <c r="W55" s="288">
        <v>0</v>
      </c>
      <c r="X55" s="288">
        <v>0</v>
      </c>
      <c r="Y55" s="288">
        <v>0</v>
      </c>
      <c r="Z55" s="226">
        <f t="shared" si="38"/>
        <v>0</v>
      </c>
      <c r="AA55" s="288">
        <v>0</v>
      </c>
      <c r="AB55" s="288">
        <v>0</v>
      </c>
      <c r="AC55" s="288">
        <v>0</v>
      </c>
      <c r="AD55" s="288">
        <v>0</v>
      </c>
      <c r="AE55" s="226">
        <f t="shared" si="39"/>
        <v>0</v>
      </c>
      <c r="AF55" s="969"/>
      <c r="AG55" s="969"/>
      <c r="AH55" s="288">
        <v>0</v>
      </c>
      <c r="AI55" s="288">
        <v>0</v>
      </c>
      <c r="AJ55" s="226">
        <f t="shared" si="40"/>
        <v>0</v>
      </c>
      <c r="AK55" s="969"/>
      <c r="AL55" s="969"/>
      <c r="AM55" s="288">
        <v>0</v>
      </c>
      <c r="AN55" s="288">
        <v>0</v>
      </c>
      <c r="AO55" s="226">
        <f t="shared" si="41"/>
        <v>0</v>
      </c>
      <c r="AP55" s="227"/>
      <c r="AQ55" s="226">
        <f t="shared" si="42"/>
        <v>0</v>
      </c>
      <c r="AR55" s="228" t="e">
        <f t="shared" si="43"/>
        <v>#DIV/0!</v>
      </c>
      <c r="AS55" s="226">
        <f t="shared" si="44"/>
        <v>0</v>
      </c>
      <c r="AT55" s="228" t="e">
        <f t="shared" si="45"/>
        <v>#DIV/0!</v>
      </c>
      <c r="AU55" s="226">
        <f t="shared" si="46"/>
        <v>0</v>
      </c>
      <c r="AV55" s="228" t="e">
        <f t="shared" si="47"/>
        <v>#DIV/0!</v>
      </c>
      <c r="AW55" s="226">
        <f t="shared" si="48"/>
        <v>0</v>
      </c>
      <c r="AX55" s="228" t="e">
        <f t="shared" si="49"/>
        <v>#DIV/0!</v>
      </c>
      <c r="AY55" s="1011">
        <f t="shared" si="50"/>
        <v>0</v>
      </c>
      <c r="AZ55" s="228" t="e">
        <f t="shared" si="51"/>
        <v>#DIV/0!</v>
      </c>
      <c r="BA55" s="1011">
        <f t="shared" si="52"/>
        <v>0</v>
      </c>
      <c r="BB55" s="228" t="e">
        <f t="shared" si="53"/>
        <v>#DIV/0!</v>
      </c>
      <c r="BC55" s="226">
        <f t="shared" si="54"/>
        <v>0</v>
      </c>
      <c r="BD55" s="1020">
        <f>+AY55-'T2'!F73</f>
        <v>0</v>
      </c>
      <c r="BE55" s="1020">
        <f>+BA55-'T2'!H73</f>
        <v>0</v>
      </c>
      <c r="BF55" s="51"/>
    </row>
    <row r="56" spans="1:58">
      <c r="A56" s="224"/>
      <c r="B56" s="225"/>
      <c r="C56" s="225" t="s">
        <v>85</v>
      </c>
      <c r="D56" s="225" t="s">
        <v>88</v>
      </c>
      <c r="E56" s="225"/>
      <c r="F56" s="234"/>
      <c r="G56" s="288">
        <v>0</v>
      </c>
      <c r="H56" s="288">
        <v>0</v>
      </c>
      <c r="I56" s="288">
        <v>0</v>
      </c>
      <c r="J56" s="288">
        <v>0</v>
      </c>
      <c r="K56" s="226">
        <f t="shared" si="35"/>
        <v>0</v>
      </c>
      <c r="L56" s="288">
        <v>0</v>
      </c>
      <c r="M56" s="288">
        <v>0</v>
      </c>
      <c r="N56" s="288">
        <v>0</v>
      </c>
      <c r="O56" s="288">
        <v>0</v>
      </c>
      <c r="P56" s="226">
        <f t="shared" si="36"/>
        <v>0</v>
      </c>
      <c r="Q56" s="288">
        <v>0</v>
      </c>
      <c r="R56" s="288">
        <v>0</v>
      </c>
      <c r="S56" s="288">
        <v>0</v>
      </c>
      <c r="T56" s="288">
        <v>0</v>
      </c>
      <c r="U56" s="226">
        <f t="shared" si="37"/>
        <v>0</v>
      </c>
      <c r="V56" s="288">
        <v>0</v>
      </c>
      <c r="W56" s="288">
        <v>0</v>
      </c>
      <c r="X56" s="288">
        <v>0</v>
      </c>
      <c r="Y56" s="288">
        <v>0</v>
      </c>
      <c r="Z56" s="226">
        <f t="shared" si="38"/>
        <v>0</v>
      </c>
      <c r="AA56" s="288">
        <v>0</v>
      </c>
      <c r="AB56" s="288">
        <v>0</v>
      </c>
      <c r="AC56" s="288">
        <v>0</v>
      </c>
      <c r="AD56" s="288">
        <v>0</v>
      </c>
      <c r="AE56" s="226">
        <f t="shared" si="39"/>
        <v>0</v>
      </c>
      <c r="AF56" s="969"/>
      <c r="AG56" s="969"/>
      <c r="AH56" s="288">
        <v>0</v>
      </c>
      <c r="AI56" s="288">
        <v>0</v>
      </c>
      <c r="AJ56" s="226">
        <f t="shared" si="40"/>
        <v>0</v>
      </c>
      <c r="AK56" s="969"/>
      <c r="AL56" s="969"/>
      <c r="AM56" s="288">
        <v>0</v>
      </c>
      <c r="AN56" s="288">
        <v>0</v>
      </c>
      <c r="AO56" s="226">
        <f t="shared" si="41"/>
        <v>0</v>
      </c>
      <c r="AP56" s="227"/>
      <c r="AQ56" s="226">
        <f t="shared" si="42"/>
        <v>0</v>
      </c>
      <c r="AR56" s="228" t="e">
        <f t="shared" si="43"/>
        <v>#DIV/0!</v>
      </c>
      <c r="AS56" s="226">
        <f t="shared" si="44"/>
        <v>0</v>
      </c>
      <c r="AT56" s="228" t="e">
        <f t="shared" si="45"/>
        <v>#DIV/0!</v>
      </c>
      <c r="AU56" s="226">
        <f t="shared" si="46"/>
        <v>0</v>
      </c>
      <c r="AV56" s="228" t="e">
        <f t="shared" si="47"/>
        <v>#DIV/0!</v>
      </c>
      <c r="AW56" s="226">
        <f t="shared" si="48"/>
        <v>0</v>
      </c>
      <c r="AX56" s="228" t="e">
        <f t="shared" si="49"/>
        <v>#DIV/0!</v>
      </c>
      <c r="AY56" s="1011">
        <f t="shared" si="50"/>
        <v>0</v>
      </c>
      <c r="AZ56" s="228" t="e">
        <f t="shared" si="51"/>
        <v>#DIV/0!</v>
      </c>
      <c r="BA56" s="1011">
        <f t="shared" si="52"/>
        <v>0</v>
      </c>
      <c r="BB56" s="228" t="e">
        <f t="shared" si="53"/>
        <v>#DIV/0!</v>
      </c>
      <c r="BC56" s="226">
        <f t="shared" si="54"/>
        <v>0</v>
      </c>
      <c r="BD56" s="1020">
        <f>+AY56-'T2'!F74</f>
        <v>0</v>
      </c>
      <c r="BE56" s="1020">
        <f>+BA56-'T2'!H74</f>
        <v>0</v>
      </c>
      <c r="BF56" s="51"/>
    </row>
    <row r="57" spans="1:58">
      <c r="A57" s="224"/>
      <c r="B57" s="225"/>
      <c r="C57" s="225" t="s">
        <v>59</v>
      </c>
      <c r="D57" s="225" t="s">
        <v>47</v>
      </c>
      <c r="E57" s="225"/>
      <c r="F57" s="234"/>
      <c r="G57" s="288">
        <v>1685.6980677494789</v>
      </c>
      <c r="H57" s="288">
        <v>0</v>
      </c>
      <c r="I57" s="288">
        <v>7360.6728883877322</v>
      </c>
      <c r="J57" s="288">
        <v>0</v>
      </c>
      <c r="K57" s="226">
        <f t="shared" si="35"/>
        <v>9046.3709561372107</v>
      </c>
      <c r="L57" s="288">
        <v>0</v>
      </c>
      <c r="M57" s="288">
        <v>0</v>
      </c>
      <c r="N57" s="288">
        <v>0</v>
      </c>
      <c r="O57" s="288">
        <v>0</v>
      </c>
      <c r="P57" s="226">
        <f t="shared" si="36"/>
        <v>0</v>
      </c>
      <c r="Q57" s="288">
        <v>302726.80187920923</v>
      </c>
      <c r="R57" s="288">
        <v>0</v>
      </c>
      <c r="S57" s="288">
        <v>1064007.4210970297</v>
      </c>
      <c r="T57" s="288">
        <v>0</v>
      </c>
      <c r="U57" s="226">
        <f t="shared" si="37"/>
        <v>1366734.2229762389</v>
      </c>
      <c r="V57" s="288">
        <v>12622.075081595765</v>
      </c>
      <c r="W57" s="288">
        <v>0</v>
      </c>
      <c r="X57" s="288">
        <v>33815.670369331485</v>
      </c>
      <c r="Y57" s="288">
        <v>0</v>
      </c>
      <c r="Z57" s="226">
        <f t="shared" si="38"/>
        <v>46437.74545092725</v>
      </c>
      <c r="AA57" s="288">
        <v>64207.96716547104</v>
      </c>
      <c r="AB57" s="288">
        <v>0</v>
      </c>
      <c r="AC57" s="288">
        <v>4604321.5649057664</v>
      </c>
      <c r="AD57" s="288">
        <v>0</v>
      </c>
      <c r="AE57" s="226">
        <f t="shared" si="39"/>
        <v>4668529.5320712375</v>
      </c>
      <c r="AF57" s="969"/>
      <c r="AG57" s="969"/>
      <c r="AH57" s="288">
        <v>396198.88299281191</v>
      </c>
      <c r="AI57" s="288">
        <v>0</v>
      </c>
      <c r="AJ57" s="226">
        <f t="shared" si="40"/>
        <v>396198.88299281191</v>
      </c>
      <c r="AK57" s="969"/>
      <c r="AL57" s="969"/>
      <c r="AM57" s="288">
        <v>1.4840896956382177</v>
      </c>
      <c r="AN57" s="288">
        <v>0</v>
      </c>
      <c r="AO57" s="226">
        <f t="shared" si="41"/>
        <v>1.4840896956382177</v>
      </c>
      <c r="AP57" s="227"/>
      <c r="AQ57" s="226">
        <f t="shared" si="42"/>
        <v>381242.54219402553</v>
      </c>
      <c r="AR57" s="228">
        <f t="shared" si="43"/>
        <v>1</v>
      </c>
      <c r="AS57" s="226">
        <f t="shared" si="44"/>
        <v>0</v>
      </c>
      <c r="AT57" s="228">
        <f t="shared" si="45"/>
        <v>0</v>
      </c>
      <c r="AU57" s="226">
        <f t="shared" si="46"/>
        <v>6105705.6963430224</v>
      </c>
      <c r="AV57" s="228">
        <f t="shared" si="47"/>
        <v>1</v>
      </c>
      <c r="AW57" s="226">
        <f t="shared" si="48"/>
        <v>0</v>
      </c>
      <c r="AX57" s="228">
        <f t="shared" si="49"/>
        <v>0</v>
      </c>
      <c r="AY57" s="1011">
        <f t="shared" si="50"/>
        <v>6486948.238537048</v>
      </c>
      <c r="AZ57" s="228">
        <f t="shared" si="51"/>
        <v>1</v>
      </c>
      <c r="BA57" s="1011">
        <f t="shared" si="52"/>
        <v>0</v>
      </c>
      <c r="BB57" s="228">
        <f t="shared" si="53"/>
        <v>0</v>
      </c>
      <c r="BC57" s="226">
        <f t="shared" si="54"/>
        <v>6486948.238537048</v>
      </c>
      <c r="BD57" s="1020">
        <f>+AY57-'T2'!F75</f>
        <v>396198.8829928115</v>
      </c>
      <c r="BE57" s="1020">
        <f>+BA57-'T2'!H75</f>
        <v>0</v>
      </c>
      <c r="BF57" s="51"/>
    </row>
    <row r="58" spans="1:58">
      <c r="A58" s="224"/>
      <c r="B58" s="225"/>
      <c r="C58" s="225" t="s">
        <v>60</v>
      </c>
      <c r="D58" s="225" t="s">
        <v>295</v>
      </c>
      <c r="E58" s="225"/>
      <c r="F58" s="234"/>
      <c r="G58" s="288">
        <v>0</v>
      </c>
      <c r="H58" s="288">
        <v>0</v>
      </c>
      <c r="I58" s="288">
        <v>0</v>
      </c>
      <c r="J58" s="288">
        <v>0</v>
      </c>
      <c r="K58" s="226">
        <f t="shared" si="35"/>
        <v>0</v>
      </c>
      <c r="L58" s="288">
        <v>0</v>
      </c>
      <c r="M58" s="288">
        <v>0</v>
      </c>
      <c r="N58" s="288">
        <v>0</v>
      </c>
      <c r="O58" s="288">
        <v>0</v>
      </c>
      <c r="P58" s="226">
        <f t="shared" si="36"/>
        <v>0</v>
      </c>
      <c r="Q58" s="288">
        <v>0</v>
      </c>
      <c r="R58" s="288">
        <v>0</v>
      </c>
      <c r="S58" s="288">
        <v>0</v>
      </c>
      <c r="T58" s="288">
        <v>0</v>
      </c>
      <c r="U58" s="226">
        <f t="shared" si="37"/>
        <v>0</v>
      </c>
      <c r="V58" s="288">
        <v>0</v>
      </c>
      <c r="W58" s="288">
        <v>0</v>
      </c>
      <c r="X58" s="288">
        <v>0</v>
      </c>
      <c r="Y58" s="288">
        <v>0</v>
      </c>
      <c r="Z58" s="226">
        <f t="shared" si="38"/>
        <v>0</v>
      </c>
      <c r="AA58" s="288">
        <v>0</v>
      </c>
      <c r="AB58" s="288">
        <v>0</v>
      </c>
      <c r="AC58" s="288">
        <v>0</v>
      </c>
      <c r="AD58" s="288">
        <v>0</v>
      </c>
      <c r="AE58" s="226">
        <f t="shared" si="39"/>
        <v>0</v>
      </c>
      <c r="AF58" s="969"/>
      <c r="AG58" s="969"/>
      <c r="AH58" s="288">
        <v>0</v>
      </c>
      <c r="AI58" s="288">
        <v>0</v>
      </c>
      <c r="AJ58" s="226">
        <f t="shared" si="40"/>
        <v>0</v>
      </c>
      <c r="AK58" s="969"/>
      <c r="AL58" s="969"/>
      <c r="AM58" s="288">
        <v>0</v>
      </c>
      <c r="AN58" s="288">
        <v>0</v>
      </c>
      <c r="AO58" s="226">
        <f t="shared" si="41"/>
        <v>0</v>
      </c>
      <c r="AP58" s="227"/>
      <c r="AQ58" s="226">
        <f t="shared" si="42"/>
        <v>0</v>
      </c>
      <c r="AR58" s="228" t="e">
        <f t="shared" si="43"/>
        <v>#DIV/0!</v>
      </c>
      <c r="AS58" s="226">
        <f t="shared" si="44"/>
        <v>0</v>
      </c>
      <c r="AT58" s="228" t="e">
        <f t="shared" si="45"/>
        <v>#DIV/0!</v>
      </c>
      <c r="AU58" s="226">
        <f t="shared" si="46"/>
        <v>0</v>
      </c>
      <c r="AV58" s="228" t="e">
        <f t="shared" si="47"/>
        <v>#DIV/0!</v>
      </c>
      <c r="AW58" s="226">
        <f t="shared" si="48"/>
        <v>0</v>
      </c>
      <c r="AX58" s="228" t="e">
        <f t="shared" si="49"/>
        <v>#DIV/0!</v>
      </c>
      <c r="AY58" s="1011">
        <f t="shared" si="50"/>
        <v>0</v>
      </c>
      <c r="AZ58" s="228" t="e">
        <f t="shared" si="51"/>
        <v>#DIV/0!</v>
      </c>
      <c r="BA58" s="1011">
        <f t="shared" si="52"/>
        <v>0</v>
      </c>
      <c r="BB58" s="228" t="e">
        <f t="shared" si="53"/>
        <v>#DIV/0!</v>
      </c>
      <c r="BC58" s="226">
        <f t="shared" si="54"/>
        <v>0</v>
      </c>
      <c r="BD58" s="1020">
        <f>+AY58-'T2'!F76</f>
        <v>0</v>
      </c>
      <c r="BE58" s="1020">
        <f>+BA58-'T2'!H76</f>
        <v>0</v>
      </c>
      <c r="BF58" s="51"/>
    </row>
    <row r="59" spans="1:58" s="287" customFormat="1" ht="30" customHeight="1">
      <c r="A59" s="282"/>
      <c r="B59" s="283"/>
      <c r="C59" s="283" t="s">
        <v>61</v>
      </c>
      <c r="D59" s="1617" t="s">
        <v>99</v>
      </c>
      <c r="E59" s="1617"/>
      <c r="F59" s="1618"/>
      <c r="G59" s="289">
        <v>312.72167092242694</v>
      </c>
      <c r="H59" s="289">
        <v>0</v>
      </c>
      <c r="I59" s="289">
        <v>1365.5125842572349</v>
      </c>
      <c r="J59" s="289">
        <v>0</v>
      </c>
      <c r="K59" s="284">
        <f t="shared" si="35"/>
        <v>1678.2342551796619</v>
      </c>
      <c r="L59" s="289">
        <v>0</v>
      </c>
      <c r="M59" s="289">
        <v>0</v>
      </c>
      <c r="N59" s="289">
        <v>0</v>
      </c>
      <c r="O59" s="289">
        <v>0</v>
      </c>
      <c r="P59" s="284">
        <f t="shared" si="36"/>
        <v>0</v>
      </c>
      <c r="Q59" s="289">
        <v>56160.253801001643</v>
      </c>
      <c r="R59" s="289">
        <v>0</v>
      </c>
      <c r="S59" s="289">
        <v>197388.95414619151</v>
      </c>
      <c r="T59" s="289">
        <v>0</v>
      </c>
      <c r="U59" s="284">
        <f t="shared" si="37"/>
        <v>253549.20794719315</v>
      </c>
      <c r="V59" s="289">
        <v>2341.5797203200991</v>
      </c>
      <c r="W59" s="289">
        <v>0</v>
      </c>
      <c r="X59" s="289">
        <v>6273.30192967329</v>
      </c>
      <c r="Y59" s="289">
        <v>0</v>
      </c>
      <c r="Z59" s="284">
        <f t="shared" si="38"/>
        <v>8614.8816499933891</v>
      </c>
      <c r="AA59" s="289">
        <v>11911.517941837332</v>
      </c>
      <c r="AB59" s="289">
        <v>0</v>
      </c>
      <c r="AC59" s="289">
        <v>854169.05956582143</v>
      </c>
      <c r="AD59" s="289">
        <v>0</v>
      </c>
      <c r="AE59" s="284">
        <f t="shared" si="39"/>
        <v>866080.57750765875</v>
      </c>
      <c r="AF59" s="972"/>
      <c r="AG59" s="972"/>
      <c r="AH59" s="289">
        <v>73500.693319608632</v>
      </c>
      <c r="AI59" s="289">
        <v>0</v>
      </c>
      <c r="AJ59" s="284">
        <f t="shared" si="40"/>
        <v>73500.693319608632</v>
      </c>
      <c r="AK59" s="972"/>
      <c r="AL59" s="972"/>
      <c r="AM59" s="289">
        <v>0.27532036626129236</v>
      </c>
      <c r="AN59" s="289">
        <v>0</v>
      </c>
      <c r="AO59" s="284">
        <f t="shared" si="41"/>
        <v>0.27532036626129236</v>
      </c>
      <c r="AP59" s="285"/>
      <c r="AQ59" s="284">
        <f t="shared" si="42"/>
        <v>70726.073134081511</v>
      </c>
      <c r="AR59" s="286">
        <f t="shared" si="43"/>
        <v>1</v>
      </c>
      <c r="AS59" s="284">
        <f t="shared" si="44"/>
        <v>0</v>
      </c>
      <c r="AT59" s="286">
        <f t="shared" si="45"/>
        <v>0</v>
      </c>
      <c r="AU59" s="284">
        <f t="shared" si="46"/>
        <v>1132697.7968659184</v>
      </c>
      <c r="AV59" s="286">
        <f t="shared" si="47"/>
        <v>1</v>
      </c>
      <c r="AW59" s="284">
        <f t="shared" si="48"/>
        <v>0</v>
      </c>
      <c r="AX59" s="286">
        <f t="shared" si="49"/>
        <v>0</v>
      </c>
      <c r="AY59" s="1011">
        <f t="shared" si="50"/>
        <v>1203423.8699999999</v>
      </c>
      <c r="AZ59" s="228">
        <f t="shared" si="51"/>
        <v>1</v>
      </c>
      <c r="BA59" s="1011">
        <f t="shared" si="52"/>
        <v>0</v>
      </c>
      <c r="BB59" s="228">
        <f t="shared" si="53"/>
        <v>0</v>
      </c>
      <c r="BC59" s="226">
        <f t="shared" si="54"/>
        <v>1203423.8699999999</v>
      </c>
      <c r="BD59" s="1020">
        <f>+AY59-'T2'!F77</f>
        <v>73500.69331960869</v>
      </c>
      <c r="BE59" s="1020">
        <f>+BA59-'T2'!H77</f>
        <v>0</v>
      </c>
    </row>
    <row r="60" spans="1:58">
      <c r="A60" s="224"/>
      <c r="B60" s="225"/>
      <c r="C60" s="225"/>
      <c r="D60" s="230"/>
      <c r="E60" s="234"/>
      <c r="F60" s="234"/>
      <c r="G60" s="235"/>
      <c r="H60" s="235"/>
      <c r="I60" s="235"/>
      <c r="J60" s="231"/>
      <c r="K60" s="239"/>
      <c r="L60" s="235"/>
      <c r="M60" s="235"/>
      <c r="N60" s="235"/>
      <c r="O60" s="231"/>
      <c r="P60" s="239"/>
      <c r="Q60" s="235"/>
      <c r="R60" s="235"/>
      <c r="S60" s="235"/>
      <c r="T60" s="231"/>
      <c r="U60" s="239"/>
      <c r="V60" s="235"/>
      <c r="W60" s="235"/>
      <c r="X60" s="235"/>
      <c r="Y60" s="231"/>
      <c r="Z60" s="239"/>
      <c r="AA60" s="235"/>
      <c r="AB60" s="235"/>
      <c r="AC60" s="235"/>
      <c r="AD60" s="231"/>
      <c r="AE60" s="239"/>
      <c r="AF60" s="970"/>
      <c r="AG60" s="970"/>
      <c r="AH60" s="235"/>
      <c r="AI60" s="231"/>
      <c r="AJ60" s="239"/>
      <c r="AK60" s="970"/>
      <c r="AL60" s="970"/>
      <c r="AM60" s="235"/>
      <c r="AN60" s="231"/>
      <c r="AO60" s="239"/>
      <c r="AP60" s="240"/>
      <c r="AQ60" s="239"/>
      <c r="AR60" s="241"/>
      <c r="AS60" s="239"/>
      <c r="AT60" s="241"/>
      <c r="AU60" s="239"/>
      <c r="AV60" s="241"/>
      <c r="AW60" s="239"/>
      <c r="AX60" s="241"/>
      <c r="AY60" s="241"/>
      <c r="AZ60" s="241"/>
      <c r="BA60" s="241"/>
      <c r="BB60" s="241"/>
      <c r="BC60" s="239"/>
      <c r="BD60" s="1023"/>
      <c r="BE60" s="1023"/>
      <c r="BF60" s="51"/>
    </row>
    <row r="61" spans="1:58">
      <c r="A61" s="242"/>
      <c r="B61" s="243"/>
      <c r="C61" s="243"/>
      <c r="D61" s="244"/>
      <c r="E61" s="245"/>
      <c r="F61" s="245"/>
      <c r="G61" s="246"/>
      <c r="H61" s="246"/>
      <c r="I61" s="246"/>
      <c r="J61" s="247"/>
      <c r="K61" s="248"/>
      <c r="L61" s="246"/>
      <c r="M61" s="246"/>
      <c r="N61" s="246"/>
      <c r="O61" s="247"/>
      <c r="P61" s="248"/>
      <c r="Q61" s="246"/>
      <c r="R61" s="246"/>
      <c r="S61" s="246"/>
      <c r="T61" s="247"/>
      <c r="U61" s="248"/>
      <c r="V61" s="246"/>
      <c r="W61" s="246"/>
      <c r="X61" s="246"/>
      <c r="Y61" s="247"/>
      <c r="Z61" s="248"/>
      <c r="AA61" s="246"/>
      <c r="AB61" s="246"/>
      <c r="AC61" s="246"/>
      <c r="AD61" s="247"/>
      <c r="AE61" s="248"/>
      <c r="AF61" s="973"/>
      <c r="AG61" s="973"/>
      <c r="AH61" s="246"/>
      <c r="AI61" s="247"/>
      <c r="AJ61" s="248"/>
      <c r="AK61" s="973"/>
      <c r="AL61" s="973"/>
      <c r="AM61" s="246"/>
      <c r="AN61" s="247"/>
      <c r="AO61" s="248"/>
      <c r="AP61" s="240"/>
      <c r="AQ61" s="248"/>
      <c r="AR61" s="249"/>
      <c r="AS61" s="248"/>
      <c r="AT61" s="249"/>
      <c r="AU61" s="248"/>
      <c r="AV61" s="249"/>
      <c r="AW61" s="248"/>
      <c r="AX61" s="249"/>
      <c r="AY61" s="249"/>
      <c r="AZ61" s="249"/>
      <c r="BA61" s="249"/>
      <c r="BB61" s="249"/>
      <c r="BC61" s="248"/>
      <c r="BD61" s="1024"/>
      <c r="BE61" s="1024"/>
      <c r="BF61" s="51"/>
    </row>
    <row r="62" spans="1:58" ht="17.25" customHeight="1">
      <c r="A62" s="242"/>
      <c r="B62" s="964" t="s">
        <v>49</v>
      </c>
      <c r="C62" s="1617" t="s">
        <v>293</v>
      </c>
      <c r="D62" s="1617"/>
      <c r="E62" s="1617"/>
      <c r="F62" s="1618"/>
      <c r="G62" s="965"/>
      <c r="H62" s="965"/>
      <c r="I62" s="965"/>
      <c r="J62" s="965"/>
      <c r="K62" s="966"/>
      <c r="L62" s="965"/>
      <c r="M62" s="965"/>
      <c r="N62" s="965"/>
      <c r="O62" s="965"/>
      <c r="P62" s="966"/>
      <c r="Q62" s="965"/>
      <c r="R62" s="965"/>
      <c r="S62" s="965"/>
      <c r="T62" s="965"/>
      <c r="U62" s="966"/>
      <c r="V62" s="965"/>
      <c r="W62" s="965"/>
      <c r="X62" s="965"/>
      <c r="Y62" s="965"/>
      <c r="Z62" s="966"/>
      <c r="AA62" s="965"/>
      <c r="AB62" s="965"/>
      <c r="AC62" s="965"/>
      <c r="AD62" s="965"/>
      <c r="AE62" s="966"/>
      <c r="AF62" s="965"/>
      <c r="AG62" s="965"/>
      <c r="AH62" s="965"/>
      <c r="AI62" s="965"/>
      <c r="AJ62" s="966"/>
      <c r="AK62" s="965"/>
      <c r="AL62" s="965"/>
      <c r="AM62" s="965"/>
      <c r="AN62" s="965"/>
      <c r="AO62" s="966"/>
      <c r="AP62" s="227"/>
      <c r="AQ62" s="966"/>
      <c r="AR62" s="986"/>
      <c r="AS62" s="966"/>
      <c r="AT62" s="986"/>
      <c r="AU62" s="986"/>
      <c r="AV62" s="986"/>
      <c r="AW62" s="986"/>
      <c r="AX62" s="986"/>
      <c r="AY62" s="986"/>
      <c r="AZ62" s="986"/>
      <c r="BA62" s="986"/>
      <c r="BB62" s="986"/>
      <c r="BC62" s="986"/>
      <c r="BD62" s="1020">
        <f>+AY62-'T2'!F79</f>
        <v>-9268853.4952438213</v>
      </c>
      <c r="BE62" s="1020">
        <f>+BA62-'T2'!H79</f>
        <v>-7170887.686566351</v>
      </c>
      <c r="BF62" s="51"/>
    </row>
    <row r="63" spans="1:58">
      <c r="A63" s="224"/>
      <c r="B63" s="225"/>
      <c r="C63" s="225"/>
      <c r="D63" s="230"/>
      <c r="E63" s="234"/>
      <c r="F63" s="234"/>
      <c r="G63" s="235"/>
      <c r="H63" s="235"/>
      <c r="I63" s="235"/>
      <c r="J63" s="231"/>
      <c r="K63" s="239"/>
      <c r="L63" s="235"/>
      <c r="M63" s="235"/>
      <c r="N63" s="235"/>
      <c r="O63" s="231"/>
      <c r="P63" s="239"/>
      <c r="Q63" s="235"/>
      <c r="R63" s="235"/>
      <c r="S63" s="235"/>
      <c r="T63" s="231"/>
      <c r="U63" s="239"/>
      <c r="V63" s="235"/>
      <c r="W63" s="235"/>
      <c r="X63" s="235"/>
      <c r="Y63" s="231"/>
      <c r="Z63" s="239"/>
      <c r="AA63" s="235"/>
      <c r="AB63" s="235"/>
      <c r="AC63" s="235"/>
      <c r="AD63" s="231"/>
      <c r="AE63" s="239"/>
      <c r="AF63" s="970"/>
      <c r="AG63" s="970"/>
      <c r="AH63" s="235"/>
      <c r="AI63" s="231"/>
      <c r="AJ63" s="239"/>
      <c r="AK63" s="970"/>
      <c r="AL63" s="970"/>
      <c r="AM63" s="235"/>
      <c r="AN63" s="231"/>
      <c r="AO63" s="239"/>
      <c r="AP63" s="240"/>
      <c r="AQ63" s="239"/>
      <c r="AR63" s="241"/>
      <c r="AS63" s="239"/>
      <c r="AT63" s="241"/>
      <c r="AU63" s="239"/>
      <c r="AV63" s="241"/>
      <c r="AW63" s="239"/>
      <c r="AX63" s="241"/>
      <c r="AY63" s="241"/>
      <c r="AZ63" s="241"/>
      <c r="BA63" s="241"/>
      <c r="BB63" s="241"/>
      <c r="BC63" s="239"/>
      <c r="BD63" s="1023"/>
      <c r="BE63" s="1023"/>
      <c r="BF63" s="51"/>
    </row>
    <row r="64" spans="1:58">
      <c r="A64" s="242"/>
      <c r="B64" s="243"/>
      <c r="C64" s="243"/>
      <c r="D64" s="244"/>
      <c r="E64" s="245"/>
      <c r="F64" s="245"/>
      <c r="G64" s="246"/>
      <c r="H64" s="246"/>
      <c r="I64" s="246"/>
      <c r="J64" s="247"/>
      <c r="K64" s="248"/>
      <c r="L64" s="246"/>
      <c r="M64" s="246"/>
      <c r="N64" s="246"/>
      <c r="O64" s="247"/>
      <c r="P64" s="248"/>
      <c r="Q64" s="246"/>
      <c r="R64" s="246"/>
      <c r="S64" s="246"/>
      <c r="T64" s="247"/>
      <c r="U64" s="248"/>
      <c r="V64" s="246"/>
      <c r="W64" s="246"/>
      <c r="X64" s="246"/>
      <c r="Y64" s="247"/>
      <c r="Z64" s="248"/>
      <c r="AA64" s="246"/>
      <c r="AB64" s="246"/>
      <c r="AC64" s="246"/>
      <c r="AD64" s="247"/>
      <c r="AE64" s="248"/>
      <c r="AF64" s="973"/>
      <c r="AG64" s="973"/>
      <c r="AH64" s="246"/>
      <c r="AI64" s="247"/>
      <c r="AJ64" s="248"/>
      <c r="AK64" s="973"/>
      <c r="AL64" s="973"/>
      <c r="AM64" s="246"/>
      <c r="AN64" s="247"/>
      <c r="AO64" s="248"/>
      <c r="AP64" s="240"/>
      <c r="AQ64" s="248"/>
      <c r="AR64" s="249"/>
      <c r="AS64" s="248"/>
      <c r="AT64" s="249"/>
      <c r="AU64" s="248"/>
      <c r="AV64" s="249"/>
      <c r="AW64" s="248"/>
      <c r="AX64" s="249"/>
      <c r="AY64" s="249"/>
      <c r="AZ64" s="249"/>
      <c r="BA64" s="249"/>
      <c r="BB64" s="249"/>
      <c r="BC64" s="248"/>
      <c r="BD64" s="1024"/>
      <c r="BE64" s="1024"/>
      <c r="BF64" s="51"/>
    </row>
    <row r="65" spans="1:58">
      <c r="A65" s="242"/>
      <c r="B65" s="243" t="s">
        <v>288</v>
      </c>
      <c r="C65" s="243" t="s">
        <v>331</v>
      </c>
      <c r="D65" s="244"/>
      <c r="E65" s="245"/>
      <c r="F65" s="245"/>
      <c r="G65" s="290">
        <v>0</v>
      </c>
      <c r="H65" s="290">
        <v>0</v>
      </c>
      <c r="I65" s="290">
        <v>6044766.5274431845</v>
      </c>
      <c r="J65" s="290">
        <v>0</v>
      </c>
      <c r="K65" s="226">
        <f>SUM(G65:J65)</f>
        <v>6044766.5274431845</v>
      </c>
      <c r="L65" s="290">
        <v>0</v>
      </c>
      <c r="M65" s="290">
        <v>0</v>
      </c>
      <c r="N65" s="290">
        <v>0</v>
      </c>
      <c r="O65" s="290">
        <v>0</v>
      </c>
      <c r="P65" s="226">
        <f>SUM(L65:O65)</f>
        <v>0</v>
      </c>
      <c r="Q65" s="290">
        <v>0</v>
      </c>
      <c r="R65" s="290">
        <v>0</v>
      </c>
      <c r="S65" s="290">
        <v>33338115.166796394</v>
      </c>
      <c r="T65" s="290">
        <v>0</v>
      </c>
      <c r="U65" s="226">
        <f>SUM(Q65:T65)</f>
        <v>33338115.166796394</v>
      </c>
      <c r="V65" s="290">
        <v>0</v>
      </c>
      <c r="W65" s="290">
        <v>0</v>
      </c>
      <c r="X65" s="290">
        <v>640210.52977714851</v>
      </c>
      <c r="Y65" s="290">
        <v>0</v>
      </c>
      <c r="Z65" s="226">
        <f>SUM(V65:Y65)</f>
        <v>640210.52977714851</v>
      </c>
      <c r="AA65" s="290">
        <v>0</v>
      </c>
      <c r="AB65" s="290">
        <v>0</v>
      </c>
      <c r="AC65" s="290">
        <v>33879740.268380612</v>
      </c>
      <c r="AD65" s="290">
        <v>0</v>
      </c>
      <c r="AE65" s="226">
        <f>SUM(AA65:AD65)</f>
        <v>33879740.268380612</v>
      </c>
      <c r="AF65" s="965"/>
      <c r="AG65" s="965"/>
      <c r="AH65" s="290">
        <v>674534.54612066061</v>
      </c>
      <c r="AI65" s="290">
        <v>0</v>
      </c>
      <c r="AJ65" s="226">
        <f>SUM(AF65:AI65)</f>
        <v>674534.54612066061</v>
      </c>
      <c r="AK65" s="965"/>
      <c r="AL65" s="965"/>
      <c r="AM65" s="290">
        <v>10.661105967708323</v>
      </c>
      <c r="AN65" s="290">
        <v>0</v>
      </c>
      <c r="AO65" s="226">
        <f>SUM(AK65:AN65)</f>
        <v>10.661105967708323</v>
      </c>
      <c r="AP65" s="227"/>
      <c r="AQ65" s="226">
        <f>SUM(G65,Q65,L65,V65,AA65,AK65,AF65)</f>
        <v>0</v>
      </c>
      <c r="AR65" s="228" t="e">
        <f>AQ65/(AQ65+AS65)</f>
        <v>#DIV/0!</v>
      </c>
      <c r="AS65" s="226">
        <f>SUM(H65,R65,M65,W65,AB65,AL65,AG65)</f>
        <v>0</v>
      </c>
      <c r="AT65" s="228" t="e">
        <f>AS65/(AQ65+AS65)</f>
        <v>#DIV/0!</v>
      </c>
      <c r="AU65" s="226">
        <f>SUM(I65,N65,S65,X65,AC65,AM65,AH65)</f>
        <v>74577377.699623957</v>
      </c>
      <c r="AV65" s="228">
        <f>AU65/(AU65+AW65)</f>
        <v>1</v>
      </c>
      <c r="AW65" s="226">
        <f>SUM(J65,O65,T65,Y65,AD65,AN65,AI65)</f>
        <v>0</v>
      </c>
      <c r="AX65" s="228">
        <f>AW65/(AU65+AW65)</f>
        <v>0</v>
      </c>
      <c r="AY65" s="1011">
        <f>+AQ65+AU65</f>
        <v>74577377.699623957</v>
      </c>
      <c r="AZ65" s="228">
        <f>+AY65/BC65</f>
        <v>1</v>
      </c>
      <c r="BA65" s="1011">
        <f>+AS65+AW65</f>
        <v>0</v>
      </c>
      <c r="BB65" s="228">
        <f>+BA65/BC65</f>
        <v>0</v>
      </c>
      <c r="BC65" s="226">
        <f>+AY65+BA65</f>
        <v>74577377.699623957</v>
      </c>
      <c r="BD65" s="1020">
        <f>+AY65-'T2'!F81</f>
        <v>674534.54612065852</v>
      </c>
      <c r="BE65" s="1020">
        <f>+BA65-'T2'!H81</f>
        <v>0</v>
      </c>
      <c r="BF65" s="51"/>
    </row>
    <row r="66" spans="1:58">
      <c r="A66" s="242"/>
      <c r="B66" s="243"/>
      <c r="C66" s="243"/>
      <c r="D66" s="244"/>
      <c r="E66" s="245"/>
      <c r="F66" s="245"/>
      <c r="G66" s="246"/>
      <c r="H66" s="246"/>
      <c r="I66" s="246"/>
      <c r="J66" s="247"/>
      <c r="K66" s="250"/>
      <c r="L66" s="246"/>
      <c r="M66" s="246"/>
      <c r="N66" s="246"/>
      <c r="O66" s="247"/>
      <c r="P66" s="250"/>
      <c r="Q66" s="246"/>
      <c r="R66" s="246"/>
      <c r="S66" s="246"/>
      <c r="T66" s="247"/>
      <c r="U66" s="250"/>
      <c r="V66" s="246"/>
      <c r="W66" s="246"/>
      <c r="X66" s="246"/>
      <c r="Y66" s="247"/>
      <c r="Z66" s="250"/>
      <c r="AA66" s="246"/>
      <c r="AB66" s="246"/>
      <c r="AC66" s="246"/>
      <c r="AD66" s="247"/>
      <c r="AE66" s="250"/>
      <c r="AF66" s="973"/>
      <c r="AG66" s="973"/>
      <c r="AH66" s="246"/>
      <c r="AI66" s="247"/>
      <c r="AJ66" s="250"/>
      <c r="AK66" s="973"/>
      <c r="AL66" s="973"/>
      <c r="AM66" s="246"/>
      <c r="AN66" s="247"/>
      <c r="AO66" s="250"/>
      <c r="AP66" s="222"/>
      <c r="AQ66" s="250"/>
      <c r="AR66" s="251"/>
      <c r="AS66" s="250"/>
      <c r="AT66" s="251"/>
      <c r="AU66" s="250"/>
      <c r="AV66" s="251"/>
      <c r="AW66" s="250"/>
      <c r="AX66" s="251"/>
      <c r="AY66" s="251"/>
      <c r="AZ66" s="251"/>
      <c r="BA66" s="251"/>
      <c r="BB66" s="251"/>
      <c r="BC66" s="250"/>
      <c r="BD66" s="1025"/>
      <c r="BE66" s="1025"/>
      <c r="BF66" s="51"/>
    </row>
    <row r="67" spans="1:58" ht="15" thickBot="1">
      <c r="A67" s="242"/>
      <c r="B67" s="243"/>
      <c r="C67" s="243"/>
      <c r="D67" s="243"/>
      <c r="E67" s="245"/>
      <c r="F67" s="245"/>
      <c r="G67" s="246"/>
      <c r="H67" s="246"/>
      <c r="I67" s="246"/>
      <c r="J67" s="246"/>
      <c r="K67" s="250"/>
      <c r="L67" s="246"/>
      <c r="M67" s="246"/>
      <c r="N67" s="246"/>
      <c r="O67" s="246"/>
      <c r="P67" s="250"/>
      <c r="Q67" s="246"/>
      <c r="R67" s="246"/>
      <c r="S67" s="246"/>
      <c r="T67" s="246"/>
      <c r="U67" s="250"/>
      <c r="V67" s="246"/>
      <c r="W67" s="246"/>
      <c r="X67" s="246"/>
      <c r="Y67" s="246"/>
      <c r="Z67" s="250"/>
      <c r="AA67" s="246"/>
      <c r="AB67" s="246"/>
      <c r="AC67" s="246"/>
      <c r="AD67" s="246"/>
      <c r="AE67" s="250"/>
      <c r="AF67" s="973"/>
      <c r="AG67" s="973"/>
      <c r="AH67" s="246"/>
      <c r="AI67" s="246"/>
      <c r="AJ67" s="250"/>
      <c r="AK67" s="973"/>
      <c r="AL67" s="973"/>
      <c r="AM67" s="246"/>
      <c r="AN67" s="246"/>
      <c r="AO67" s="250"/>
      <c r="AP67" s="222"/>
      <c r="AQ67" s="250"/>
      <c r="AR67" s="251"/>
      <c r="AS67" s="250"/>
      <c r="AT67" s="251"/>
      <c r="AU67" s="250"/>
      <c r="AV67" s="251"/>
      <c r="AW67" s="250"/>
      <c r="AX67" s="251"/>
      <c r="AY67" s="251"/>
      <c r="AZ67" s="251"/>
      <c r="BA67" s="251"/>
      <c r="BB67" s="251"/>
      <c r="BC67" s="250"/>
      <c r="BD67" s="1025"/>
      <c r="BE67" s="1025"/>
      <c r="BF67" s="51"/>
    </row>
    <row r="68" spans="1:58" ht="15" thickBot="1">
      <c r="A68" s="252"/>
      <c r="B68" s="253"/>
      <c r="C68" s="253"/>
      <c r="D68" s="253"/>
      <c r="E68" s="254"/>
      <c r="F68" s="254"/>
      <c r="G68" s="255"/>
      <c r="H68" s="255"/>
      <c r="I68" s="255"/>
      <c r="J68" s="255"/>
      <c r="K68" s="256"/>
      <c r="L68" s="255"/>
      <c r="M68" s="255"/>
      <c r="N68" s="255"/>
      <c r="O68" s="255"/>
      <c r="P68" s="256"/>
      <c r="Q68" s="255"/>
      <c r="R68" s="255"/>
      <c r="S68" s="255"/>
      <c r="T68" s="255"/>
      <c r="U68" s="256"/>
      <c r="V68" s="255"/>
      <c r="W68" s="255"/>
      <c r="X68" s="255"/>
      <c r="Y68" s="255"/>
      <c r="Z68" s="256"/>
      <c r="AA68" s="255"/>
      <c r="AB68" s="255"/>
      <c r="AC68" s="255"/>
      <c r="AD68" s="255"/>
      <c r="AE68" s="256"/>
      <c r="AF68" s="974"/>
      <c r="AG68" s="974"/>
      <c r="AH68" s="255"/>
      <c r="AI68" s="255"/>
      <c r="AJ68" s="256"/>
      <c r="AK68" s="974"/>
      <c r="AL68" s="974"/>
      <c r="AM68" s="255"/>
      <c r="AN68" s="255"/>
      <c r="AO68" s="256"/>
      <c r="AP68" s="257"/>
      <c r="AQ68" s="256"/>
      <c r="AR68" s="258"/>
      <c r="AS68" s="256"/>
      <c r="AT68" s="258"/>
      <c r="AU68" s="256"/>
      <c r="AV68" s="258"/>
      <c r="AW68" s="256"/>
      <c r="AX68" s="258"/>
      <c r="AY68" s="258"/>
      <c r="AZ68" s="258"/>
      <c r="BA68" s="258"/>
      <c r="BB68" s="258"/>
      <c r="BC68" s="256"/>
      <c r="BD68" s="1026"/>
      <c r="BE68" s="1026"/>
      <c r="BF68" s="51"/>
    </row>
    <row r="69" spans="1:58">
      <c r="A69" s="198"/>
      <c r="B69" s="199"/>
      <c r="C69" s="199"/>
      <c r="D69" s="199"/>
      <c r="E69" s="200"/>
      <c r="F69" s="200"/>
      <c r="G69" s="259"/>
      <c r="H69" s="259"/>
      <c r="I69" s="259"/>
      <c r="J69" s="259"/>
      <c r="K69" s="222"/>
      <c r="L69" s="259"/>
      <c r="M69" s="259"/>
      <c r="N69" s="259"/>
      <c r="O69" s="259"/>
      <c r="P69" s="222"/>
      <c r="Q69" s="259"/>
      <c r="R69" s="259"/>
      <c r="S69" s="259"/>
      <c r="T69" s="259"/>
      <c r="U69" s="222"/>
      <c r="V69" s="259"/>
      <c r="W69" s="259"/>
      <c r="X69" s="259"/>
      <c r="Y69" s="259"/>
      <c r="Z69" s="222"/>
      <c r="AA69" s="259"/>
      <c r="AB69" s="259"/>
      <c r="AC69" s="259"/>
      <c r="AD69" s="259"/>
      <c r="AE69" s="222"/>
      <c r="AF69" s="975"/>
      <c r="AG69" s="975"/>
      <c r="AH69" s="259"/>
      <c r="AI69" s="259"/>
      <c r="AJ69" s="222"/>
      <c r="AK69" s="975"/>
      <c r="AL69" s="975"/>
      <c r="AM69" s="259"/>
      <c r="AN69" s="259"/>
      <c r="AO69" s="222"/>
      <c r="AP69" s="222"/>
      <c r="AQ69" s="222"/>
      <c r="AR69" s="260"/>
      <c r="AS69" s="222"/>
      <c r="AT69" s="260"/>
      <c r="AU69" s="222"/>
      <c r="AV69" s="260"/>
      <c r="AW69" s="222"/>
      <c r="AX69" s="260"/>
      <c r="AY69" s="260"/>
      <c r="AZ69" s="260"/>
      <c r="BA69" s="260"/>
      <c r="BB69" s="260"/>
      <c r="BC69" s="222"/>
      <c r="BD69" s="1027"/>
      <c r="BE69" s="1027"/>
      <c r="BF69" s="51"/>
    </row>
    <row r="70" spans="1:58" ht="15.6">
      <c r="A70" s="1614" t="s">
        <v>71</v>
      </c>
      <c r="B70" s="1615"/>
      <c r="C70" s="1615"/>
      <c r="D70" s="1615"/>
      <c r="E70" s="1615"/>
      <c r="F70" s="1616"/>
      <c r="G70" s="261">
        <f>SUM(G65,G52,G43,G22,G13,G62)</f>
        <v>1396.6133186100069</v>
      </c>
      <c r="H70" s="261">
        <f t="shared" ref="H70:AO70" si="55">SUM(H65,H52,H43,H22,H13,H62)</f>
        <v>3177.8495862878162</v>
      </c>
      <c r="I70" s="261">
        <f t="shared" si="55"/>
        <v>6317576.2226755414</v>
      </c>
      <c r="J70" s="261">
        <f t="shared" si="55"/>
        <v>183993.31518740166</v>
      </c>
      <c r="K70" s="261">
        <f t="shared" si="55"/>
        <v>6506144.0007678401</v>
      </c>
      <c r="L70" s="261">
        <f t="shared" si="55"/>
        <v>0</v>
      </c>
      <c r="M70" s="261">
        <f t="shared" si="55"/>
        <v>0</v>
      </c>
      <c r="N70" s="261">
        <f t="shared" si="55"/>
        <v>0</v>
      </c>
      <c r="O70" s="261">
        <f t="shared" si="55"/>
        <v>0</v>
      </c>
      <c r="P70" s="261">
        <f t="shared" si="55"/>
        <v>0</v>
      </c>
      <c r="Q70" s="261">
        <f t="shared" si="55"/>
        <v>82435.236433528335</v>
      </c>
      <c r="R70" s="261">
        <f t="shared" si="55"/>
        <v>949414.96145557496</v>
      </c>
      <c r="S70" s="261">
        <f t="shared" si="55"/>
        <v>48715178.884093396</v>
      </c>
      <c r="T70" s="261">
        <f t="shared" si="55"/>
        <v>19336560.558046281</v>
      </c>
      <c r="U70" s="261">
        <f t="shared" si="55"/>
        <v>69083589.640028775</v>
      </c>
      <c r="V70" s="261">
        <f t="shared" si="55"/>
        <v>5464.283359649271</v>
      </c>
      <c r="W70" s="261">
        <f t="shared" si="55"/>
        <v>26800.506327436113</v>
      </c>
      <c r="X70" s="261">
        <f t="shared" si="55"/>
        <v>1057679.7911598603</v>
      </c>
      <c r="Y70" s="261">
        <f t="shared" si="55"/>
        <v>645261.85612185963</v>
      </c>
      <c r="Z70" s="261">
        <f t="shared" si="55"/>
        <v>1735206.4369688055</v>
      </c>
      <c r="AA70" s="261">
        <f t="shared" si="55"/>
        <v>16065.059585644471</v>
      </c>
      <c r="AB70" s="261">
        <f t="shared" si="55"/>
        <v>177805.8172539135</v>
      </c>
      <c r="AC70" s="261">
        <f t="shared" si="55"/>
        <v>129934729.65048</v>
      </c>
      <c r="AD70" s="261">
        <f t="shared" si="55"/>
        <v>84141364.90523237</v>
      </c>
      <c r="AE70" s="261">
        <f t="shared" si="55"/>
        <v>214269965.43255192</v>
      </c>
      <c r="AF70" s="976"/>
      <c r="AG70" s="976"/>
      <c r="AH70" s="261">
        <f t="shared" si="55"/>
        <v>9268853.4952438213</v>
      </c>
      <c r="AI70" s="261">
        <f t="shared" si="55"/>
        <v>7170887.686566351</v>
      </c>
      <c r="AJ70" s="261">
        <f t="shared" si="55"/>
        <v>16439741.181810172</v>
      </c>
      <c r="AK70" s="976"/>
      <c r="AL70" s="976"/>
      <c r="AM70" s="261">
        <f t="shared" si="55"/>
        <v>-158.44603478779453</v>
      </c>
      <c r="AN70" s="261">
        <f t="shared" si="55"/>
        <v>624.36746749297868</v>
      </c>
      <c r="AO70" s="261">
        <f t="shared" si="55"/>
        <v>465.92143270518415</v>
      </c>
      <c r="AP70" s="261"/>
      <c r="AQ70" s="261">
        <f>SUM(AQ65,AQ52,AQ43,AQ22,AQ13,AQ62)</f>
        <v>105361.19269743207</v>
      </c>
      <c r="AR70" s="262">
        <f>AQ70/(AQ70+AS70)</f>
        <v>8.3450422461020482E-2</v>
      </c>
      <c r="AS70" s="261">
        <f>SUM(AS65,AS52,AS43,AS22,AS13,AS62)</f>
        <v>1157199.1346232123</v>
      </c>
      <c r="AT70" s="262">
        <f>AS70/(AQ70+AS70)</f>
        <v>0.91654957753897948</v>
      </c>
      <c r="AU70" s="261">
        <f>SUM(AU65,AU52,AU43,AU22,AU13,AU62)</f>
        <v>195293859.59761783</v>
      </c>
      <c r="AV70" s="262">
        <f>AU70/(AU70+AW70)</f>
        <v>0.63660799553995107</v>
      </c>
      <c r="AW70" s="261">
        <f>SUM(AW65,AW52,AW43,AW22,AW13,AW62)</f>
        <v>111478692.68862176</v>
      </c>
      <c r="AX70" s="262">
        <f>AW70/(AU70+AW70)</f>
        <v>0.36339200446004888</v>
      </c>
      <c r="AY70" s="261">
        <f>+AQ70+AU70</f>
        <v>195399220.79031527</v>
      </c>
      <c r="AZ70" s="262">
        <f>+AY70/BC70</f>
        <v>0.63434073840617555</v>
      </c>
      <c r="BA70" s="261">
        <f>+AS70+AW70</f>
        <v>112635891.82324497</v>
      </c>
      <c r="BB70" s="262">
        <f>+BA70/BC70</f>
        <v>0.36565926159382434</v>
      </c>
      <c r="BC70" s="261">
        <f>+AY70+BA70</f>
        <v>308035112.61356026</v>
      </c>
      <c r="BD70" s="1016">
        <f>+AY70-'T2'!F84</f>
        <v>0</v>
      </c>
      <c r="BE70" s="1016">
        <f>+BA70-'T2'!H84</f>
        <v>0</v>
      </c>
      <c r="BF70" s="51"/>
    </row>
    <row r="71" spans="1:58" ht="15" thickBot="1">
      <c r="A71" s="212"/>
      <c r="B71" s="213"/>
      <c r="C71" s="213"/>
      <c r="D71" s="213"/>
      <c r="E71" s="214"/>
      <c r="F71" s="214"/>
      <c r="G71" s="263"/>
      <c r="H71" s="263"/>
      <c r="I71" s="263"/>
      <c r="J71" s="263"/>
      <c r="K71" s="264"/>
      <c r="L71" s="263"/>
      <c r="M71" s="263"/>
      <c r="N71" s="263"/>
      <c r="O71" s="263"/>
      <c r="P71" s="264"/>
      <c r="Q71" s="263"/>
      <c r="R71" s="263"/>
      <c r="S71" s="263"/>
      <c r="T71" s="263"/>
      <c r="U71" s="264"/>
      <c r="V71" s="263"/>
      <c r="W71" s="263"/>
      <c r="X71" s="263"/>
      <c r="Y71" s="263"/>
      <c r="Z71" s="264"/>
      <c r="AA71" s="263"/>
      <c r="AB71" s="263"/>
      <c r="AC71" s="263"/>
      <c r="AD71" s="263"/>
      <c r="AE71" s="264"/>
      <c r="AF71" s="977"/>
      <c r="AG71" s="977"/>
      <c r="AH71" s="263"/>
      <c r="AI71" s="263"/>
      <c r="AJ71" s="264"/>
      <c r="AK71" s="977"/>
      <c r="AL71" s="977"/>
      <c r="AM71" s="263"/>
      <c r="AN71" s="263"/>
      <c r="AO71" s="264"/>
      <c r="AP71" s="222"/>
      <c r="AQ71" s="264"/>
      <c r="AR71" s="265"/>
      <c r="AS71" s="264"/>
      <c r="AT71" s="265"/>
      <c r="AU71" s="264"/>
      <c r="AV71" s="265"/>
      <c r="AW71" s="264"/>
      <c r="AX71" s="265"/>
      <c r="AY71" s="265"/>
      <c r="AZ71" s="265"/>
      <c r="BA71" s="265"/>
      <c r="BB71" s="265"/>
      <c r="BC71" s="264"/>
      <c r="BD71" s="1017"/>
      <c r="BE71" s="1017"/>
      <c r="BF71" s="51"/>
    </row>
    <row r="72" spans="1:58" s="270" customFormat="1">
      <c r="A72" s="266"/>
      <c r="B72" s="266"/>
      <c r="C72" s="266"/>
      <c r="D72" s="266"/>
      <c r="E72" s="266"/>
      <c r="F72" s="267"/>
      <c r="G72" s="268"/>
      <c r="H72" s="268"/>
      <c r="I72" s="268"/>
      <c r="J72" s="268"/>
      <c r="K72" s="269"/>
      <c r="L72" s="268"/>
      <c r="M72" s="268"/>
      <c r="N72" s="268"/>
      <c r="O72" s="268"/>
      <c r="P72" s="269"/>
      <c r="Q72" s="268"/>
      <c r="R72" s="268"/>
      <c r="S72" s="268"/>
      <c r="T72" s="268"/>
      <c r="U72" s="269"/>
      <c r="V72" s="268"/>
      <c r="W72" s="268"/>
      <c r="X72" s="268"/>
      <c r="Y72" s="268"/>
      <c r="Z72" s="269"/>
      <c r="AA72" s="268"/>
      <c r="AB72" s="268"/>
      <c r="AC72" s="268"/>
      <c r="AD72" s="268"/>
      <c r="AE72" s="269"/>
      <c r="AF72" s="978"/>
      <c r="AG72" s="978"/>
      <c r="AH72" s="268"/>
      <c r="AI72" s="268"/>
      <c r="AJ72" s="269"/>
      <c r="AK72" s="978"/>
      <c r="AL72" s="978"/>
      <c r="AM72" s="268"/>
      <c r="AN72" s="268"/>
      <c r="AO72" s="269"/>
      <c r="AP72" s="269"/>
      <c r="AS72" s="271"/>
      <c r="AT72" s="271"/>
      <c r="AU72" s="271"/>
      <c r="AV72" s="271"/>
      <c r="AW72" s="271"/>
      <c r="AX72" s="271" t="s">
        <v>308</v>
      </c>
      <c r="AY72" s="271">
        <f>AY70-SUM(AY65,AY62,AY52,AY43,AY22,AY13)</f>
        <v>0</v>
      </c>
      <c r="AZ72" s="271"/>
      <c r="BA72" s="271">
        <f>BA70-SUM(BA65,BA62,BA52,BA43,BA22,BA13)</f>
        <v>0</v>
      </c>
      <c r="BB72" s="271"/>
      <c r="BC72" s="271">
        <f>BC70-SUM(BC65,BC62,BC52,BC43,BC22,BC13)</f>
        <v>0</v>
      </c>
      <c r="BD72" s="271"/>
      <c r="BE72" s="271"/>
    </row>
    <row r="73" spans="1:58" s="270" customFormat="1">
      <c r="A73" s="272"/>
      <c r="B73" s="272"/>
      <c r="C73" s="272"/>
      <c r="D73" s="272"/>
      <c r="E73" s="266"/>
      <c r="F73" s="267"/>
      <c r="G73" s="273"/>
      <c r="H73" s="273"/>
      <c r="I73" s="273"/>
      <c r="J73" s="273"/>
      <c r="K73" s="274"/>
      <c r="L73" s="273"/>
      <c r="M73" s="273"/>
      <c r="N73" s="273"/>
      <c r="O73" s="273"/>
      <c r="P73" s="274"/>
      <c r="Q73" s="273"/>
      <c r="R73" s="273"/>
      <c r="S73" s="273"/>
      <c r="T73" s="273"/>
      <c r="U73" s="274"/>
      <c r="V73" s="273"/>
      <c r="W73" s="273"/>
      <c r="X73" s="273"/>
      <c r="Y73" s="273"/>
      <c r="Z73" s="274"/>
      <c r="AA73" s="273"/>
      <c r="AB73" s="273"/>
      <c r="AC73" s="273"/>
      <c r="AD73" s="273"/>
      <c r="AE73" s="274"/>
      <c r="AF73" s="979"/>
      <c r="AG73" s="979"/>
      <c r="AH73" s="273"/>
      <c r="AI73" s="273"/>
      <c r="AJ73" s="274"/>
      <c r="AK73" s="979"/>
      <c r="AL73" s="979"/>
      <c r="AM73" s="273"/>
      <c r="AN73" s="273"/>
      <c r="AO73" s="274"/>
      <c r="AP73" s="274"/>
      <c r="AQ73" s="274"/>
      <c r="AR73" s="274"/>
      <c r="AS73" s="274"/>
      <c r="AT73" s="274"/>
      <c r="AU73" s="274"/>
      <c r="AV73" s="274"/>
      <c r="AW73" s="274"/>
      <c r="AX73" s="274"/>
      <c r="AY73" s="274"/>
      <c r="AZ73" s="274"/>
      <c r="BA73" s="274"/>
      <c r="BB73" s="274"/>
      <c r="BC73" s="274"/>
      <c r="BD73" s="274"/>
      <c r="BE73" s="274"/>
    </row>
    <row r="74" spans="1:58">
      <c r="A74" s="204"/>
      <c r="B74" s="204"/>
      <c r="C74" s="204"/>
      <c r="D74" s="204"/>
      <c r="E74" s="205"/>
      <c r="F74" s="272" t="s">
        <v>318</v>
      </c>
      <c r="G74" s="997">
        <f>(+G70+I70)/$K$70</f>
        <v>0.97123162894156678</v>
      </c>
      <c r="H74" s="997">
        <f>(+H70+J70)/$K$70</f>
        <v>2.8768371058433377E-2</v>
      </c>
      <c r="I74" s="997"/>
      <c r="J74" s="997"/>
      <c r="K74" s="997">
        <f>K70/K70</f>
        <v>1</v>
      </c>
      <c r="L74" s="997" t="e">
        <f>(+L70+N70)/$P$70</f>
        <v>#DIV/0!</v>
      </c>
      <c r="M74" s="997" t="e">
        <f>(+M70+O70)/$P$70</f>
        <v>#DIV/0!</v>
      </c>
      <c r="N74" s="997"/>
      <c r="O74" s="997"/>
      <c r="P74" s="997" t="e">
        <f>P70/P70</f>
        <v>#DIV/0!</v>
      </c>
      <c r="Q74" s="997">
        <f>(+Q70+S70)/$U$70</f>
        <v>0.70635608796234806</v>
      </c>
      <c r="R74" s="997">
        <f>(+R70+T70)/$U$70</f>
        <v>0.293643912037652</v>
      </c>
      <c r="S74" s="997"/>
      <c r="T74" s="997"/>
      <c r="U74" s="997">
        <f>U70/U70</f>
        <v>1</v>
      </c>
      <c r="V74" s="997">
        <f>(+V70+X70)/$Z$70</f>
        <v>0.6126902551011123</v>
      </c>
      <c r="W74" s="997">
        <f>(+W70+Y70)/$Z$70</f>
        <v>0.38730974489888759</v>
      </c>
      <c r="X74" s="997"/>
      <c r="Y74" s="997"/>
      <c r="Z74" s="997">
        <f>Z70/Z70</f>
        <v>1</v>
      </c>
      <c r="AA74" s="997">
        <f>(+AA70+AC70)/$AE$70</f>
        <v>0.60648161513318422</v>
      </c>
      <c r="AB74" s="997">
        <f>(+AB70+AD70)/$AE$70</f>
        <v>0.39351838486681584</v>
      </c>
      <c r="AC74" s="997"/>
      <c r="AD74" s="997"/>
      <c r="AE74" s="997">
        <f>AE70/AE70</f>
        <v>1</v>
      </c>
      <c r="AF74" s="998"/>
      <c r="AG74" s="998"/>
      <c r="AH74" s="997">
        <f>+AH70/AJ70</f>
        <v>0.56380775054411358</v>
      </c>
      <c r="AI74" s="1013">
        <f>+AI70/AJ70</f>
        <v>0.43619224945588636</v>
      </c>
      <c r="AJ74" s="997">
        <f>AJ70/AJ70</f>
        <v>1</v>
      </c>
      <c r="AK74" s="998"/>
      <c r="AL74" s="998"/>
      <c r="AM74" s="997">
        <f>+AM70/AO70</f>
        <v>-0.34007028581587628</v>
      </c>
      <c r="AN74" s="1013">
        <f>+AN70/AO70</f>
        <v>1.3400702858158762</v>
      </c>
      <c r="AO74" s="997">
        <f>AO70/AO70</f>
        <v>1</v>
      </c>
      <c r="AP74" s="997"/>
      <c r="AQ74" s="997"/>
      <c r="AR74" s="997"/>
      <c r="AS74" s="997"/>
      <c r="AT74" s="997"/>
      <c r="AU74" s="997"/>
      <c r="AV74" s="997"/>
      <c r="AW74" s="997"/>
      <c r="AX74" s="997"/>
      <c r="AY74" s="997">
        <f>+AY70/BC70</f>
        <v>0.63434073840617555</v>
      </c>
      <c r="AZ74" s="997"/>
      <c r="BA74" s="997">
        <f>+BA70/BC70</f>
        <v>0.36565926159382434</v>
      </c>
      <c r="BB74" s="997"/>
      <c r="BC74" s="997">
        <f>BC70/BC70</f>
        <v>1</v>
      </c>
      <c r="BD74" s="997"/>
      <c r="BE74" s="997"/>
      <c r="BF74" s="275"/>
    </row>
    <row r="75" spans="1:58">
      <c r="A75" s="204"/>
      <c r="B75" s="204"/>
      <c r="C75" s="204"/>
      <c r="D75" s="204"/>
      <c r="E75" s="205"/>
      <c r="F75" s="272"/>
      <c r="G75" s="997"/>
      <c r="H75" s="997"/>
      <c r="I75" s="997"/>
      <c r="J75" s="997"/>
      <c r="K75" s="997"/>
      <c r="L75" s="997"/>
      <c r="M75" s="997"/>
      <c r="N75" s="997"/>
      <c r="O75" s="997"/>
      <c r="P75" s="997"/>
      <c r="Q75" s="997"/>
      <c r="R75" s="997"/>
      <c r="S75" s="997"/>
      <c r="T75" s="997"/>
      <c r="U75" s="997"/>
      <c r="V75" s="997"/>
      <c r="W75" s="997"/>
      <c r="X75" s="997"/>
      <c r="Y75" s="997"/>
      <c r="Z75" s="997"/>
      <c r="AA75" s="999"/>
      <c r="AB75" s="997"/>
      <c r="AC75" s="997"/>
      <c r="AD75" s="997"/>
      <c r="AE75" s="997"/>
      <c r="AF75" s="1000"/>
      <c r="AG75" s="998"/>
      <c r="AH75" s="997"/>
      <c r="AI75" s="997"/>
      <c r="AJ75" s="997"/>
      <c r="AK75" s="1000"/>
      <c r="AL75" s="998"/>
      <c r="AM75" s="997"/>
      <c r="AN75" s="997"/>
      <c r="AO75" s="997"/>
      <c r="AP75" s="997"/>
      <c r="AQ75" s="997"/>
      <c r="AR75" s="997"/>
      <c r="AS75" s="997"/>
      <c r="AT75" s="997"/>
      <c r="AU75" s="997"/>
      <c r="AV75" s="997"/>
      <c r="AW75" s="997"/>
      <c r="AX75" s="997"/>
      <c r="AY75" s="997"/>
      <c r="AZ75" s="997"/>
      <c r="BA75" s="997"/>
      <c r="BB75" s="997"/>
      <c r="BC75" s="997"/>
      <c r="BD75" s="997"/>
      <c r="BE75" s="997"/>
      <c r="BF75" s="275"/>
    </row>
    <row r="76" spans="1:58">
      <c r="A76" s="204"/>
      <c r="B76" s="204"/>
      <c r="C76" s="204"/>
      <c r="D76" s="204"/>
      <c r="E76" s="205"/>
      <c r="F76" s="272" t="s">
        <v>101</v>
      </c>
      <c r="G76" s="997"/>
      <c r="H76" s="997">
        <f>(+G70+H70)/$K$70</f>
        <v>7.0309893300209093E-4</v>
      </c>
      <c r="I76" s="997"/>
      <c r="J76" s="997">
        <f>(+I70+J70)/$K$70</f>
        <v>0.99929690106699809</v>
      </c>
      <c r="K76" s="997">
        <f>K70/K70</f>
        <v>1</v>
      </c>
      <c r="L76" s="997"/>
      <c r="M76" s="997" t="e">
        <f>(+L70+M70)/$P$70</f>
        <v>#DIV/0!</v>
      </c>
      <c r="N76" s="997"/>
      <c r="O76" s="997" t="e">
        <f>(+N70+O70)/$P$70</f>
        <v>#DIV/0!</v>
      </c>
      <c r="P76" s="997" t="e">
        <f>P70/P70</f>
        <v>#DIV/0!</v>
      </c>
      <c r="Q76" s="997"/>
      <c r="R76" s="997">
        <f>(+Q70+R70)/$U$70</f>
        <v>1.4936256255150113E-2</v>
      </c>
      <c r="S76" s="997"/>
      <c r="T76" s="997">
        <f>(+S70+T70)/$U$70</f>
        <v>0.98506374374485006</v>
      </c>
      <c r="U76" s="997">
        <f>U70/U70</f>
        <v>1</v>
      </c>
      <c r="V76" s="997"/>
      <c r="W76" s="997">
        <f>(+V70+W70)/$Z$70</f>
        <v>1.859420815856818E-2</v>
      </c>
      <c r="X76" s="997"/>
      <c r="Y76" s="997">
        <f>(+X70+Y70)/$Z$70</f>
        <v>0.98140579184143162</v>
      </c>
      <c r="Z76" s="997">
        <f>Z70/Z70</f>
        <v>1</v>
      </c>
      <c r="AA76" s="999"/>
      <c r="AB76" s="997">
        <f>(+AA70+AB70)/$AE$70</f>
        <v>9.0479725634055224E-4</v>
      </c>
      <c r="AC76" s="997"/>
      <c r="AD76" s="997">
        <f>(+AC70+AD70)/$AE$70</f>
        <v>0.99909520274365948</v>
      </c>
      <c r="AE76" s="997">
        <f>AE70/AE70</f>
        <v>1</v>
      </c>
      <c r="AF76" s="1000"/>
      <c r="AG76" s="998"/>
      <c r="AH76" s="997"/>
      <c r="AI76" s="997">
        <f>(+AH70+AI70)/$AJ$70</f>
        <v>1</v>
      </c>
      <c r="AJ76" s="997">
        <f>AJ70/AJ70</f>
        <v>1</v>
      </c>
      <c r="AK76" s="1000"/>
      <c r="AL76" s="998"/>
      <c r="AM76" s="997"/>
      <c r="AN76" s="997">
        <f>(+AM70+AN70)/$AO$70</f>
        <v>1</v>
      </c>
      <c r="AO76" s="997">
        <f>AO70/AO70</f>
        <v>1</v>
      </c>
      <c r="AP76" s="997"/>
      <c r="AQ76" s="997"/>
      <c r="AR76" s="997"/>
      <c r="AS76" s="997">
        <f>(+AQ70+AS70)/$BC$70</f>
        <v>4.0987545757634651E-3</v>
      </c>
      <c r="AT76" s="997"/>
      <c r="AU76" s="997"/>
      <c r="AV76" s="997"/>
      <c r="AW76" s="997">
        <f>(+AU70+AW70)/$BC$70</f>
        <v>0.99590124542423653</v>
      </c>
      <c r="AX76" s="997"/>
      <c r="AY76" s="997"/>
      <c r="AZ76" s="997"/>
      <c r="BA76" s="997"/>
      <c r="BB76" s="997"/>
      <c r="BC76" s="997">
        <f>BC70/BC70</f>
        <v>1</v>
      </c>
      <c r="BD76" s="997"/>
      <c r="BE76" s="997"/>
      <c r="BF76" s="275"/>
    </row>
    <row r="77" spans="1:58">
      <c r="A77" s="204"/>
      <c r="B77" s="204"/>
      <c r="C77" s="204"/>
      <c r="D77" s="204"/>
      <c r="E77" s="205"/>
      <c r="F77" s="272"/>
      <c r="G77" s="997"/>
      <c r="H77" s="997"/>
      <c r="I77" s="997"/>
      <c r="J77" s="997"/>
      <c r="K77" s="997"/>
      <c r="L77" s="997"/>
      <c r="M77" s="997"/>
      <c r="N77" s="997"/>
      <c r="O77" s="997"/>
      <c r="P77" s="997"/>
      <c r="Q77" s="997"/>
      <c r="R77" s="997"/>
      <c r="S77" s="997"/>
      <c r="T77" s="997"/>
      <c r="U77" s="997"/>
      <c r="V77" s="997"/>
      <c r="W77" s="997"/>
      <c r="X77" s="997"/>
      <c r="Y77" s="997"/>
      <c r="Z77" s="997"/>
      <c r="AA77" s="999"/>
      <c r="AB77" s="997"/>
      <c r="AC77" s="997"/>
      <c r="AD77" s="997"/>
      <c r="AE77" s="997"/>
      <c r="AF77" s="1000"/>
      <c r="AG77" s="998"/>
      <c r="AH77" s="997"/>
      <c r="AI77" s="997"/>
      <c r="AJ77" s="997"/>
      <c r="AK77" s="1000"/>
      <c r="AL77" s="998"/>
      <c r="AM77" s="997"/>
      <c r="AN77" s="997"/>
      <c r="AO77" s="997"/>
      <c r="AP77" s="997"/>
      <c r="AQ77" s="997"/>
      <c r="AR77" s="997"/>
      <c r="AS77" s="997"/>
      <c r="AT77" s="997"/>
      <c r="AU77" s="997"/>
      <c r="AV77" s="997"/>
      <c r="AW77" s="997"/>
      <c r="AX77" s="997"/>
      <c r="AY77" s="997"/>
      <c r="AZ77" s="997"/>
      <c r="BA77" s="997"/>
      <c r="BB77" s="997"/>
      <c r="BC77" s="997"/>
      <c r="BD77" s="997"/>
      <c r="BE77" s="997"/>
      <c r="BF77" s="275"/>
    </row>
    <row r="78" spans="1:58">
      <c r="A78" s="204"/>
      <c r="B78" s="204"/>
      <c r="C78" s="204"/>
      <c r="D78" s="204"/>
      <c r="E78" s="205"/>
      <c r="F78" s="272" t="s">
        <v>89</v>
      </c>
      <c r="G78" s="997"/>
      <c r="H78" s="997"/>
      <c r="I78" s="997"/>
      <c r="J78" s="997"/>
      <c r="K78" s="997">
        <f>K70/$BC$70</f>
        <v>2.1121436272526509E-2</v>
      </c>
      <c r="L78" s="997"/>
      <c r="M78" s="997"/>
      <c r="N78" s="997"/>
      <c r="O78" s="997"/>
      <c r="P78" s="997">
        <f>P70/$BC$70</f>
        <v>0</v>
      </c>
      <c r="Q78" s="997"/>
      <c r="R78" s="997"/>
      <c r="S78" s="997"/>
      <c r="T78" s="997"/>
      <c r="U78" s="997">
        <f>U70/$BC$70</f>
        <v>0.22427180152899098</v>
      </c>
      <c r="V78" s="997"/>
      <c r="W78" s="997"/>
      <c r="X78" s="997"/>
      <c r="Y78" s="997"/>
      <c r="Z78" s="997">
        <f>Z70/$BC$70</f>
        <v>5.6331449432704007E-3</v>
      </c>
      <c r="AA78" s="997"/>
      <c r="AB78" s="997"/>
      <c r="AC78" s="997"/>
      <c r="AD78" s="997"/>
      <c r="AE78" s="997">
        <f>AE70/$BC$70</f>
        <v>0.69560240588987765</v>
      </c>
      <c r="AF78" s="998"/>
      <c r="AG78" s="998"/>
      <c r="AH78" s="997"/>
      <c r="AI78" s="997"/>
      <c r="AJ78" s="997">
        <f>AJ70/$BC$70</f>
        <v>5.3369698805844724E-2</v>
      </c>
      <c r="AK78" s="998"/>
      <c r="AL78" s="998"/>
      <c r="AM78" s="997"/>
      <c r="AN78" s="997"/>
      <c r="AO78" s="997">
        <f>AO70/$BC$70</f>
        <v>1.5125594895725321E-6</v>
      </c>
      <c r="AP78" s="997"/>
      <c r="AQ78" s="997"/>
      <c r="AR78" s="997"/>
      <c r="AS78" s="997"/>
      <c r="AT78" s="997"/>
      <c r="AU78" s="997"/>
      <c r="AV78" s="997"/>
      <c r="AW78" s="997"/>
      <c r="AX78" s="997"/>
      <c r="AY78" s="997"/>
      <c r="AZ78" s="997"/>
      <c r="BA78" s="997"/>
      <c r="BB78" s="997"/>
      <c r="BC78" s="997">
        <f>BC70/BC70</f>
        <v>1</v>
      </c>
      <c r="BD78" s="997"/>
      <c r="BE78" s="997"/>
      <c r="BF78" s="275"/>
    </row>
    <row r="79" spans="1:58" ht="15" thickBot="1">
      <c r="AF79" s="980"/>
      <c r="AG79" s="980"/>
      <c r="AK79" s="980"/>
      <c r="AL79" s="980"/>
      <c r="BD79" s="1014"/>
      <c r="BE79" s="1014"/>
      <c r="BF79" s="204"/>
    </row>
    <row r="80" spans="1:58">
      <c r="A80" s="198"/>
      <c r="B80" s="199"/>
      <c r="C80" s="199"/>
      <c r="D80" s="199"/>
      <c r="E80" s="200"/>
      <c r="F80" s="200"/>
      <c r="G80" s="279"/>
      <c r="H80" s="279"/>
      <c r="I80" s="279"/>
      <c r="J80" s="279"/>
      <c r="K80" s="280"/>
      <c r="L80" s="279"/>
      <c r="M80" s="279"/>
      <c r="N80" s="279"/>
      <c r="O80" s="279"/>
      <c r="P80" s="280"/>
      <c r="Q80" s="279"/>
      <c r="R80" s="279"/>
      <c r="S80" s="279"/>
      <c r="T80" s="279"/>
      <c r="U80" s="280"/>
      <c r="V80" s="279"/>
      <c r="W80" s="279"/>
      <c r="X80" s="279"/>
      <c r="Y80" s="279"/>
      <c r="Z80" s="280"/>
      <c r="AA80" s="279"/>
      <c r="AB80" s="279"/>
      <c r="AC80" s="279"/>
      <c r="AD80" s="279"/>
      <c r="AE80" s="280"/>
      <c r="AF80" s="981"/>
      <c r="AG80" s="981"/>
      <c r="AH80" s="279"/>
      <c r="AI80" s="279"/>
      <c r="AJ80" s="280"/>
      <c r="AK80" s="981"/>
      <c r="AL80" s="981"/>
      <c r="AM80" s="279"/>
      <c r="AN80" s="279"/>
      <c r="AO80" s="280"/>
      <c r="AP80" s="222"/>
      <c r="AQ80" s="280"/>
      <c r="AR80" s="280"/>
      <c r="AS80" s="280"/>
      <c r="AT80" s="280"/>
      <c r="AU80" s="280"/>
      <c r="AV80" s="280"/>
      <c r="AW80" s="280"/>
      <c r="AX80" s="280"/>
      <c r="AY80" s="280"/>
      <c r="AZ80" s="280"/>
      <c r="BA80" s="280"/>
      <c r="BB80" s="280"/>
      <c r="BC80" s="280"/>
      <c r="BD80" s="1015"/>
      <c r="BE80" s="1015"/>
      <c r="BF80" s="51"/>
    </row>
    <row r="81" spans="1:58" ht="15.6">
      <c r="A81" s="1614" t="s">
        <v>278</v>
      </c>
      <c r="B81" s="1615"/>
      <c r="C81" s="1615"/>
      <c r="D81" s="1615"/>
      <c r="E81" s="1615"/>
      <c r="F81" s="1616"/>
      <c r="G81" s="261">
        <f>G70-G65</f>
        <v>1396.6133186100069</v>
      </c>
      <c r="H81" s="261">
        <f t="shared" ref="H81:BC81" si="56">H70-H65</f>
        <v>3177.8495862878162</v>
      </c>
      <c r="I81" s="261">
        <f t="shared" si="56"/>
        <v>272809.6952323569</v>
      </c>
      <c r="J81" s="261">
        <f t="shared" si="56"/>
        <v>183993.31518740166</v>
      </c>
      <c r="K81" s="261">
        <f t="shared" si="56"/>
        <v>461377.47332465556</v>
      </c>
      <c r="L81" s="261">
        <f t="shared" si="56"/>
        <v>0</v>
      </c>
      <c r="M81" s="261">
        <f t="shared" si="56"/>
        <v>0</v>
      </c>
      <c r="N81" s="261">
        <f t="shared" si="56"/>
        <v>0</v>
      </c>
      <c r="O81" s="261">
        <f t="shared" si="56"/>
        <v>0</v>
      </c>
      <c r="P81" s="261">
        <f t="shared" si="56"/>
        <v>0</v>
      </c>
      <c r="Q81" s="261">
        <f t="shared" si="56"/>
        <v>82435.236433528335</v>
      </c>
      <c r="R81" s="261">
        <f t="shared" si="56"/>
        <v>949414.96145557496</v>
      </c>
      <c r="S81" s="261">
        <f t="shared" si="56"/>
        <v>15377063.717297003</v>
      </c>
      <c r="T81" s="261">
        <f t="shared" si="56"/>
        <v>19336560.558046281</v>
      </c>
      <c r="U81" s="261">
        <f t="shared" si="56"/>
        <v>35745474.473232381</v>
      </c>
      <c r="V81" s="261">
        <f t="shared" si="56"/>
        <v>5464.283359649271</v>
      </c>
      <c r="W81" s="261">
        <f t="shared" si="56"/>
        <v>26800.506327436113</v>
      </c>
      <c r="X81" s="261">
        <f t="shared" si="56"/>
        <v>417469.26138271182</v>
      </c>
      <c r="Y81" s="261">
        <f t="shared" si="56"/>
        <v>645261.85612185963</v>
      </c>
      <c r="Z81" s="261">
        <f t="shared" si="56"/>
        <v>1094995.907191657</v>
      </c>
      <c r="AA81" s="261">
        <f t="shared" si="56"/>
        <v>16065.059585644471</v>
      </c>
      <c r="AB81" s="261">
        <f t="shared" si="56"/>
        <v>177805.8172539135</v>
      </c>
      <c r="AC81" s="261">
        <f t="shared" si="56"/>
        <v>96054989.38209939</v>
      </c>
      <c r="AD81" s="261">
        <f t="shared" si="56"/>
        <v>84141364.90523237</v>
      </c>
      <c r="AE81" s="261">
        <f t="shared" si="56"/>
        <v>180390225.16417131</v>
      </c>
      <c r="AF81" s="976"/>
      <c r="AG81" s="976"/>
      <c r="AH81" s="261">
        <f t="shared" ref="AH81:AO81" si="57">AH70-AH65</f>
        <v>8594318.9491231609</v>
      </c>
      <c r="AI81" s="261">
        <f t="shared" si="57"/>
        <v>7170887.686566351</v>
      </c>
      <c r="AJ81" s="261">
        <f t="shared" si="57"/>
        <v>15765206.635689512</v>
      </c>
      <c r="AK81" s="976"/>
      <c r="AL81" s="976"/>
      <c r="AM81" s="261">
        <f t="shared" si="57"/>
        <v>-169.10714075550285</v>
      </c>
      <c r="AN81" s="261">
        <f t="shared" si="57"/>
        <v>624.36746749297868</v>
      </c>
      <c r="AO81" s="261">
        <f t="shared" si="57"/>
        <v>455.26032673747579</v>
      </c>
      <c r="AP81" s="261"/>
      <c r="AQ81" s="261">
        <f t="shared" si="56"/>
        <v>105361.19269743207</v>
      </c>
      <c r="AR81" s="262">
        <f>AQ81/(AQ81+AS81)</f>
        <v>8.3450422461020482E-2</v>
      </c>
      <c r="AS81" s="261">
        <f>AS70-AS65</f>
        <v>1157199.1346232123</v>
      </c>
      <c r="AT81" s="262">
        <f>AS81/(AQ81+AS81)</f>
        <v>0.91654957753897948</v>
      </c>
      <c r="AU81" s="261">
        <f t="shared" si="56"/>
        <v>120716481.89799388</v>
      </c>
      <c r="AV81" s="262">
        <f>AU81/(AU81+AW81)</f>
        <v>0.51989229368314493</v>
      </c>
      <c r="AW81" s="261">
        <f t="shared" si="56"/>
        <v>111478692.68862176</v>
      </c>
      <c r="AX81" s="262">
        <f>AW81/(AU81+AW81)</f>
        <v>0.48010770631685512</v>
      </c>
      <c r="AY81" s="261">
        <f t="shared" si="56"/>
        <v>120821843.09069131</v>
      </c>
      <c r="AZ81" s="1012">
        <f>+AY81/BC81</f>
        <v>0.51753197697746889</v>
      </c>
      <c r="BA81" s="261">
        <f t="shared" si="56"/>
        <v>112635891.82324497</v>
      </c>
      <c r="BB81" s="262">
        <f>+BA81/BC81</f>
        <v>0.48246802302253106</v>
      </c>
      <c r="BC81" s="261">
        <f t="shared" si="56"/>
        <v>233457734.91393632</v>
      </c>
      <c r="BD81" s="1016">
        <f>+AY81-('T2'!F84-'T2'!F81)</f>
        <v>-674534.54612059891</v>
      </c>
      <c r="BE81" s="1016">
        <f>+BA81-('T2'!H84-'T2'!H81)</f>
        <v>0</v>
      </c>
      <c r="BF81" s="51"/>
    </row>
    <row r="82" spans="1:58" ht="15" thickBot="1">
      <c r="A82" s="212"/>
      <c r="B82" s="213"/>
      <c r="C82" s="213"/>
      <c r="D82" s="213"/>
      <c r="E82" s="214"/>
      <c r="F82" s="214"/>
      <c r="G82" s="263"/>
      <c r="H82" s="263"/>
      <c r="I82" s="263"/>
      <c r="J82" s="263"/>
      <c r="K82" s="264"/>
      <c r="L82" s="263"/>
      <c r="M82" s="263"/>
      <c r="N82" s="263"/>
      <c r="O82" s="263"/>
      <c r="P82" s="264"/>
      <c r="Q82" s="263"/>
      <c r="R82" s="263"/>
      <c r="S82" s="263"/>
      <c r="T82" s="263"/>
      <c r="U82" s="264"/>
      <c r="V82" s="263"/>
      <c r="W82" s="263"/>
      <c r="X82" s="263"/>
      <c r="Y82" s="263"/>
      <c r="Z82" s="264"/>
      <c r="AA82" s="263"/>
      <c r="AB82" s="263"/>
      <c r="AC82" s="263"/>
      <c r="AD82" s="263"/>
      <c r="AE82" s="264"/>
      <c r="AF82" s="977"/>
      <c r="AG82" s="977"/>
      <c r="AH82" s="263"/>
      <c r="AI82" s="263"/>
      <c r="AJ82" s="264"/>
      <c r="AK82" s="977"/>
      <c r="AL82" s="977"/>
      <c r="AM82" s="263"/>
      <c r="AN82" s="263"/>
      <c r="AO82" s="264"/>
      <c r="AP82" s="222"/>
      <c r="AQ82" s="264"/>
      <c r="AR82" s="264"/>
      <c r="AS82" s="264"/>
      <c r="AT82" s="264"/>
      <c r="AU82" s="264"/>
      <c r="AV82" s="264"/>
      <c r="AW82" s="264"/>
      <c r="AX82" s="264"/>
      <c r="AY82" s="264"/>
      <c r="AZ82" s="264"/>
      <c r="BA82" s="264"/>
      <c r="BB82" s="264"/>
      <c r="BC82" s="264"/>
      <c r="BD82" s="1017"/>
      <c r="BE82" s="1017"/>
      <c r="BF82" s="51"/>
    </row>
    <row r="83" spans="1:58">
      <c r="A83" s="51"/>
      <c r="B83" s="51"/>
      <c r="C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281"/>
      <c r="AQ83" s="51"/>
      <c r="AR83" s="51"/>
      <c r="AS83" s="51"/>
      <c r="AT83" s="51"/>
      <c r="AU83" s="51"/>
      <c r="AV83" s="51"/>
      <c r="AW83" s="51"/>
      <c r="AX83" s="51"/>
      <c r="AY83" s="51"/>
      <c r="AZ83" s="51"/>
      <c r="BA83" s="51"/>
      <c r="BB83" s="51"/>
      <c r="BC83" s="51"/>
      <c r="BD83" s="51"/>
      <c r="BE83" s="51"/>
      <c r="BF83" s="204"/>
    </row>
    <row r="84" spans="1:58">
      <c r="A84" s="51"/>
      <c r="B84" s="51"/>
      <c r="C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281"/>
      <c r="AQ84" s="51"/>
      <c r="AR84" s="51"/>
      <c r="AS84" s="51"/>
      <c r="AT84" s="51"/>
      <c r="AU84" s="51"/>
      <c r="AV84" s="51"/>
      <c r="AW84" s="51"/>
      <c r="AX84" s="51"/>
      <c r="AY84" s="51"/>
      <c r="AZ84" s="51"/>
      <c r="BA84" s="51"/>
      <c r="BB84" s="51"/>
      <c r="BC84" s="51"/>
      <c r="BD84" s="51"/>
      <c r="BE84" s="51"/>
      <c r="BF84" s="204"/>
    </row>
    <row r="85" spans="1:58">
      <c r="A85" s="51"/>
      <c r="B85" s="51"/>
      <c r="C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281"/>
      <c r="AQ85" s="51"/>
      <c r="AR85" s="51"/>
      <c r="AS85" s="51"/>
      <c r="AT85" s="51"/>
      <c r="AU85" s="51"/>
      <c r="AV85" s="51"/>
      <c r="AW85" s="51"/>
      <c r="AX85" s="51"/>
      <c r="AY85" s="51"/>
      <c r="AZ85" s="51"/>
      <c r="BA85" s="51"/>
      <c r="BB85" s="51"/>
      <c r="BC85" s="51"/>
      <c r="BD85" s="51"/>
      <c r="BE85" s="51"/>
      <c r="BF85" s="204"/>
    </row>
    <row r="86" spans="1:58">
      <c r="A86" s="51"/>
      <c r="B86" s="51"/>
      <c r="C86" s="51"/>
      <c r="G86" s="1436"/>
      <c r="H86" s="1436"/>
      <c r="I86" s="1436"/>
      <c r="J86" s="1436"/>
      <c r="K86" s="1436"/>
      <c r="L86" s="1436"/>
      <c r="M86" s="1436"/>
      <c r="N86" s="1436"/>
      <c r="O86" s="1436"/>
      <c r="P86" s="1436"/>
      <c r="Q86" s="1436"/>
      <c r="R86" s="1436"/>
      <c r="S86" s="1436"/>
      <c r="T86" s="1436"/>
      <c r="U86" s="1436"/>
      <c r="V86" s="1436"/>
      <c r="W86" s="1436"/>
      <c r="X86" s="1436"/>
      <c r="Y86" s="1436"/>
      <c r="Z86" s="1436"/>
      <c r="AA86" s="1436"/>
      <c r="AB86" s="1436"/>
      <c r="AC86" s="1436"/>
      <c r="AD86" s="1436"/>
      <c r="AE86" s="51"/>
      <c r="AF86" s="51"/>
      <c r="AG86" s="51"/>
      <c r="AH86" s="1436"/>
      <c r="AI86" s="1436"/>
      <c r="AJ86" s="51"/>
      <c r="AK86" s="51"/>
      <c r="AL86" s="51"/>
      <c r="AM86" s="1436"/>
      <c r="AN86" s="1436"/>
      <c r="AO86" s="51"/>
      <c r="AP86" s="281"/>
      <c r="AQ86" s="1436"/>
      <c r="AR86" s="51"/>
      <c r="AS86" s="1436"/>
      <c r="AT86" s="51"/>
      <c r="AU86" s="1436"/>
      <c r="AV86" s="51"/>
      <c r="AW86" s="1436"/>
      <c r="AX86" s="51"/>
      <c r="AY86" s="1436"/>
      <c r="AZ86" s="51"/>
      <c r="BA86" s="1436"/>
      <c r="BB86" s="51"/>
      <c r="BC86" s="51"/>
      <c r="BD86" s="51"/>
      <c r="BE86" s="51"/>
      <c r="BF86" s="204"/>
    </row>
    <row r="87" spans="1:58">
      <c r="G87" s="1437"/>
      <c r="H87" s="1437"/>
      <c r="I87" s="1437"/>
      <c r="J87" s="1437"/>
      <c r="K87" s="1437"/>
      <c r="L87" s="1437"/>
      <c r="M87" s="1437"/>
      <c r="N87" s="1437"/>
      <c r="O87" s="1437"/>
      <c r="P87" s="1437"/>
      <c r="Q87" s="1437"/>
      <c r="R87" s="1437"/>
      <c r="S87" s="1437"/>
      <c r="T87" s="1437"/>
      <c r="U87" s="1437"/>
      <c r="V87" s="1437"/>
      <c r="W87" s="1437"/>
      <c r="X87" s="1437"/>
      <c r="Y87" s="1437"/>
      <c r="Z87" s="1437"/>
      <c r="AA87" s="1437"/>
      <c r="AB87" s="1437"/>
      <c r="AC87" s="1437"/>
      <c r="AD87" s="1437"/>
      <c r="AE87" s="51"/>
      <c r="AF87" s="51"/>
      <c r="AG87" s="51"/>
      <c r="AH87" s="1437"/>
      <c r="AI87" s="1437"/>
      <c r="AJ87" s="51"/>
      <c r="AK87" s="51"/>
      <c r="AL87" s="51"/>
      <c r="AM87" s="1437"/>
      <c r="AN87" s="1437"/>
      <c r="AO87" s="51"/>
      <c r="AP87" s="281"/>
      <c r="AQ87" s="1437"/>
      <c r="AR87" s="51"/>
      <c r="AS87" s="1437"/>
      <c r="AT87" s="51"/>
      <c r="AU87" s="1437"/>
      <c r="AV87" s="51"/>
      <c r="AW87" s="1437"/>
      <c r="AX87" s="51"/>
      <c r="AY87" s="1437"/>
      <c r="BA87" s="1437"/>
    </row>
  </sheetData>
  <mergeCells count="37">
    <mergeCell ref="AQ1:AZ1"/>
    <mergeCell ref="AS6:AV6"/>
    <mergeCell ref="AM10:AN10"/>
    <mergeCell ref="AQ8:BC9"/>
    <mergeCell ref="AU10:AW10"/>
    <mergeCell ref="AQ10:AT10"/>
    <mergeCell ref="AK8:AO9"/>
    <mergeCell ref="AK10:AL10"/>
    <mergeCell ref="AF8:AJ9"/>
    <mergeCell ref="AF10:AG10"/>
    <mergeCell ref="AH10:AI10"/>
    <mergeCell ref="AY10:BC10"/>
    <mergeCell ref="BD8:BE9"/>
    <mergeCell ref="A1:J1"/>
    <mergeCell ref="L8:P9"/>
    <mergeCell ref="AC10:AD10"/>
    <mergeCell ref="AA8:AE9"/>
    <mergeCell ref="G10:H10"/>
    <mergeCell ref="I10:J10"/>
    <mergeCell ref="G8:K9"/>
    <mergeCell ref="V8:Z9"/>
    <mergeCell ref="V10:W10"/>
    <mergeCell ref="C6:F6"/>
    <mergeCell ref="A4:J4"/>
    <mergeCell ref="Q10:R10"/>
    <mergeCell ref="S10:T10"/>
    <mergeCell ref="Q8:U9"/>
    <mergeCell ref="V1:AE1"/>
    <mergeCell ref="X6:AA6"/>
    <mergeCell ref="A81:F81"/>
    <mergeCell ref="A70:F70"/>
    <mergeCell ref="D59:F59"/>
    <mergeCell ref="AA10:AB10"/>
    <mergeCell ref="X10:Y10"/>
    <mergeCell ref="C62:F62"/>
    <mergeCell ref="L10:M10"/>
    <mergeCell ref="N10:O10"/>
  </mergeCells>
  <conditionalFormatting sqref="G87">
    <cfRule type="cellIs" dxfId="186" priority="75" operator="notEqual">
      <formula>"OK"</formula>
    </cfRule>
  </conditionalFormatting>
  <conditionalFormatting sqref="K87">
    <cfRule type="cellIs" dxfId="185" priority="71" operator="notEqual">
      <formula>"OK"</formula>
    </cfRule>
  </conditionalFormatting>
  <conditionalFormatting sqref="U87">
    <cfRule type="cellIs" dxfId="184" priority="65" operator="notEqual">
      <formula>"OK"</formula>
    </cfRule>
  </conditionalFormatting>
  <conditionalFormatting sqref="L87">
    <cfRule type="cellIs" dxfId="183" priority="70" operator="notEqual">
      <formula>"OK"</formula>
    </cfRule>
  </conditionalFormatting>
  <conditionalFormatting sqref="M87">
    <cfRule type="cellIs" dxfId="182" priority="69" operator="notEqual">
      <formula>"OK"</formula>
    </cfRule>
  </conditionalFormatting>
  <conditionalFormatting sqref="N87">
    <cfRule type="cellIs" dxfId="181" priority="68" operator="notEqual">
      <formula>"OK"</formula>
    </cfRule>
  </conditionalFormatting>
  <conditionalFormatting sqref="O87">
    <cfRule type="cellIs" dxfId="180" priority="67" operator="notEqual">
      <formula>"OK"</formula>
    </cfRule>
  </conditionalFormatting>
  <conditionalFormatting sqref="P87">
    <cfRule type="cellIs" dxfId="179" priority="66" operator="notEqual">
      <formula>"OK"</formula>
    </cfRule>
  </conditionalFormatting>
  <conditionalFormatting sqref="Z87">
    <cfRule type="cellIs" dxfId="178" priority="64" operator="notEqual">
      <formula>"OK"</formula>
    </cfRule>
  </conditionalFormatting>
  <conditionalFormatting sqref="AM87">
    <cfRule type="cellIs" dxfId="177" priority="61" operator="notEqual">
      <formula>"OK"</formula>
    </cfRule>
  </conditionalFormatting>
  <conditionalFormatting sqref="AA87">
    <cfRule type="cellIs" dxfId="176" priority="14" operator="notEqual">
      <formula>"OK"</formula>
    </cfRule>
  </conditionalFormatting>
  <conditionalFormatting sqref="S87">
    <cfRule type="cellIs" dxfId="175" priority="20" operator="notEqual">
      <formula>"OK"</formula>
    </cfRule>
  </conditionalFormatting>
  <conditionalFormatting sqref="H87:J87">
    <cfRule type="cellIs" dxfId="174" priority="42" operator="notEqual">
      <formula>"OK"</formula>
    </cfRule>
  </conditionalFormatting>
  <conditionalFormatting sqref="AQ87">
    <cfRule type="cellIs" dxfId="173" priority="7" operator="notEqual">
      <formula>"OK"</formula>
    </cfRule>
  </conditionalFormatting>
  <conditionalFormatting sqref="AS87">
    <cfRule type="cellIs" dxfId="172" priority="6" operator="notEqual">
      <formula>"OK"</formula>
    </cfRule>
  </conditionalFormatting>
  <conditionalFormatting sqref="AB87">
    <cfRule type="cellIs" dxfId="171" priority="13" operator="notEqual">
      <formula>"OK"</formula>
    </cfRule>
  </conditionalFormatting>
  <conditionalFormatting sqref="Q87">
    <cfRule type="cellIs" dxfId="170" priority="22" operator="notEqual">
      <formula>"OK"</formula>
    </cfRule>
  </conditionalFormatting>
  <conditionalFormatting sqref="R87">
    <cfRule type="cellIs" dxfId="169" priority="21" operator="notEqual">
      <formula>"OK"</formula>
    </cfRule>
  </conditionalFormatting>
  <conditionalFormatting sqref="T87">
    <cfRule type="cellIs" dxfId="168" priority="19" operator="notEqual">
      <formula>"OK"</formula>
    </cfRule>
  </conditionalFormatting>
  <conditionalFormatting sqref="V87">
    <cfRule type="cellIs" dxfId="167" priority="18" operator="notEqual">
      <formula>"OK"</formula>
    </cfRule>
  </conditionalFormatting>
  <conditionalFormatting sqref="W87">
    <cfRule type="cellIs" dxfId="166" priority="17" operator="notEqual">
      <formula>"OK"</formula>
    </cfRule>
  </conditionalFormatting>
  <conditionalFormatting sqref="X87">
    <cfRule type="cellIs" dxfId="165" priority="16" operator="notEqual">
      <formula>"OK"</formula>
    </cfRule>
  </conditionalFormatting>
  <conditionalFormatting sqref="Y87">
    <cfRule type="cellIs" dxfId="164" priority="15" operator="notEqual">
      <formula>"OK"</formula>
    </cfRule>
  </conditionalFormatting>
  <conditionalFormatting sqref="AC87">
    <cfRule type="cellIs" dxfId="163" priority="12" operator="notEqual">
      <formula>"OK"</formula>
    </cfRule>
  </conditionalFormatting>
  <conditionalFormatting sqref="AD87">
    <cfRule type="cellIs" dxfId="162" priority="11" operator="notEqual">
      <formula>"OK"</formula>
    </cfRule>
  </conditionalFormatting>
  <conditionalFormatting sqref="AH87">
    <cfRule type="cellIs" dxfId="161" priority="10" operator="notEqual">
      <formula>"OK"</formula>
    </cfRule>
  </conditionalFormatting>
  <conditionalFormatting sqref="AI87">
    <cfRule type="cellIs" dxfId="160" priority="9" operator="notEqual">
      <formula>"OK"</formula>
    </cfRule>
  </conditionalFormatting>
  <conditionalFormatting sqref="AN87">
    <cfRule type="cellIs" dxfId="159" priority="8" operator="notEqual">
      <formula>"OK"</formula>
    </cfRule>
  </conditionalFormatting>
  <conditionalFormatting sqref="AU87">
    <cfRule type="cellIs" dxfId="158" priority="5" operator="notEqual">
      <formula>"OK"</formula>
    </cfRule>
  </conditionalFormatting>
  <conditionalFormatting sqref="AW87">
    <cfRule type="cellIs" dxfId="157" priority="4" operator="notEqual">
      <formula>"OK"</formula>
    </cfRule>
  </conditionalFormatting>
  <conditionalFormatting sqref="BA87">
    <cfRule type="cellIs" dxfId="156" priority="1" operator="notEqual">
      <formula>"OK"</formula>
    </cfRule>
  </conditionalFormatting>
  <conditionalFormatting sqref="AY87">
    <cfRule type="cellIs" dxfId="155" priority="2" operator="notEqual">
      <formula>"OK"</formula>
    </cfRule>
  </conditionalFormatting>
  <pageMargins left="0.7" right="0.7" top="0.75" bottom="0.75" header="0.3" footer="0.3"/>
  <pageSetup paperSize="8" scale="44" orientation="landscape" r:id="rId1"/>
  <colBreaks count="2" manualBreakCount="2">
    <brk id="21" max="1048575" man="1"/>
    <brk id="42" max="1048575" man="1"/>
  </colBreaks>
  <ignoredErrors>
    <ignoredError sqref="G32:H32 Y32:AG32 T32:W32 J32:R32 AJ32:BE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5">
    <pageSetUpPr fitToPage="1"/>
  </sheetPr>
  <dimension ref="A1:BA116"/>
  <sheetViews>
    <sheetView showGridLines="0" view="pageBreakPreview" zoomScale="50" zoomScaleNormal="80" zoomScaleSheetLayoutView="50" workbookViewId="0">
      <pane xSplit="7" ySplit="1" topLeftCell="H2" activePane="bottomRight" state="frozen"/>
      <selection activeCell="AT47" activeCellId="1" sqref="AT46 AT47"/>
      <selection pane="topRight" activeCell="AT47" activeCellId="1" sqref="AT46 AT47"/>
      <selection pane="bottomLeft" activeCell="AT47" activeCellId="1" sqref="AT46 AT47"/>
      <selection pane="bottomRight" activeCell="C3" sqref="C3"/>
    </sheetView>
  </sheetViews>
  <sheetFormatPr defaultColWidth="8.88671875" defaultRowHeight="13.2"/>
  <cols>
    <col min="1" max="1" width="2.88671875" style="300" customWidth="1"/>
    <col min="2" max="2" width="7.109375" style="300" customWidth="1"/>
    <col min="3" max="3" width="65.5546875" style="300" customWidth="1"/>
    <col min="4" max="4" width="62.6640625" style="301" customWidth="1"/>
    <col min="5" max="5" width="22.44140625" style="301" hidden="1" customWidth="1"/>
    <col min="6" max="6" width="22.44140625" style="301" customWidth="1"/>
    <col min="7" max="8" width="15.6640625" style="301" customWidth="1"/>
    <col min="9" max="9" width="18.33203125" style="300" customWidth="1"/>
    <col min="10" max="11" width="20.6640625" style="300" customWidth="1"/>
    <col min="12" max="12" width="2" style="300" customWidth="1"/>
    <col min="13" max="16" width="20.6640625" style="300" customWidth="1"/>
    <col min="17" max="17" width="2" style="300" customWidth="1"/>
    <col min="18" max="21" width="20.6640625" style="300" customWidth="1"/>
    <col min="22" max="22" width="2" style="300" customWidth="1"/>
    <col min="23" max="24" width="20.6640625" style="300" customWidth="1"/>
    <col min="25" max="25" width="2" style="300" customWidth="1"/>
    <col min="26" max="26" width="20.6640625" style="300" customWidth="1"/>
    <col min="27" max="35" width="20.6640625" style="300" hidden="1" customWidth="1"/>
    <col min="36" max="36" width="22.109375" style="300" hidden="1" customWidth="1"/>
    <col min="37" max="37" width="20.6640625" style="300" customWidth="1"/>
    <col min="38" max="38" width="2" style="300" customWidth="1"/>
    <col min="39" max="42" width="20.6640625" style="300" customWidth="1"/>
    <col min="43" max="43" width="2.33203125" style="300" customWidth="1"/>
    <col min="44" max="44" width="20.6640625" style="300" customWidth="1"/>
    <col min="45" max="45" width="20.6640625" style="300" hidden="1" customWidth="1"/>
    <col min="46" max="47" width="20.6640625" style="300" customWidth="1"/>
    <col min="48" max="48" width="16.5546875" style="300" customWidth="1"/>
    <col min="49" max="49" width="8.109375" style="300" customWidth="1"/>
    <col min="50" max="53" width="10.6640625" style="300" customWidth="1"/>
    <col min="54" max="54" width="10.109375" style="300" customWidth="1"/>
    <col min="55" max="16384" width="8.88671875" style="300"/>
  </cols>
  <sheetData>
    <row r="1" spans="1:53" s="295" customFormat="1" ht="24.75" customHeight="1" thickBot="1">
      <c r="A1" s="1673" t="str">
        <f>"TABEL 4: "&amp;TITELBLAD!C7&amp;" - ELEKTRICITEIT - Tarieflijst distributienettarieven "&amp;TITELBLAD!C5&amp;" - Afname"</f>
        <v>TABEL 4: Inter-energa - ELEKTRICITEIT - Tarieflijst distributienettarieven 2017 - Afname</v>
      </c>
      <c r="B1" s="1674"/>
      <c r="C1" s="1674"/>
      <c r="D1" s="1674"/>
      <c r="E1" s="1674"/>
      <c r="F1" s="1674"/>
      <c r="G1" s="1674"/>
      <c r="H1" s="1674"/>
      <c r="I1" s="1674"/>
      <c r="J1" s="1675"/>
      <c r="K1" s="293"/>
      <c r="L1" s="294"/>
      <c r="M1" s="294"/>
      <c r="N1" s="294"/>
      <c r="O1" s="294"/>
      <c r="P1" s="294"/>
      <c r="Q1" s="294"/>
      <c r="R1" s="294"/>
      <c r="S1" s="294"/>
      <c r="T1" s="294"/>
    </row>
    <row r="2" spans="1:53" s="298" customFormat="1" ht="13.5" customHeight="1">
      <c r="A2" s="296"/>
      <c r="B2" s="296"/>
      <c r="C2" s="296"/>
      <c r="D2" s="297"/>
      <c r="E2" s="297"/>
      <c r="F2" s="297"/>
      <c r="G2" s="296"/>
      <c r="H2" s="296"/>
    </row>
    <row r="3" spans="1:53" ht="13.8" thickBot="1">
      <c r="A3" s="302"/>
    </row>
    <row r="4" spans="1:53" s="299" customFormat="1">
      <c r="A4" s="1206"/>
      <c r="B4" s="1207"/>
      <c r="C4" s="1207"/>
      <c r="D4" s="1208"/>
      <c r="E4" s="1208"/>
      <c r="F4" s="1208"/>
      <c r="G4" s="1209"/>
      <c r="H4" s="308"/>
      <c r="J4" s="1656" t="s">
        <v>72</v>
      </c>
      <c r="K4" s="1658"/>
      <c r="M4" s="1656" t="s">
        <v>286</v>
      </c>
      <c r="N4" s="1657"/>
      <c r="O4" s="1657"/>
      <c r="P4" s="1658"/>
      <c r="R4" s="1656" t="s">
        <v>73</v>
      </c>
      <c r="S4" s="1657"/>
      <c r="T4" s="1657"/>
      <c r="U4" s="1658"/>
      <c r="W4" s="1656" t="s">
        <v>467</v>
      </c>
      <c r="X4" s="1658"/>
      <c r="Z4" s="1665" t="s">
        <v>103</v>
      </c>
      <c r="AA4" s="1666"/>
      <c r="AB4" s="1666"/>
      <c r="AC4" s="1666"/>
      <c r="AD4" s="1666"/>
      <c r="AE4" s="1666"/>
      <c r="AF4" s="1666"/>
      <c r="AG4" s="1666"/>
      <c r="AH4" s="1666"/>
      <c r="AI4" s="1666"/>
      <c r="AJ4" s="1666"/>
      <c r="AK4" s="1667"/>
      <c r="AM4" s="1650" t="s">
        <v>291</v>
      </c>
      <c r="AN4" s="1651"/>
      <c r="AO4" s="1651"/>
      <c r="AP4" s="1652"/>
      <c r="AQ4" s="1210"/>
      <c r="AR4" s="1656" t="s">
        <v>468</v>
      </c>
      <c r="AS4" s="1657"/>
      <c r="AT4" s="1657"/>
      <c r="AU4" s="1658"/>
      <c r="AV4" s="1211"/>
      <c r="AW4" s="1212"/>
      <c r="AX4" s="1212"/>
      <c r="AY4" s="1212"/>
      <c r="AZ4" s="1212"/>
      <c r="BA4" s="1212"/>
    </row>
    <row r="5" spans="1:53" s="299" customFormat="1" ht="13.5" customHeight="1" thickBot="1">
      <c r="A5" s="303"/>
      <c r="B5" s="304"/>
      <c r="C5" s="304"/>
      <c r="D5" s="305"/>
      <c r="E5" s="305"/>
      <c r="F5" s="305"/>
      <c r="G5" s="1201"/>
      <c r="H5" s="308"/>
      <c r="J5" s="1659"/>
      <c r="K5" s="1661"/>
      <c r="M5" s="1659"/>
      <c r="N5" s="1660"/>
      <c r="O5" s="1660"/>
      <c r="P5" s="1661"/>
      <c r="R5" s="1659"/>
      <c r="S5" s="1660"/>
      <c r="T5" s="1660"/>
      <c r="U5" s="1661"/>
      <c r="W5" s="1659"/>
      <c r="X5" s="1661"/>
      <c r="Z5" s="1668"/>
      <c r="AA5" s="1669"/>
      <c r="AB5" s="1669"/>
      <c r="AC5" s="1669"/>
      <c r="AD5" s="1669"/>
      <c r="AE5" s="1669"/>
      <c r="AF5" s="1669"/>
      <c r="AG5" s="1669"/>
      <c r="AH5" s="1669"/>
      <c r="AI5" s="1669"/>
      <c r="AJ5" s="1669"/>
      <c r="AK5" s="1670"/>
      <c r="AM5" s="1653"/>
      <c r="AN5" s="1654"/>
      <c r="AO5" s="1654"/>
      <c r="AP5" s="1655"/>
      <c r="AQ5" s="1213"/>
      <c r="AR5" s="1659"/>
      <c r="AS5" s="1660"/>
      <c r="AT5" s="1660"/>
      <c r="AU5" s="1661"/>
      <c r="AV5" s="1211"/>
      <c r="AW5" s="1214"/>
      <c r="AX5" s="1214"/>
      <c r="AY5" s="1214"/>
      <c r="AZ5" s="1214"/>
      <c r="BA5" s="1214"/>
    </row>
    <row r="6" spans="1:53" s="299" customFormat="1" ht="35.1" customHeight="1" thickBot="1">
      <c r="A6" s="303"/>
      <c r="B6" s="304"/>
      <c r="C6" s="304"/>
      <c r="D6" s="305"/>
      <c r="E6" s="306" t="s">
        <v>329</v>
      </c>
      <c r="F6" s="306" t="s">
        <v>128</v>
      </c>
      <c r="G6" s="307" t="s">
        <v>444</v>
      </c>
      <c r="H6" s="308"/>
      <c r="I6" s="309" t="s">
        <v>104</v>
      </c>
      <c r="J6" s="310" t="s">
        <v>105</v>
      </c>
      <c r="K6" s="311" t="s">
        <v>106</v>
      </c>
      <c r="L6" s="312"/>
      <c r="M6" s="313" t="s">
        <v>107</v>
      </c>
      <c r="N6" s="314" t="s">
        <v>108</v>
      </c>
      <c r="O6" s="315" t="s">
        <v>107</v>
      </c>
      <c r="P6" s="316" t="s">
        <v>108</v>
      </c>
      <c r="Q6" s="312"/>
      <c r="R6" s="313" t="s">
        <v>107</v>
      </c>
      <c r="S6" s="314" t="s">
        <v>108</v>
      </c>
      <c r="T6" s="315" t="s">
        <v>109</v>
      </c>
      <c r="U6" s="316" t="s">
        <v>110</v>
      </c>
      <c r="V6" s="312"/>
      <c r="W6" s="317" t="s">
        <v>445</v>
      </c>
      <c r="X6" s="311" t="s">
        <v>111</v>
      </c>
      <c r="Z6" s="318" t="s">
        <v>445</v>
      </c>
      <c r="AA6" s="1662" t="s">
        <v>111</v>
      </c>
      <c r="AB6" s="1663"/>
      <c r="AC6" s="1663"/>
      <c r="AD6" s="1663"/>
      <c r="AE6" s="1663"/>
      <c r="AF6" s="1663"/>
      <c r="AG6" s="1663"/>
      <c r="AH6" s="1663"/>
      <c r="AI6" s="1663"/>
      <c r="AJ6" s="1663"/>
      <c r="AK6" s="1664"/>
      <c r="AL6" s="312"/>
      <c r="AM6" s="1671" t="s">
        <v>170</v>
      </c>
      <c r="AN6" s="1672"/>
      <c r="AO6" s="1671" t="s">
        <v>111</v>
      </c>
      <c r="AP6" s="1672"/>
      <c r="AQ6" s="319"/>
      <c r="AR6" s="318" t="s">
        <v>72</v>
      </c>
      <c r="AS6" s="957" t="s">
        <v>285</v>
      </c>
      <c r="AT6" s="935" t="s">
        <v>73</v>
      </c>
      <c r="AU6" s="311" t="s">
        <v>103</v>
      </c>
      <c r="AV6" s="320"/>
      <c r="AW6" s="320"/>
      <c r="AX6" s="320"/>
      <c r="AY6" s="320"/>
      <c r="AZ6" s="320"/>
      <c r="BA6" s="320"/>
    </row>
    <row r="7" spans="1:53" s="299" customFormat="1" ht="20.25" customHeight="1" thickBot="1">
      <c r="A7" s="303"/>
      <c r="B7" s="304"/>
      <c r="C7" s="304"/>
      <c r="D7" s="305"/>
      <c r="E7" s="305"/>
      <c r="F7" s="305"/>
      <c r="G7" s="1215"/>
      <c r="H7" s="308"/>
      <c r="I7" s="309"/>
      <c r="J7" s="321"/>
      <c r="K7" s="322"/>
      <c r="L7" s="1202"/>
      <c r="M7" s="1410" t="s">
        <v>462</v>
      </c>
      <c r="N7" s="1410" t="s">
        <v>462</v>
      </c>
      <c r="O7" s="1410" t="s">
        <v>463</v>
      </c>
      <c r="P7" s="1007" t="s">
        <v>463</v>
      </c>
      <c r="Q7" s="1202"/>
      <c r="R7" s="321"/>
      <c r="S7" s="321"/>
      <c r="T7" s="321"/>
      <c r="U7" s="322"/>
      <c r="V7" s="1202"/>
      <c r="W7" s="321"/>
      <c r="X7" s="322"/>
      <c r="Y7" s="1203"/>
      <c r="Z7" s="321"/>
      <c r="AA7" s="323"/>
      <c r="AB7" s="324"/>
      <c r="AC7" s="324"/>
      <c r="AD7" s="324"/>
      <c r="AE7" s="324"/>
      <c r="AF7" s="324"/>
      <c r="AG7" s="324"/>
      <c r="AH7" s="324"/>
      <c r="AI7" s="324"/>
      <c r="AJ7" s="324"/>
      <c r="AK7" s="934"/>
      <c r="AL7" s="1202"/>
      <c r="AM7" s="1410" t="s">
        <v>446</v>
      </c>
      <c r="AN7" s="1411" t="s">
        <v>103</v>
      </c>
      <c r="AO7" s="1410" t="s">
        <v>446</v>
      </c>
      <c r="AP7" s="1007" t="s">
        <v>103</v>
      </c>
      <c r="AR7" s="321"/>
      <c r="AS7" s="958"/>
      <c r="AT7" s="941"/>
      <c r="AU7" s="1001"/>
    </row>
    <row r="8" spans="1:53" s="299" customFormat="1" ht="24.75" customHeight="1" thickBot="1">
      <c r="A8" s="1216"/>
      <c r="B8" s="1204"/>
      <c r="C8" s="1204"/>
      <c r="D8" s="1217"/>
      <c r="E8" s="1205"/>
      <c r="F8" s="1205"/>
      <c r="G8" s="1205"/>
      <c r="H8" s="308"/>
      <c r="I8" s="309"/>
      <c r="J8" s="321"/>
      <c r="K8" s="322"/>
      <c r="L8" s="1202"/>
      <c r="M8" s="321"/>
      <c r="N8" s="321"/>
      <c r="O8" s="321"/>
      <c r="P8" s="322"/>
      <c r="Q8" s="1202"/>
      <c r="R8" s="321"/>
      <c r="S8" s="321"/>
      <c r="T8" s="321"/>
      <c r="U8" s="322"/>
      <c r="V8" s="1202"/>
      <c r="W8" s="321"/>
      <c r="X8" s="322"/>
      <c r="Y8" s="1203"/>
      <c r="Z8" s="321"/>
      <c r="AA8" s="323"/>
      <c r="AB8" s="324"/>
      <c r="AC8" s="324"/>
      <c r="AD8" s="324"/>
      <c r="AE8" s="324"/>
      <c r="AF8" s="324"/>
      <c r="AG8" s="324"/>
      <c r="AH8" s="324"/>
      <c r="AI8" s="324"/>
      <c r="AJ8" s="324"/>
      <c r="AK8" s="934"/>
      <c r="AL8" s="1202"/>
      <c r="AM8" s="321"/>
      <c r="AN8" s="1001"/>
      <c r="AO8" s="321"/>
      <c r="AP8" s="322"/>
      <c r="AR8" s="321"/>
      <c r="AS8" s="958"/>
      <c r="AT8" s="941"/>
      <c r="AU8" s="1001"/>
    </row>
    <row r="9" spans="1:53" s="340" customFormat="1" ht="16.5" customHeight="1">
      <c r="A9" s="325" t="s">
        <v>117</v>
      </c>
      <c r="B9" s="326"/>
      <c r="C9" s="326"/>
      <c r="D9" s="327"/>
      <c r="E9" s="328"/>
      <c r="F9" s="328"/>
      <c r="G9" s="329"/>
      <c r="H9" s="330"/>
      <c r="I9" s="331"/>
      <c r="J9" s="332"/>
      <c r="K9" s="333"/>
      <c r="L9" s="331"/>
      <c r="M9" s="332"/>
      <c r="N9" s="334"/>
      <c r="O9" s="335"/>
      <c r="P9" s="333"/>
      <c r="Q9" s="331"/>
      <c r="R9" s="332"/>
      <c r="S9" s="334"/>
      <c r="T9" s="335"/>
      <c r="U9" s="333"/>
      <c r="V9" s="331"/>
      <c r="W9" s="332"/>
      <c r="X9" s="333"/>
      <c r="Y9" s="331"/>
      <c r="Z9" s="336"/>
      <c r="AA9" s="337"/>
      <c r="AB9" s="338"/>
      <c r="AC9" s="338"/>
      <c r="AD9" s="338"/>
      <c r="AE9" s="338"/>
      <c r="AF9" s="338"/>
      <c r="AG9" s="338"/>
      <c r="AH9" s="338"/>
      <c r="AI9" s="338"/>
      <c r="AJ9" s="338"/>
      <c r="AK9" s="339"/>
      <c r="AL9" s="331"/>
      <c r="AM9" s="942"/>
      <c r="AN9" s="1002"/>
      <c r="AO9" s="936"/>
      <c r="AP9" s="333"/>
      <c r="AR9" s="942"/>
      <c r="AS9" s="959"/>
      <c r="AT9" s="936"/>
      <c r="AU9" s="1002"/>
    </row>
    <row r="10" spans="1:53" s="340" customFormat="1" ht="16.5" customHeight="1">
      <c r="A10" s="341"/>
      <c r="B10" s="342" t="s">
        <v>118</v>
      </c>
      <c r="C10" s="343"/>
      <c r="D10" s="344"/>
      <c r="E10" s="1265"/>
      <c r="F10" s="345"/>
      <c r="G10" s="1274"/>
      <c r="H10" s="330"/>
      <c r="I10" s="331"/>
      <c r="J10" s="346"/>
      <c r="K10" s="333"/>
      <c r="L10" s="331"/>
      <c r="M10" s="347"/>
      <c r="N10" s="334"/>
      <c r="O10" s="335"/>
      <c r="P10" s="333"/>
      <c r="Q10" s="331"/>
      <c r="R10" s="347"/>
      <c r="S10" s="334"/>
      <c r="T10" s="335"/>
      <c r="U10" s="333"/>
      <c r="V10" s="331"/>
      <c r="W10" s="347"/>
      <c r="X10" s="333"/>
      <c r="Y10" s="331"/>
      <c r="Z10" s="336"/>
      <c r="AA10" s="337"/>
      <c r="AB10" s="338"/>
      <c r="AC10" s="338"/>
      <c r="AD10" s="338"/>
      <c r="AE10" s="338"/>
      <c r="AF10" s="338"/>
      <c r="AG10" s="338"/>
      <c r="AH10" s="338"/>
      <c r="AI10" s="338"/>
      <c r="AJ10" s="338"/>
      <c r="AK10" s="339"/>
      <c r="AL10" s="331"/>
      <c r="AM10" s="336"/>
      <c r="AN10" s="333"/>
      <c r="AO10" s="937"/>
      <c r="AP10" s="333"/>
      <c r="AR10" s="336"/>
      <c r="AS10" s="334"/>
      <c r="AT10" s="937"/>
      <c r="AU10" s="333"/>
    </row>
    <row r="11" spans="1:53" s="340" customFormat="1" ht="16.5" customHeight="1">
      <c r="A11" s="341"/>
      <c r="B11" s="342"/>
      <c r="C11" s="343"/>
      <c r="D11" s="344"/>
      <c r="E11" s="1265"/>
      <c r="F11" s="1277"/>
      <c r="G11" s="1274"/>
      <c r="H11" s="330"/>
      <c r="I11" s="331"/>
      <c r="J11" s="1507"/>
      <c r="K11" s="1508"/>
      <c r="L11" s="399"/>
      <c r="M11" s="1507"/>
      <c r="N11" s="1509"/>
      <c r="O11" s="1509"/>
      <c r="P11" s="1508"/>
      <c r="Q11" s="399"/>
      <c r="R11" s="1507"/>
      <c r="S11" s="1509"/>
      <c r="T11" s="1509"/>
      <c r="U11" s="1508"/>
      <c r="V11" s="399"/>
      <c r="W11" s="1507"/>
      <c r="X11" s="1508"/>
      <c r="Y11" s="399"/>
      <c r="Z11" s="1507"/>
      <c r="AA11" s="1510"/>
      <c r="AB11" s="1511"/>
      <c r="AC11" s="1511"/>
      <c r="AD11" s="1511"/>
      <c r="AE11" s="1511"/>
      <c r="AF11" s="1511"/>
      <c r="AG11" s="1511"/>
      <c r="AH11" s="1511"/>
      <c r="AI11" s="1511"/>
      <c r="AJ11" s="1511"/>
      <c r="AK11" s="1512"/>
      <c r="AL11" s="399"/>
      <c r="AM11" s="1507"/>
      <c r="AN11" s="1508"/>
      <c r="AO11" s="1513"/>
      <c r="AP11" s="1508"/>
      <c r="AQ11" s="400"/>
      <c r="AR11" s="1507"/>
      <c r="AS11" s="1509"/>
      <c r="AT11" s="1513"/>
      <c r="AU11" s="1508"/>
    </row>
    <row r="12" spans="1:53" s="340" customFormat="1" ht="16.5" customHeight="1">
      <c r="A12" s="341"/>
      <c r="B12" s="342"/>
      <c r="C12" s="343"/>
      <c r="D12" s="344"/>
      <c r="E12" s="1265"/>
      <c r="F12" s="1277"/>
      <c r="G12" s="1274"/>
      <c r="H12" s="330"/>
      <c r="I12" s="331"/>
      <c r="J12" s="1507"/>
      <c r="K12" s="1508"/>
      <c r="L12" s="399"/>
      <c r="M12" s="1507"/>
      <c r="N12" s="1509"/>
      <c r="O12" s="1509"/>
      <c r="P12" s="1508"/>
      <c r="Q12" s="399"/>
      <c r="R12" s="1507"/>
      <c r="S12" s="1509"/>
      <c r="T12" s="1509"/>
      <c r="U12" s="1508"/>
      <c r="V12" s="399"/>
      <c r="W12" s="1507"/>
      <c r="X12" s="1508"/>
      <c r="Y12" s="399"/>
      <c r="Z12" s="1507"/>
      <c r="AA12" s="1510"/>
      <c r="AB12" s="1511"/>
      <c r="AC12" s="1511"/>
      <c r="AD12" s="1511"/>
      <c r="AE12" s="1511"/>
      <c r="AF12" s="1511"/>
      <c r="AG12" s="1511"/>
      <c r="AH12" s="1511"/>
      <c r="AI12" s="1511"/>
      <c r="AJ12" s="1511"/>
      <c r="AK12" s="1512"/>
      <c r="AL12" s="399"/>
      <c r="AM12" s="1507"/>
      <c r="AN12" s="1508"/>
      <c r="AO12" s="1513"/>
      <c r="AP12" s="1508"/>
      <c r="AQ12" s="400"/>
      <c r="AR12" s="1507"/>
      <c r="AS12" s="1509"/>
      <c r="AT12" s="1513"/>
      <c r="AU12" s="1508"/>
    </row>
    <row r="13" spans="1:53" s="340" customFormat="1" ht="16.5" customHeight="1">
      <c r="A13" s="341"/>
      <c r="B13" s="342" t="s">
        <v>120</v>
      </c>
      <c r="C13" s="343"/>
      <c r="D13" s="348" t="s">
        <v>123</v>
      </c>
      <c r="E13" s="1265"/>
      <c r="F13" s="345"/>
      <c r="G13" s="1274"/>
      <c r="H13" s="330"/>
      <c r="I13" s="331"/>
      <c r="J13" s="1040"/>
      <c r="K13" s="1041"/>
      <c r="L13" s="399"/>
      <c r="M13" s="1040"/>
      <c r="N13" s="1042"/>
      <c r="O13" s="1043"/>
      <c r="P13" s="1041"/>
      <c r="Q13" s="399"/>
      <c r="R13" s="1040"/>
      <c r="S13" s="1042"/>
      <c r="T13" s="1043"/>
      <c r="U13" s="1041"/>
      <c r="V13" s="399"/>
      <c r="W13" s="1040"/>
      <c r="X13" s="1041"/>
      <c r="Y13" s="399"/>
      <c r="Z13" s="1044"/>
      <c r="AA13" s="1045"/>
      <c r="AB13" s="1046"/>
      <c r="AC13" s="1046"/>
      <c r="AD13" s="1046"/>
      <c r="AE13" s="1046"/>
      <c r="AF13" s="1046"/>
      <c r="AG13" s="1046"/>
      <c r="AH13" s="1046"/>
      <c r="AI13" s="1046"/>
      <c r="AJ13" s="1046"/>
      <c r="AK13" s="1047"/>
      <c r="AL13" s="399"/>
      <c r="AM13" s="1044"/>
      <c r="AN13" s="1041"/>
      <c r="AO13" s="1048"/>
      <c r="AP13" s="1041"/>
      <c r="AQ13" s="400"/>
      <c r="AR13" s="1044"/>
      <c r="AS13" s="1042"/>
      <c r="AT13" s="1048"/>
      <c r="AU13" s="1041"/>
    </row>
    <row r="14" spans="1:53" s="340" customFormat="1" ht="16.5" customHeight="1">
      <c r="A14" s="341"/>
      <c r="B14" s="342" t="s">
        <v>119</v>
      </c>
      <c r="C14" s="343"/>
      <c r="D14" s="348" t="s">
        <v>123</v>
      </c>
      <c r="E14" s="1265"/>
      <c r="F14" s="345"/>
      <c r="G14" s="1274"/>
      <c r="H14" s="330"/>
      <c r="I14" s="331"/>
      <c r="J14" s="1040"/>
      <c r="K14" s="1041"/>
      <c r="L14" s="399"/>
      <c r="M14" s="1040"/>
      <c r="N14" s="1042"/>
      <c r="O14" s="1043"/>
      <c r="P14" s="1041"/>
      <c r="Q14" s="399"/>
      <c r="R14" s="1040"/>
      <c r="S14" s="1042"/>
      <c r="T14" s="1043"/>
      <c r="U14" s="1041"/>
      <c r="V14" s="399"/>
      <c r="W14" s="1040"/>
      <c r="X14" s="1041"/>
      <c r="Y14" s="399"/>
      <c r="Z14" s="1044"/>
      <c r="AA14" s="1045"/>
      <c r="AB14" s="1046"/>
      <c r="AC14" s="1046"/>
      <c r="AD14" s="1046"/>
      <c r="AE14" s="1046"/>
      <c r="AF14" s="1046"/>
      <c r="AG14" s="1046"/>
      <c r="AH14" s="1046"/>
      <c r="AI14" s="1046"/>
      <c r="AJ14" s="1046"/>
      <c r="AK14" s="1047"/>
      <c r="AL14" s="399"/>
      <c r="AM14" s="1044"/>
      <c r="AN14" s="1041"/>
      <c r="AO14" s="1048"/>
      <c r="AP14" s="1041"/>
      <c r="AQ14" s="400"/>
      <c r="AR14" s="1044"/>
      <c r="AS14" s="1042"/>
      <c r="AT14" s="1048"/>
      <c r="AU14" s="1041"/>
    </row>
    <row r="15" spans="1:53" s="340" customFormat="1" ht="16.5" customHeight="1">
      <c r="A15" s="341"/>
      <c r="B15" s="342" t="s">
        <v>121</v>
      </c>
      <c r="C15" s="343"/>
      <c r="D15" s="348" t="s">
        <v>123</v>
      </c>
      <c r="E15" s="1265"/>
      <c r="F15" s="345"/>
      <c r="G15" s="1274"/>
      <c r="H15" s="330"/>
      <c r="I15" s="331"/>
      <c r="J15" s="1040"/>
      <c r="K15" s="1041"/>
      <c r="L15" s="399"/>
      <c r="M15" s="1040"/>
      <c r="N15" s="1042"/>
      <c r="O15" s="1043"/>
      <c r="P15" s="1041"/>
      <c r="Q15" s="399"/>
      <c r="R15" s="1040"/>
      <c r="S15" s="1042"/>
      <c r="T15" s="1043"/>
      <c r="U15" s="1041"/>
      <c r="V15" s="399"/>
      <c r="W15" s="1040"/>
      <c r="X15" s="1041"/>
      <c r="Y15" s="399"/>
      <c r="Z15" s="1044"/>
      <c r="AA15" s="1045"/>
      <c r="AB15" s="1046"/>
      <c r="AC15" s="1046"/>
      <c r="AD15" s="1046"/>
      <c r="AE15" s="1046"/>
      <c r="AF15" s="1046"/>
      <c r="AG15" s="1046"/>
      <c r="AH15" s="1046"/>
      <c r="AI15" s="1046"/>
      <c r="AJ15" s="1046"/>
      <c r="AK15" s="1047"/>
      <c r="AL15" s="399"/>
      <c r="AM15" s="1044"/>
      <c r="AN15" s="1041"/>
      <c r="AO15" s="1048"/>
      <c r="AP15" s="1041"/>
      <c r="AQ15" s="400"/>
      <c r="AR15" s="1044"/>
      <c r="AS15" s="1042"/>
      <c r="AT15" s="1048"/>
      <c r="AU15" s="1041"/>
    </row>
    <row r="16" spans="1:53" s="340" customFormat="1" ht="16.5" customHeight="1">
      <c r="A16" s="341"/>
      <c r="B16" s="342" t="s">
        <v>122</v>
      </c>
      <c r="C16" s="343"/>
      <c r="D16" s="348" t="s">
        <v>124</v>
      </c>
      <c r="E16" s="1265"/>
      <c r="F16" s="345"/>
      <c r="G16" s="1274"/>
      <c r="H16" s="330"/>
      <c r="I16" s="331"/>
      <c r="J16" s="1040"/>
      <c r="K16" s="1041"/>
      <c r="L16" s="399"/>
      <c r="M16" s="1040"/>
      <c r="N16" s="1042"/>
      <c r="O16" s="1043"/>
      <c r="P16" s="1041"/>
      <c r="Q16" s="399"/>
      <c r="R16" s="1040"/>
      <c r="S16" s="1042"/>
      <c r="T16" s="1043"/>
      <c r="U16" s="1041"/>
      <c r="V16" s="399"/>
      <c r="W16" s="1040"/>
      <c r="X16" s="1041"/>
      <c r="Y16" s="399"/>
      <c r="Z16" s="1044"/>
      <c r="AA16" s="1045"/>
      <c r="AB16" s="1046"/>
      <c r="AC16" s="1046"/>
      <c r="AD16" s="1046"/>
      <c r="AE16" s="1046"/>
      <c r="AF16" s="1046"/>
      <c r="AG16" s="1046"/>
      <c r="AH16" s="1046"/>
      <c r="AI16" s="1046"/>
      <c r="AJ16" s="1046"/>
      <c r="AK16" s="1047"/>
      <c r="AL16" s="399"/>
      <c r="AM16" s="1044"/>
      <c r="AN16" s="1041"/>
      <c r="AO16" s="1048"/>
      <c r="AP16" s="1041"/>
      <c r="AQ16" s="400"/>
      <c r="AR16" s="1044"/>
      <c r="AS16" s="1042"/>
      <c r="AT16" s="1048"/>
      <c r="AU16" s="1041"/>
    </row>
    <row r="17" spans="1:51" s="340" customFormat="1" ht="16.5" customHeight="1">
      <c r="A17" s="341"/>
      <c r="B17" s="342"/>
      <c r="C17" s="343"/>
      <c r="D17" s="344"/>
      <c r="E17" s="345"/>
      <c r="F17" s="345"/>
      <c r="G17" s="1274"/>
      <c r="H17" s="330"/>
      <c r="I17" s="331"/>
      <c r="J17" s="1040"/>
      <c r="K17" s="1041"/>
      <c r="L17" s="399"/>
      <c r="M17" s="1040"/>
      <c r="N17" s="1042"/>
      <c r="O17" s="1043"/>
      <c r="P17" s="1041"/>
      <c r="Q17" s="399"/>
      <c r="R17" s="1040"/>
      <c r="S17" s="1042"/>
      <c r="T17" s="1043"/>
      <c r="U17" s="1041"/>
      <c r="V17" s="399"/>
      <c r="W17" s="1040"/>
      <c r="X17" s="1041"/>
      <c r="Y17" s="399"/>
      <c r="Z17" s="1044"/>
      <c r="AA17" s="1045"/>
      <c r="AB17" s="1046"/>
      <c r="AC17" s="1046"/>
      <c r="AD17" s="1046"/>
      <c r="AE17" s="1046"/>
      <c r="AF17" s="1046"/>
      <c r="AG17" s="1046"/>
      <c r="AH17" s="1046"/>
      <c r="AI17" s="1046"/>
      <c r="AJ17" s="1046"/>
      <c r="AK17" s="1047"/>
      <c r="AL17" s="399"/>
      <c r="AM17" s="1044"/>
      <c r="AN17" s="1041"/>
      <c r="AO17" s="1048"/>
      <c r="AP17" s="1041"/>
      <c r="AQ17" s="400"/>
      <c r="AR17" s="1044"/>
      <c r="AS17" s="1042"/>
      <c r="AT17" s="1048"/>
      <c r="AU17" s="1041"/>
    </row>
    <row r="18" spans="1:51" s="340" customFormat="1" ht="16.5" customHeight="1">
      <c r="A18" s="341"/>
      <c r="B18" s="342"/>
      <c r="C18" s="343"/>
      <c r="D18" s="344"/>
      <c r="E18" s="345"/>
      <c r="F18" s="345"/>
      <c r="G18" s="1274"/>
      <c r="H18" s="330"/>
      <c r="I18" s="331"/>
      <c r="J18" s="1040"/>
      <c r="K18" s="1041"/>
      <c r="L18" s="399"/>
      <c r="M18" s="1040"/>
      <c r="N18" s="1042"/>
      <c r="O18" s="1043"/>
      <c r="P18" s="1041"/>
      <c r="Q18" s="399"/>
      <c r="R18" s="1040"/>
      <c r="S18" s="1042"/>
      <c r="T18" s="1043"/>
      <c r="U18" s="1041"/>
      <c r="V18" s="399"/>
      <c r="W18" s="1040"/>
      <c r="X18" s="1041"/>
      <c r="Y18" s="399"/>
      <c r="Z18" s="1044"/>
      <c r="AA18" s="1045"/>
      <c r="AB18" s="1046"/>
      <c r="AC18" s="1046"/>
      <c r="AD18" s="1046"/>
      <c r="AE18" s="1046"/>
      <c r="AF18" s="1046"/>
      <c r="AG18" s="1046"/>
      <c r="AH18" s="1046"/>
      <c r="AI18" s="1046"/>
      <c r="AJ18" s="1046"/>
      <c r="AK18" s="1047"/>
      <c r="AL18" s="399"/>
      <c r="AM18" s="1044"/>
      <c r="AN18" s="1041"/>
      <c r="AO18" s="1048"/>
      <c r="AP18" s="1041"/>
      <c r="AQ18" s="400"/>
      <c r="AR18" s="1044"/>
      <c r="AS18" s="1042"/>
      <c r="AT18" s="1048"/>
      <c r="AU18" s="1041"/>
    </row>
    <row r="19" spans="1:51" s="340" customFormat="1" ht="16.5" customHeight="1">
      <c r="A19" s="341" t="s">
        <v>15</v>
      </c>
      <c r="B19" s="343" t="s">
        <v>16</v>
      </c>
      <c r="C19" s="343"/>
      <c r="D19" s="344"/>
      <c r="E19" s="345"/>
      <c r="F19" s="345"/>
      <c r="G19" s="1274"/>
      <c r="H19" s="330"/>
      <c r="I19" s="331"/>
      <c r="J19" s="1040"/>
      <c r="K19" s="1041"/>
      <c r="L19" s="399"/>
      <c r="M19" s="1040"/>
      <c r="N19" s="1042"/>
      <c r="O19" s="1043"/>
      <c r="P19" s="1041"/>
      <c r="Q19" s="399"/>
      <c r="R19" s="1040"/>
      <c r="S19" s="1042"/>
      <c r="T19" s="1043"/>
      <c r="U19" s="1041"/>
      <c r="V19" s="399"/>
      <c r="W19" s="1040"/>
      <c r="X19" s="1041"/>
      <c r="Y19" s="399"/>
      <c r="Z19" s="1044"/>
      <c r="AA19" s="1045"/>
      <c r="AB19" s="1046"/>
      <c r="AC19" s="1046"/>
      <c r="AD19" s="1046"/>
      <c r="AE19" s="1046"/>
      <c r="AF19" s="1046"/>
      <c r="AG19" s="1046"/>
      <c r="AH19" s="1046"/>
      <c r="AI19" s="1046"/>
      <c r="AJ19" s="1046"/>
      <c r="AK19" s="1047"/>
      <c r="AL19" s="399"/>
      <c r="AM19" s="1044"/>
      <c r="AN19" s="1041"/>
      <c r="AO19" s="1048"/>
      <c r="AP19" s="1041"/>
      <c r="AQ19" s="400"/>
      <c r="AR19" s="1044"/>
      <c r="AS19" s="1042"/>
      <c r="AT19" s="1048"/>
      <c r="AU19" s="1041"/>
    </row>
    <row r="20" spans="1:51" s="340" customFormat="1" ht="16.5" customHeight="1">
      <c r="A20" s="341"/>
      <c r="B20" s="343" t="s">
        <v>17</v>
      </c>
      <c r="C20" s="343" t="s">
        <v>18</v>
      </c>
      <c r="D20" s="344"/>
      <c r="E20" s="349"/>
      <c r="F20" s="349"/>
      <c r="G20" s="1275"/>
      <c r="H20" s="330"/>
      <c r="I20" s="331"/>
      <c r="J20" s="1049"/>
      <c r="K20" s="1050"/>
      <c r="L20" s="1051"/>
      <c r="M20" s="1049"/>
      <c r="N20" s="1052"/>
      <c r="O20" s="1053"/>
      <c r="P20" s="1050"/>
      <c r="Q20" s="1051"/>
      <c r="R20" s="1049"/>
      <c r="S20" s="1052"/>
      <c r="T20" s="1053"/>
      <c r="U20" s="1050"/>
      <c r="V20" s="1051"/>
      <c r="W20" s="1049"/>
      <c r="X20" s="1050"/>
      <c r="Y20" s="1051"/>
      <c r="Z20" s="1054"/>
      <c r="AA20" s="1055"/>
      <c r="AB20" s="1056"/>
      <c r="AC20" s="1056"/>
      <c r="AD20" s="1056"/>
      <c r="AE20" s="1056"/>
      <c r="AF20" s="1056"/>
      <c r="AG20" s="1056"/>
      <c r="AH20" s="1056"/>
      <c r="AI20" s="1056"/>
      <c r="AJ20" s="1056"/>
      <c r="AK20" s="1057"/>
      <c r="AL20" s="1051"/>
      <c r="AM20" s="1054"/>
      <c r="AN20" s="1050"/>
      <c r="AO20" s="1058"/>
      <c r="AP20" s="1050"/>
      <c r="AQ20" s="400"/>
      <c r="AR20" s="1054"/>
      <c r="AS20" s="1052"/>
      <c r="AT20" s="1058"/>
      <c r="AU20" s="1050"/>
    </row>
    <row r="21" spans="1:51" s="340" customFormat="1" ht="28.5" customHeight="1">
      <c r="A21" s="351"/>
      <c r="B21" s="1031" t="s">
        <v>19</v>
      </c>
      <c r="C21" s="1031" t="s">
        <v>447</v>
      </c>
      <c r="D21" s="1032"/>
      <c r="E21" s="349"/>
      <c r="F21" s="349"/>
      <c r="G21" s="1275"/>
      <c r="H21" s="330"/>
      <c r="I21" s="331"/>
      <c r="J21" s="1049"/>
      <c r="K21" s="1050"/>
      <c r="L21" s="1051"/>
      <c r="M21" s="1049"/>
      <c r="N21" s="1052"/>
      <c r="O21" s="1053"/>
      <c r="P21" s="1050"/>
      <c r="Q21" s="1051"/>
      <c r="R21" s="1049"/>
      <c r="S21" s="1052"/>
      <c r="T21" s="1053"/>
      <c r="U21" s="1050"/>
      <c r="V21" s="1051"/>
      <c r="W21" s="1049"/>
      <c r="X21" s="1050"/>
      <c r="Y21" s="1051"/>
      <c r="Z21" s="1054"/>
      <c r="AA21" s="1055"/>
      <c r="AB21" s="1056"/>
      <c r="AC21" s="1056"/>
      <c r="AD21" s="1056"/>
      <c r="AE21" s="1056"/>
      <c r="AF21" s="1056"/>
      <c r="AG21" s="1056"/>
      <c r="AH21" s="1056"/>
      <c r="AI21" s="1056"/>
      <c r="AJ21" s="1056"/>
      <c r="AK21" s="1057"/>
      <c r="AL21" s="1051"/>
      <c r="AM21" s="1054"/>
      <c r="AN21" s="1050"/>
      <c r="AO21" s="1058"/>
      <c r="AP21" s="1050"/>
      <c r="AQ21" s="400"/>
      <c r="AR21" s="1054"/>
      <c r="AS21" s="1052"/>
      <c r="AT21" s="1058"/>
      <c r="AU21" s="1050"/>
    </row>
    <row r="22" spans="1:51" s="340" customFormat="1" ht="16.5" customHeight="1">
      <c r="A22" s="351"/>
      <c r="B22" s="353"/>
      <c r="C22" s="1030"/>
      <c r="D22" s="354"/>
      <c r="E22" s="349"/>
      <c r="F22" s="349"/>
      <c r="G22" s="1278"/>
      <c r="H22" s="355"/>
      <c r="I22" s="331"/>
      <c r="J22" s="1049"/>
      <c r="K22" s="1050"/>
      <c r="L22" s="1051"/>
      <c r="M22" s="1049"/>
      <c r="N22" s="1052"/>
      <c r="O22" s="1053"/>
      <c r="P22" s="1050"/>
      <c r="Q22" s="1051"/>
      <c r="R22" s="1049"/>
      <c r="S22" s="1052"/>
      <c r="T22" s="1053"/>
      <c r="U22" s="1050"/>
      <c r="V22" s="1051"/>
      <c r="W22" s="1049"/>
      <c r="X22" s="1050"/>
      <c r="Y22" s="1051"/>
      <c r="Z22" s="1054"/>
      <c r="AA22" s="1055"/>
      <c r="AB22" s="1056"/>
      <c r="AC22" s="1056"/>
      <c r="AD22" s="1056"/>
      <c r="AE22" s="1056"/>
      <c r="AF22" s="1056"/>
      <c r="AG22" s="1056"/>
      <c r="AH22" s="1056"/>
      <c r="AI22" s="1056"/>
      <c r="AJ22" s="1056"/>
      <c r="AK22" s="1057"/>
      <c r="AL22" s="1051"/>
      <c r="AM22" s="1054"/>
      <c r="AN22" s="1050"/>
      <c r="AO22" s="1058"/>
      <c r="AP22" s="1050"/>
      <c r="AQ22" s="400"/>
      <c r="AR22" s="1054"/>
      <c r="AS22" s="1052"/>
      <c r="AT22" s="1058"/>
      <c r="AU22" s="1050"/>
    </row>
    <row r="23" spans="1:51" s="340" customFormat="1" ht="16.5" customHeight="1">
      <c r="A23" s="351"/>
      <c r="B23" s="353"/>
      <c r="C23" s="1030"/>
      <c r="D23" s="354"/>
      <c r="E23" s="349"/>
      <c r="F23" s="349"/>
      <c r="G23" s="1278"/>
      <c r="H23" s="355"/>
      <c r="I23" s="331"/>
      <c r="J23" s="1049"/>
      <c r="K23" s="1050"/>
      <c r="L23" s="1051"/>
      <c r="M23" s="1049"/>
      <c r="N23" s="1052"/>
      <c r="O23" s="1053"/>
      <c r="P23" s="1050"/>
      <c r="Q23" s="1051"/>
      <c r="R23" s="1049"/>
      <c r="S23" s="1052"/>
      <c r="T23" s="1053"/>
      <c r="U23" s="1050"/>
      <c r="V23" s="1051"/>
      <c r="W23" s="1049"/>
      <c r="X23" s="1050"/>
      <c r="Y23" s="1051"/>
      <c r="Z23" s="1054"/>
      <c r="AA23" s="1055"/>
      <c r="AB23" s="1056"/>
      <c r="AC23" s="1056"/>
      <c r="AD23" s="1056"/>
      <c r="AE23" s="1056"/>
      <c r="AF23" s="1056"/>
      <c r="AG23" s="1056"/>
      <c r="AH23" s="1056"/>
      <c r="AI23" s="1056"/>
      <c r="AJ23" s="1056"/>
      <c r="AK23" s="1057"/>
      <c r="AL23" s="1051"/>
      <c r="AM23" s="1054"/>
      <c r="AN23" s="1050"/>
      <c r="AO23" s="1058"/>
      <c r="AP23" s="1050"/>
      <c r="AQ23" s="400"/>
      <c r="AR23" s="1054"/>
      <c r="AS23" s="1052"/>
      <c r="AT23" s="1058"/>
      <c r="AU23" s="1050"/>
    </row>
    <row r="24" spans="1:51" s="340" customFormat="1" ht="16.5" customHeight="1">
      <c r="A24" s="351"/>
      <c r="B24" s="353"/>
      <c r="C24" s="1030"/>
      <c r="D24" s="354"/>
      <c r="E24" s="349"/>
      <c r="F24" s="349"/>
      <c r="G24" s="1278"/>
      <c r="H24" s="355"/>
      <c r="I24" s="331"/>
      <c r="J24" s="1049"/>
      <c r="K24" s="1050"/>
      <c r="L24" s="1051"/>
      <c r="M24" s="1049"/>
      <c r="N24" s="1052"/>
      <c r="O24" s="1053"/>
      <c r="P24" s="1050"/>
      <c r="Q24" s="1051"/>
      <c r="R24" s="1049"/>
      <c r="S24" s="1052"/>
      <c r="T24" s="1053"/>
      <c r="U24" s="1050"/>
      <c r="V24" s="1051"/>
      <c r="W24" s="1049"/>
      <c r="X24" s="1050"/>
      <c r="Y24" s="1051"/>
      <c r="Z24" s="1054"/>
      <c r="AA24" s="1055"/>
      <c r="AB24" s="1056"/>
      <c r="AC24" s="1056"/>
      <c r="AD24" s="1056"/>
      <c r="AE24" s="1056"/>
      <c r="AF24" s="1056"/>
      <c r="AG24" s="1056"/>
      <c r="AH24" s="1056"/>
      <c r="AI24" s="1056"/>
      <c r="AJ24" s="1056"/>
      <c r="AK24" s="1057"/>
      <c r="AL24" s="1051"/>
      <c r="AM24" s="1054"/>
      <c r="AN24" s="1050"/>
      <c r="AO24" s="1058"/>
      <c r="AP24" s="1050"/>
      <c r="AQ24" s="400"/>
      <c r="AR24" s="1054"/>
      <c r="AS24" s="1052"/>
      <c r="AT24" s="1058"/>
      <c r="AU24" s="1050"/>
    </row>
    <row r="25" spans="1:51" s="340" customFormat="1" ht="16.5" customHeight="1">
      <c r="A25" s="351"/>
      <c r="B25" s="353"/>
      <c r="C25" s="1028"/>
      <c r="D25" s="356"/>
      <c r="E25" s="1279"/>
      <c r="F25" s="1279"/>
      <c r="G25" s="1280"/>
      <c r="H25" s="357"/>
      <c r="I25" s="331"/>
      <c r="J25" s="1049"/>
      <c r="K25" s="1050"/>
      <c r="L25" s="1051"/>
      <c r="M25" s="1049"/>
      <c r="N25" s="1052"/>
      <c r="O25" s="1053"/>
      <c r="P25" s="1050"/>
      <c r="Q25" s="1051"/>
      <c r="R25" s="1049"/>
      <c r="S25" s="1052"/>
      <c r="T25" s="1053"/>
      <c r="U25" s="1050"/>
      <c r="V25" s="1051"/>
      <c r="W25" s="1049"/>
      <c r="X25" s="1050"/>
      <c r="Y25" s="1051"/>
      <c r="Z25" s="1054"/>
      <c r="AA25" s="1055"/>
      <c r="AB25" s="1056"/>
      <c r="AC25" s="1056"/>
      <c r="AD25" s="1056"/>
      <c r="AE25" s="1056"/>
      <c r="AF25" s="1056"/>
      <c r="AG25" s="1056"/>
      <c r="AH25" s="1056"/>
      <c r="AI25" s="1056"/>
      <c r="AJ25" s="1056"/>
      <c r="AK25" s="1057"/>
      <c r="AL25" s="1051"/>
      <c r="AM25" s="1054"/>
      <c r="AN25" s="1050"/>
      <c r="AO25" s="1058"/>
      <c r="AP25" s="1050"/>
      <c r="AQ25" s="400"/>
      <c r="AR25" s="1054"/>
      <c r="AS25" s="1052"/>
      <c r="AT25" s="1058"/>
      <c r="AU25" s="1050"/>
    </row>
    <row r="26" spans="1:51" s="340" customFormat="1" ht="16.5" customHeight="1">
      <c r="A26" s="351"/>
      <c r="B26" s="353"/>
      <c r="C26" s="938" t="s">
        <v>448</v>
      </c>
      <c r="D26" s="1029" t="s">
        <v>464</v>
      </c>
      <c r="E26" s="1281"/>
      <c r="F26" s="1281" t="s">
        <v>389</v>
      </c>
      <c r="G26" s="1409">
        <v>0.21</v>
      </c>
      <c r="H26" s="359"/>
      <c r="I26" s="360"/>
      <c r="J26" s="1033">
        <f>J27*12</f>
        <v>1.1017644</v>
      </c>
      <c r="K26" s="1034">
        <f>J26</f>
        <v>1.1017644</v>
      </c>
      <c r="L26" s="399"/>
      <c r="M26" s="1033">
        <f>J26</f>
        <v>1.1017644</v>
      </c>
      <c r="N26" s="1035">
        <f>K26</f>
        <v>1.1017644</v>
      </c>
      <c r="O26" s="1035">
        <f>R26</f>
        <v>28.504131600000001</v>
      </c>
      <c r="P26" s="1034">
        <f>S26</f>
        <v>28.504131600000001</v>
      </c>
      <c r="Q26" s="399"/>
      <c r="R26" s="1033">
        <f>R27*12</f>
        <v>28.504131600000001</v>
      </c>
      <c r="S26" s="1035">
        <f>R26</f>
        <v>28.504131600000001</v>
      </c>
      <c r="T26" s="1414"/>
      <c r="U26" s="1413"/>
      <c r="V26" s="399"/>
      <c r="W26" s="1033">
        <f>W27*12</f>
        <v>21.060550800000001</v>
      </c>
      <c r="X26" s="1413"/>
      <c r="Y26" s="399"/>
      <c r="Z26" s="1033">
        <f>Z27*12</f>
        <v>93.0598296</v>
      </c>
      <c r="AA26" s="1036"/>
      <c r="AB26" s="1037"/>
      <c r="AC26" s="1037"/>
      <c r="AD26" s="1037"/>
      <c r="AE26" s="1037"/>
      <c r="AF26" s="1037"/>
      <c r="AG26" s="1037"/>
      <c r="AH26" s="1037"/>
      <c r="AI26" s="1037"/>
      <c r="AJ26" s="1037"/>
      <c r="AK26" s="1417"/>
      <c r="AL26" s="399"/>
      <c r="AM26" s="1033">
        <f>W26</f>
        <v>21.060550800000001</v>
      </c>
      <c r="AN26" s="1033">
        <f>Z26</f>
        <v>93.0598296</v>
      </c>
      <c r="AO26" s="1419"/>
      <c r="AP26" s="1413"/>
      <c r="AQ26" s="400"/>
      <c r="AR26" s="1556">
        <f>ROUND(J26*0.75,7)</f>
        <v>0.82632329999999998</v>
      </c>
      <c r="AS26" s="1035"/>
      <c r="AT26" s="1039">
        <f>ROUND(R26*0.75,7)</f>
        <v>21.378098699999999</v>
      </c>
      <c r="AU26" s="1034">
        <f>ROUND(Z26*0.75,7)</f>
        <v>69.7948722</v>
      </c>
      <c r="AW26" s="1440"/>
      <c r="AX26" s="1440"/>
      <c r="AY26" s="1440"/>
    </row>
    <row r="27" spans="1:51" s="340" customFormat="1" ht="16.5" customHeight="1">
      <c r="A27" s="351"/>
      <c r="B27" s="353"/>
      <c r="C27" s="938" t="s">
        <v>448</v>
      </c>
      <c r="D27" s="1029" t="s">
        <v>449</v>
      </c>
      <c r="E27" s="1282"/>
      <c r="F27" s="1282"/>
      <c r="G27" s="1409">
        <v>0.21</v>
      </c>
      <c r="H27" s="359"/>
      <c r="I27" s="360"/>
      <c r="J27" s="1033">
        <v>9.1813699999999998E-2</v>
      </c>
      <c r="K27" s="1034">
        <f>J27</f>
        <v>9.1813699999999998E-2</v>
      </c>
      <c r="L27" s="399"/>
      <c r="M27" s="1033">
        <f>J27</f>
        <v>9.1813699999999998E-2</v>
      </c>
      <c r="N27" s="1035">
        <f>K27</f>
        <v>9.1813699999999998E-2</v>
      </c>
      <c r="O27" s="1035">
        <f>R27</f>
        <v>2.3753443000000001</v>
      </c>
      <c r="P27" s="1034">
        <f>S27</f>
        <v>2.3753443000000001</v>
      </c>
      <c r="Q27" s="399"/>
      <c r="R27" s="1033">
        <v>2.3753443000000001</v>
      </c>
      <c r="S27" s="1035">
        <f>R27</f>
        <v>2.3753443000000001</v>
      </c>
      <c r="T27" s="1414"/>
      <c r="U27" s="1413"/>
      <c r="V27" s="399"/>
      <c r="W27" s="1033">
        <v>1.7550459</v>
      </c>
      <c r="X27" s="1413"/>
      <c r="Y27" s="399"/>
      <c r="Z27" s="1033">
        <v>7.7549858</v>
      </c>
      <c r="AA27" s="1036"/>
      <c r="AB27" s="1037"/>
      <c r="AC27" s="1037"/>
      <c r="AD27" s="1037"/>
      <c r="AE27" s="1037"/>
      <c r="AF27" s="1037"/>
      <c r="AG27" s="1037"/>
      <c r="AH27" s="1037"/>
      <c r="AI27" s="1037"/>
      <c r="AJ27" s="1037"/>
      <c r="AK27" s="1417"/>
      <c r="AL27" s="399"/>
      <c r="AM27" s="1033">
        <f>W27</f>
        <v>1.7550459</v>
      </c>
      <c r="AN27" s="1033">
        <f>Z27</f>
        <v>7.7549858</v>
      </c>
      <c r="AO27" s="1419"/>
      <c r="AP27" s="1413"/>
      <c r="AQ27" s="400"/>
      <c r="AR27" s="1556">
        <v>6.8860299999999999E-2</v>
      </c>
      <c r="AS27" s="1035"/>
      <c r="AT27" s="1039">
        <v>1.7815082</v>
      </c>
      <c r="AU27" s="1034">
        <f>ROUND(Z27*0.75,7)</f>
        <v>5.8162393999999997</v>
      </c>
      <c r="AW27" s="1440"/>
      <c r="AX27" s="1440"/>
      <c r="AY27" s="1440"/>
    </row>
    <row r="28" spans="1:51" s="340" customFormat="1">
      <c r="A28" s="351"/>
      <c r="B28" s="353"/>
      <c r="C28" s="1421"/>
      <c r="D28" s="1422"/>
      <c r="E28" s="1423"/>
      <c r="F28" s="1423"/>
      <c r="G28" s="1424"/>
      <c r="H28" s="1425"/>
      <c r="I28" s="360"/>
      <c r="J28" s="1426"/>
      <c r="K28" s="1427"/>
      <c r="L28" s="1428"/>
      <c r="M28" s="1429"/>
      <c r="N28" s="1430"/>
      <c r="O28" s="1415"/>
      <c r="P28" s="1416"/>
      <c r="Q28" s="1428"/>
      <c r="R28" s="1429"/>
      <c r="S28" s="1430"/>
      <c r="T28" s="1415"/>
      <c r="U28" s="1416"/>
      <c r="V28" s="1428"/>
      <c r="W28" s="1429"/>
      <c r="X28" s="1416"/>
      <c r="Y28" s="1428"/>
      <c r="Z28" s="1429"/>
      <c r="AA28" s="1431"/>
      <c r="AB28" s="1432"/>
      <c r="AC28" s="1432"/>
      <c r="AD28" s="1432"/>
      <c r="AE28" s="1432"/>
      <c r="AF28" s="1432"/>
      <c r="AG28" s="1432"/>
      <c r="AH28" s="1432"/>
      <c r="AI28" s="1432"/>
      <c r="AJ28" s="1432"/>
      <c r="AK28" s="1418"/>
      <c r="AL28" s="1428"/>
      <c r="AM28" s="1426"/>
      <c r="AN28" s="1426"/>
      <c r="AO28" s="1420"/>
      <c r="AP28" s="1416"/>
      <c r="AQ28" s="400"/>
      <c r="AR28" s="1557"/>
      <c r="AS28" s="1430"/>
      <c r="AT28" s="1420"/>
      <c r="AU28" s="1433"/>
      <c r="AW28" s="1440"/>
      <c r="AX28" s="1440"/>
      <c r="AY28" s="1440"/>
    </row>
    <row r="29" spans="1:51" s="340" customFormat="1" ht="16.5" customHeight="1">
      <c r="A29" s="351"/>
      <c r="B29" s="353"/>
      <c r="C29" s="1539" t="s">
        <v>450</v>
      </c>
      <c r="D29" s="1029" t="s">
        <v>114</v>
      </c>
      <c r="E29" s="1281"/>
      <c r="F29" s="1281" t="s">
        <v>389</v>
      </c>
      <c r="G29" s="1409">
        <v>0.21</v>
      </c>
      <c r="H29" s="359"/>
      <c r="I29" s="360"/>
      <c r="J29" s="1033">
        <v>0</v>
      </c>
      <c r="K29" s="1034">
        <f>J29</f>
        <v>0</v>
      </c>
      <c r="L29" s="399"/>
      <c r="M29" s="1033">
        <f t="shared" ref="M29:N31" si="0">J29</f>
        <v>0</v>
      </c>
      <c r="N29" s="1035">
        <f t="shared" si="0"/>
        <v>0</v>
      </c>
      <c r="O29" s="1035">
        <f t="shared" ref="O29:P31" si="1">R29</f>
        <v>1.9039999999999999E-4</v>
      </c>
      <c r="P29" s="1034">
        <f t="shared" si="1"/>
        <v>1.9039999999999999E-4</v>
      </c>
      <c r="Q29" s="399"/>
      <c r="R29" s="1033">
        <v>1.9039999999999999E-4</v>
      </c>
      <c r="S29" s="1035">
        <f>R29</f>
        <v>1.9039999999999999E-4</v>
      </c>
      <c r="T29" s="1414"/>
      <c r="U29" s="1413"/>
      <c r="V29" s="399"/>
      <c r="W29" s="1033">
        <v>2.8969999999999998E-3</v>
      </c>
      <c r="X29" s="1413"/>
      <c r="Y29" s="399"/>
      <c r="Z29" s="1033">
        <v>5.5349999999999996E-4</v>
      </c>
      <c r="AA29" s="1036"/>
      <c r="AB29" s="1037"/>
      <c r="AC29" s="1037"/>
      <c r="AD29" s="1037"/>
      <c r="AE29" s="1037"/>
      <c r="AF29" s="1037"/>
      <c r="AG29" s="1037"/>
      <c r="AH29" s="1037"/>
      <c r="AI29" s="1037"/>
      <c r="AJ29" s="1037"/>
      <c r="AK29" s="1417"/>
      <c r="AL29" s="399"/>
      <c r="AM29" s="1033">
        <f>W29</f>
        <v>2.8969999999999998E-3</v>
      </c>
      <c r="AN29" s="1033">
        <f>Z29</f>
        <v>5.5349999999999996E-4</v>
      </c>
      <c r="AO29" s="1419"/>
      <c r="AP29" s="1413"/>
      <c r="AQ29" s="400"/>
      <c r="AR29" s="1556">
        <v>0</v>
      </c>
      <c r="AS29" s="1035"/>
      <c r="AT29" s="1039">
        <v>1.428E-4</v>
      </c>
      <c r="AU29" s="1034">
        <v>4.1510000000000001E-4</v>
      </c>
      <c r="AW29" s="1440"/>
      <c r="AX29" s="1440"/>
      <c r="AY29" s="1440"/>
    </row>
    <row r="30" spans="1:51" s="340" customFormat="1" ht="16.5" customHeight="1">
      <c r="A30" s="351"/>
      <c r="B30" s="353"/>
      <c r="C30" s="1540"/>
      <c r="D30" s="1541"/>
      <c r="E30" s="1542"/>
      <c r="F30" s="1515"/>
      <c r="G30" s="1405"/>
      <c r="H30" s="1543"/>
      <c r="I30" s="360"/>
      <c r="J30" s="1412"/>
      <c r="K30" s="1413"/>
      <c r="L30" s="399"/>
      <c r="M30" s="1412"/>
      <c r="N30" s="1414"/>
      <c r="O30" s="1414"/>
      <c r="P30" s="1413"/>
      <c r="Q30" s="399"/>
      <c r="R30" s="1412"/>
      <c r="S30" s="1414"/>
      <c r="T30" s="1414"/>
      <c r="U30" s="1413"/>
      <c r="V30" s="399"/>
      <c r="W30" s="1412"/>
      <c r="X30" s="1413"/>
      <c r="Y30" s="399"/>
      <c r="Z30" s="1412"/>
      <c r="AA30" s="1527"/>
      <c r="AB30" s="1528"/>
      <c r="AC30" s="1528"/>
      <c r="AD30" s="1528"/>
      <c r="AE30" s="1528"/>
      <c r="AF30" s="1528"/>
      <c r="AG30" s="1528"/>
      <c r="AH30" s="1528"/>
      <c r="AI30" s="1528"/>
      <c r="AJ30" s="1528"/>
      <c r="AK30" s="1417"/>
      <c r="AL30" s="399"/>
      <c r="AM30" s="1412"/>
      <c r="AN30" s="1412"/>
      <c r="AO30" s="1419"/>
      <c r="AP30" s="1413"/>
      <c r="AQ30" s="400"/>
      <c r="AR30" s="1558"/>
      <c r="AS30" s="1414"/>
      <c r="AT30" s="1419"/>
      <c r="AU30" s="1413"/>
      <c r="AW30" s="1440"/>
      <c r="AX30" s="1440"/>
      <c r="AY30" s="1440"/>
    </row>
    <row r="31" spans="1:51" s="340" customFormat="1" ht="16.5" customHeight="1">
      <c r="A31" s="351"/>
      <c r="B31" s="353"/>
      <c r="C31" s="938" t="s">
        <v>451</v>
      </c>
      <c r="D31" s="1029" t="s">
        <v>114</v>
      </c>
      <c r="E31" s="1281"/>
      <c r="F31" s="1265" t="s">
        <v>398</v>
      </c>
      <c r="G31" s="1403">
        <v>0.21</v>
      </c>
      <c r="H31" s="357"/>
      <c r="I31" s="331"/>
      <c r="J31" s="1033">
        <v>3.2883000000000003E-2</v>
      </c>
      <c r="K31" s="1413"/>
      <c r="L31" s="399"/>
      <c r="M31" s="1033">
        <f t="shared" si="0"/>
        <v>3.2883000000000003E-2</v>
      </c>
      <c r="N31" s="1414"/>
      <c r="O31" s="1035">
        <f t="shared" si="1"/>
        <v>3.2883000000000003E-2</v>
      </c>
      <c r="P31" s="1413"/>
      <c r="Q31" s="399"/>
      <c r="R31" s="1033">
        <v>3.2883000000000003E-2</v>
      </c>
      <c r="S31" s="1414"/>
      <c r="T31" s="1414"/>
      <c r="U31" s="1413"/>
      <c r="V31" s="399"/>
      <c r="W31" s="1033">
        <v>3.2883000000000003E-2</v>
      </c>
      <c r="X31" s="1413"/>
      <c r="Y31" s="399"/>
      <c r="Z31" s="1033">
        <v>3.2883000000000003E-2</v>
      </c>
      <c r="AA31" s="1036"/>
      <c r="AB31" s="1037"/>
      <c r="AC31" s="1037"/>
      <c r="AD31" s="1037"/>
      <c r="AE31" s="1037"/>
      <c r="AF31" s="1037"/>
      <c r="AG31" s="1037"/>
      <c r="AH31" s="1037"/>
      <c r="AI31" s="1037"/>
      <c r="AJ31" s="1037"/>
      <c r="AK31" s="1417"/>
      <c r="AL31" s="399"/>
      <c r="AM31" s="1033">
        <f>W31</f>
        <v>3.2883000000000003E-2</v>
      </c>
      <c r="AN31" s="1033">
        <f>Z31</f>
        <v>3.2883000000000003E-2</v>
      </c>
      <c r="AO31" s="1419"/>
      <c r="AP31" s="1413"/>
      <c r="AQ31" s="400"/>
      <c r="AR31" s="1556">
        <f>ROUND((AN31*0.75),7)</f>
        <v>2.4662300000000002E-2</v>
      </c>
      <c r="AS31" s="1035"/>
      <c r="AT31" s="1039">
        <f>AR31</f>
        <v>2.4662300000000002E-2</v>
      </c>
      <c r="AU31" s="1034">
        <f>AT31</f>
        <v>2.4662300000000002E-2</v>
      </c>
      <c r="AW31" s="1440"/>
      <c r="AX31" s="1440"/>
      <c r="AY31" s="1440"/>
    </row>
    <row r="32" spans="1:51" s="340" customFormat="1" ht="16.5" customHeight="1">
      <c r="A32" s="341"/>
      <c r="B32" s="342"/>
      <c r="C32" s="343"/>
      <c r="D32" s="344"/>
      <c r="E32" s="345"/>
      <c r="F32" s="345"/>
      <c r="G32" s="1274"/>
      <c r="H32" s="330"/>
      <c r="I32" s="331"/>
      <c r="J32" s="1040"/>
      <c r="K32" s="1041"/>
      <c r="L32" s="399"/>
      <c r="M32" s="1040"/>
      <c r="N32" s="1042"/>
      <c r="O32" s="1043"/>
      <c r="P32" s="1041"/>
      <c r="Q32" s="399"/>
      <c r="R32" s="1040"/>
      <c r="S32" s="1042"/>
      <c r="T32" s="1043"/>
      <c r="U32" s="1041"/>
      <c r="V32" s="399"/>
      <c r="W32" s="1040"/>
      <c r="X32" s="1041"/>
      <c r="Y32" s="399"/>
      <c r="Z32" s="1044"/>
      <c r="AA32" s="1045"/>
      <c r="AB32" s="1046"/>
      <c r="AC32" s="1046"/>
      <c r="AD32" s="1046"/>
      <c r="AE32" s="1046"/>
      <c r="AF32" s="1046"/>
      <c r="AG32" s="1046"/>
      <c r="AH32" s="1046"/>
      <c r="AI32" s="1046"/>
      <c r="AJ32" s="1046"/>
      <c r="AK32" s="1047"/>
      <c r="AL32" s="399"/>
      <c r="AM32" s="1044"/>
      <c r="AN32" s="1041"/>
      <c r="AO32" s="1048"/>
      <c r="AP32" s="1041"/>
      <c r="AQ32" s="400"/>
      <c r="AR32" s="1044"/>
      <c r="AS32" s="1042"/>
      <c r="AT32" s="1048"/>
      <c r="AU32" s="1041"/>
      <c r="AW32" s="1440"/>
      <c r="AX32" s="1440"/>
      <c r="AY32" s="1440"/>
    </row>
    <row r="33" spans="1:51" s="340" customFormat="1" ht="15.75" customHeight="1">
      <c r="A33" s="351"/>
      <c r="B33" s="1031" t="s">
        <v>29</v>
      </c>
      <c r="C33" s="1031" t="s">
        <v>388</v>
      </c>
      <c r="D33" s="1032"/>
      <c r="E33" s="349"/>
      <c r="F33" s="349"/>
      <c r="G33" s="1405"/>
      <c r="H33" s="355"/>
      <c r="I33" s="331"/>
      <c r="J33" s="1049"/>
      <c r="K33" s="1050"/>
      <c r="L33" s="1051"/>
      <c r="M33" s="1049"/>
      <c r="N33" s="1052"/>
      <c r="O33" s="1053"/>
      <c r="P33" s="1050"/>
      <c r="Q33" s="1051"/>
      <c r="R33" s="1049"/>
      <c r="S33" s="1052"/>
      <c r="T33" s="1053"/>
      <c r="U33" s="1050"/>
      <c r="V33" s="1051"/>
      <c r="W33" s="1049"/>
      <c r="X33" s="1050"/>
      <c r="Y33" s="1051"/>
      <c r="Z33" s="1054"/>
      <c r="AA33" s="1055"/>
      <c r="AB33" s="1056"/>
      <c r="AC33" s="1056"/>
      <c r="AD33" s="1056"/>
      <c r="AE33" s="1056"/>
      <c r="AF33" s="1056"/>
      <c r="AG33" s="1056"/>
      <c r="AH33" s="1056"/>
      <c r="AI33" s="1056"/>
      <c r="AJ33" s="1056"/>
      <c r="AK33" s="1057"/>
      <c r="AL33" s="1051"/>
      <c r="AM33" s="1054"/>
      <c r="AN33" s="1050"/>
      <c r="AO33" s="1058"/>
      <c r="AP33" s="1050"/>
      <c r="AQ33" s="400"/>
      <c r="AR33" s="1054"/>
      <c r="AS33" s="1052"/>
      <c r="AT33" s="1058"/>
      <c r="AU33" s="1050"/>
      <c r="AW33" s="1440"/>
      <c r="AX33" s="1440"/>
      <c r="AY33" s="1440"/>
    </row>
    <row r="34" spans="1:51" s="340" customFormat="1" ht="16.5" customHeight="1">
      <c r="A34" s="351"/>
      <c r="B34" s="343"/>
      <c r="C34" s="361" t="s">
        <v>51</v>
      </c>
      <c r="D34" s="358" t="s">
        <v>114</v>
      </c>
      <c r="E34" s="1265"/>
      <c r="F34" s="1265" t="s">
        <v>389</v>
      </c>
      <c r="G34" s="1403">
        <v>0.21</v>
      </c>
      <c r="H34" s="359"/>
      <c r="I34" s="331"/>
      <c r="J34" s="1412"/>
      <c r="K34" s="1413"/>
      <c r="L34" s="399"/>
      <c r="M34" s="1412"/>
      <c r="N34" s="1414"/>
      <c r="O34" s="1414"/>
      <c r="P34" s="1413"/>
      <c r="Q34" s="399"/>
      <c r="R34" s="1412"/>
      <c r="S34" s="1414"/>
      <c r="T34" s="1035">
        <v>1.6465799999999999E-2</v>
      </c>
      <c r="U34" s="1034">
        <f>T34</f>
        <v>1.6465799999999999E-2</v>
      </c>
      <c r="V34" s="399"/>
      <c r="W34" s="1412"/>
      <c r="X34" s="1034">
        <v>2.26331E-2</v>
      </c>
      <c r="Y34" s="399"/>
      <c r="Z34" s="1412"/>
      <c r="AA34" s="1036"/>
      <c r="AB34" s="1037"/>
      <c r="AC34" s="1037"/>
      <c r="AD34" s="1037"/>
      <c r="AE34" s="1037"/>
      <c r="AF34" s="1037"/>
      <c r="AG34" s="1037"/>
      <c r="AH34" s="1037"/>
      <c r="AI34" s="1037"/>
      <c r="AJ34" s="1037"/>
      <c r="AK34" s="1038">
        <v>5.4077100000000003E-2</v>
      </c>
      <c r="AL34" s="399"/>
      <c r="AM34" s="1412"/>
      <c r="AN34" s="1413"/>
      <c r="AO34" s="1039">
        <f>X34</f>
        <v>2.26331E-2</v>
      </c>
      <c r="AP34" s="1034">
        <f>AK34</f>
        <v>5.4077100000000003E-2</v>
      </c>
      <c r="AQ34" s="400"/>
      <c r="AR34" s="1412"/>
      <c r="AS34" s="1414"/>
      <c r="AT34" s="1412"/>
      <c r="AU34" s="1050"/>
      <c r="AW34" s="1440"/>
      <c r="AX34" s="1440"/>
      <c r="AY34" s="1440"/>
    </row>
    <row r="35" spans="1:51" s="340" customFormat="1" ht="16.5" customHeight="1">
      <c r="A35" s="351"/>
      <c r="B35" s="343"/>
      <c r="C35" s="361" t="s">
        <v>52</v>
      </c>
      <c r="D35" s="358" t="s">
        <v>114</v>
      </c>
      <c r="E35" s="1265"/>
      <c r="F35" s="1265" t="s">
        <v>389</v>
      </c>
      <c r="G35" s="1403">
        <v>0.21</v>
      </c>
      <c r="H35" s="359"/>
      <c r="I35" s="331"/>
      <c r="J35" s="1412"/>
      <c r="K35" s="1413"/>
      <c r="L35" s="399"/>
      <c r="M35" s="1412"/>
      <c r="N35" s="1414"/>
      <c r="O35" s="1414"/>
      <c r="P35" s="1413"/>
      <c r="Q35" s="399"/>
      <c r="R35" s="1412"/>
      <c r="S35" s="1414"/>
      <c r="T35" s="1035">
        <v>9.0562000000000004E-3</v>
      </c>
      <c r="U35" s="1034">
        <f>T35</f>
        <v>9.0562000000000004E-3</v>
      </c>
      <c r="V35" s="399"/>
      <c r="W35" s="1412"/>
      <c r="X35" s="1034">
        <v>1.24482E-2</v>
      </c>
      <c r="Y35" s="399"/>
      <c r="Z35" s="1412"/>
      <c r="AA35" s="1036"/>
      <c r="AB35" s="1037"/>
      <c r="AC35" s="1037"/>
      <c r="AD35" s="1037"/>
      <c r="AE35" s="1037"/>
      <c r="AF35" s="1037"/>
      <c r="AG35" s="1037"/>
      <c r="AH35" s="1037"/>
      <c r="AI35" s="1037"/>
      <c r="AJ35" s="1037"/>
      <c r="AK35" s="1038">
        <v>3.2446200000000001E-2</v>
      </c>
      <c r="AL35" s="399"/>
      <c r="AM35" s="1412"/>
      <c r="AN35" s="1413"/>
      <c r="AO35" s="1039">
        <f>X35</f>
        <v>1.24482E-2</v>
      </c>
      <c r="AP35" s="1034">
        <f>AK35</f>
        <v>3.2446200000000001E-2</v>
      </c>
      <c r="AQ35" s="400"/>
      <c r="AR35" s="1412"/>
      <c r="AS35" s="1414"/>
      <c r="AT35" s="1419"/>
      <c r="AU35" s="1413"/>
      <c r="AW35" s="1440"/>
      <c r="AX35" s="1440"/>
      <c r="AY35" s="1440"/>
    </row>
    <row r="36" spans="1:51" s="340" customFormat="1" ht="16.5" customHeight="1">
      <c r="A36" s="351"/>
      <c r="B36" s="343"/>
      <c r="C36" s="361" t="s">
        <v>53</v>
      </c>
      <c r="D36" s="358" t="s">
        <v>114</v>
      </c>
      <c r="E36" s="1265"/>
      <c r="F36" s="1265" t="s">
        <v>389</v>
      </c>
      <c r="G36" s="1403">
        <v>0.21</v>
      </c>
      <c r="H36" s="359"/>
      <c r="I36" s="331"/>
      <c r="J36" s="1412"/>
      <c r="K36" s="1413"/>
      <c r="L36" s="399"/>
      <c r="M36" s="1412"/>
      <c r="N36" s="1414"/>
      <c r="O36" s="1414"/>
      <c r="P36" s="1413"/>
      <c r="Q36" s="399"/>
      <c r="R36" s="1412"/>
      <c r="S36" s="1414"/>
      <c r="T36" s="1035">
        <v>9.0562000000000004E-3</v>
      </c>
      <c r="U36" s="1034">
        <f>T36</f>
        <v>9.0562000000000004E-3</v>
      </c>
      <c r="V36" s="399"/>
      <c r="W36" s="1412"/>
      <c r="X36" s="1034">
        <v>1.24482E-2</v>
      </c>
      <c r="Y36" s="399"/>
      <c r="Z36" s="1412"/>
      <c r="AA36" s="1036"/>
      <c r="AB36" s="1037"/>
      <c r="AC36" s="1037"/>
      <c r="AD36" s="1037"/>
      <c r="AE36" s="1037"/>
      <c r="AF36" s="1037"/>
      <c r="AG36" s="1037"/>
      <c r="AH36" s="1037"/>
      <c r="AI36" s="1037"/>
      <c r="AJ36" s="1037"/>
      <c r="AK36" s="1038">
        <v>2.1630799999999999E-2</v>
      </c>
      <c r="AL36" s="399"/>
      <c r="AM36" s="1412"/>
      <c r="AN36" s="1413"/>
      <c r="AO36" s="1039">
        <f>X36</f>
        <v>1.24482E-2</v>
      </c>
      <c r="AP36" s="1034">
        <f>AK36</f>
        <v>2.1630799999999999E-2</v>
      </c>
      <c r="AQ36" s="400"/>
      <c r="AR36" s="1412"/>
      <c r="AS36" s="1414"/>
      <c r="AT36" s="1419"/>
      <c r="AU36" s="1413"/>
      <c r="AW36" s="1440"/>
      <c r="AX36" s="1440"/>
      <c r="AY36" s="1440"/>
    </row>
    <row r="37" spans="1:51" s="340" customFormat="1" ht="16.5" customHeight="1">
      <c r="A37" s="351"/>
      <c r="B37" s="343"/>
      <c r="C37" s="361"/>
      <c r="D37" s="358"/>
      <c r="E37" s="1282"/>
      <c r="F37" s="1282"/>
      <c r="G37" s="1283"/>
      <c r="H37" s="359"/>
      <c r="I37" s="331"/>
      <c r="J37" s="1049"/>
      <c r="K37" s="1050"/>
      <c r="L37" s="1051"/>
      <c r="M37" s="1049"/>
      <c r="N37" s="1052"/>
      <c r="O37" s="1073"/>
      <c r="P37" s="1069"/>
      <c r="Q37" s="1051"/>
      <c r="R37" s="1049"/>
      <c r="S37" s="1052"/>
      <c r="T37" s="1073"/>
      <c r="U37" s="1069"/>
      <c r="V37" s="1051"/>
      <c r="W37" s="1049"/>
      <c r="X37" s="1069"/>
      <c r="Y37" s="1051"/>
      <c r="Z37" s="1054"/>
      <c r="AA37" s="1055"/>
      <c r="AB37" s="1056"/>
      <c r="AC37" s="1056"/>
      <c r="AD37" s="1056"/>
      <c r="AE37" s="1056"/>
      <c r="AF37" s="1056"/>
      <c r="AG37" s="1056"/>
      <c r="AH37" s="1056"/>
      <c r="AI37" s="1056"/>
      <c r="AJ37" s="1056"/>
      <c r="AK37" s="1060"/>
      <c r="AL37" s="1051"/>
      <c r="AM37" s="1054"/>
      <c r="AN37" s="1050"/>
      <c r="AO37" s="1058"/>
      <c r="AP37" s="1069"/>
      <c r="AQ37" s="400"/>
      <c r="AR37" s="1054"/>
      <c r="AS37" s="1052"/>
      <c r="AT37" s="1058"/>
      <c r="AU37" s="1050"/>
      <c r="AW37" s="1440"/>
      <c r="AX37" s="1440"/>
      <c r="AY37" s="1440"/>
    </row>
    <row r="38" spans="1:51" s="340" customFormat="1" ht="16.5" customHeight="1">
      <c r="A38" s="351"/>
      <c r="B38" s="343" t="s">
        <v>32</v>
      </c>
      <c r="C38" s="343" t="s">
        <v>33</v>
      </c>
      <c r="D38" s="358" t="s">
        <v>114</v>
      </c>
      <c r="E38" s="1265"/>
      <c r="F38" s="1265" t="s">
        <v>390</v>
      </c>
      <c r="G38" s="1403">
        <v>0.21</v>
      </c>
      <c r="H38" s="357"/>
      <c r="I38" s="331"/>
      <c r="J38" s="1033">
        <v>2.0819999999999999E-4</v>
      </c>
      <c r="K38" s="1034">
        <v>2.0819999999999999E-4</v>
      </c>
      <c r="L38" s="399"/>
      <c r="M38" s="1033">
        <f>J38</f>
        <v>2.0819999999999999E-4</v>
      </c>
      <c r="N38" s="1035">
        <f>K38</f>
        <v>2.0819999999999999E-4</v>
      </c>
      <c r="O38" s="1035">
        <f>R38</f>
        <v>2.0819999999999999E-4</v>
      </c>
      <c r="P38" s="1034">
        <f>S38</f>
        <v>2.0819999999999999E-4</v>
      </c>
      <c r="Q38" s="399"/>
      <c r="R38" s="1033">
        <v>2.0819999999999999E-4</v>
      </c>
      <c r="S38" s="1035">
        <v>2.0819999999999999E-4</v>
      </c>
      <c r="T38" s="1035">
        <v>2.0819999999999999E-4</v>
      </c>
      <c r="U38" s="1034">
        <v>2.0819999999999999E-4</v>
      </c>
      <c r="V38" s="399"/>
      <c r="W38" s="1033">
        <v>2.0819999999999999E-4</v>
      </c>
      <c r="X38" s="1034">
        <v>2.0819999999999999E-4</v>
      </c>
      <c r="Y38" s="399"/>
      <c r="Z38" s="1033">
        <v>2.0819999999999999E-4</v>
      </c>
      <c r="AA38" s="1036"/>
      <c r="AB38" s="1037"/>
      <c r="AC38" s="1037"/>
      <c r="AD38" s="1037"/>
      <c r="AE38" s="1037"/>
      <c r="AF38" s="1037"/>
      <c r="AG38" s="1037"/>
      <c r="AH38" s="1037"/>
      <c r="AI38" s="1037"/>
      <c r="AJ38" s="1037"/>
      <c r="AK38" s="1038">
        <v>2.0819999999999999E-4</v>
      </c>
      <c r="AL38" s="399"/>
      <c r="AM38" s="1033">
        <f>W38</f>
        <v>2.0819999999999999E-4</v>
      </c>
      <c r="AN38" s="1034">
        <v>2.0819999999999999E-4</v>
      </c>
      <c r="AO38" s="1039">
        <f>AM38</f>
        <v>2.0819999999999999E-4</v>
      </c>
      <c r="AP38" s="1034">
        <v>2.0819999999999999E-4</v>
      </c>
      <c r="AQ38" s="400"/>
      <c r="AR38" s="1556">
        <f>ROUND((AN38*0.75),7)</f>
        <v>1.562E-4</v>
      </c>
      <c r="AS38" s="1035"/>
      <c r="AT38" s="1039">
        <f>ROUND(M38*0.75,7)</f>
        <v>1.562E-4</v>
      </c>
      <c r="AU38" s="1034">
        <f>ROUND(Z38*0.75,7)</f>
        <v>1.562E-4</v>
      </c>
      <c r="AW38" s="1440"/>
      <c r="AX38" s="1440"/>
      <c r="AY38" s="1440"/>
    </row>
    <row r="39" spans="1:51" s="340" customFormat="1" ht="16.5" customHeight="1">
      <c r="A39" s="351"/>
      <c r="B39" s="343"/>
      <c r="C39" s="361"/>
      <c r="D39" s="358"/>
      <c r="E39" s="1282"/>
      <c r="F39" s="1282"/>
      <c r="G39" s="1404"/>
      <c r="H39" s="359"/>
      <c r="I39" s="331"/>
      <c r="J39" s="1061"/>
      <c r="K39" s="1069"/>
      <c r="L39" s="1071"/>
      <c r="M39" s="1061"/>
      <c r="N39" s="1062"/>
      <c r="O39" s="1073"/>
      <c r="P39" s="1069"/>
      <c r="Q39" s="1071"/>
      <c r="R39" s="1061"/>
      <c r="S39" s="1062"/>
      <c r="T39" s="1073"/>
      <c r="U39" s="1069"/>
      <c r="V39" s="1071"/>
      <c r="W39" s="1061"/>
      <c r="X39" s="1069"/>
      <c r="Y39" s="1071"/>
      <c r="Z39" s="1059"/>
      <c r="AA39" s="1074"/>
      <c r="AB39" s="1075"/>
      <c r="AC39" s="1075"/>
      <c r="AD39" s="1075"/>
      <c r="AE39" s="1075"/>
      <c r="AF39" s="1075"/>
      <c r="AG39" s="1075"/>
      <c r="AH39" s="1075"/>
      <c r="AI39" s="1075"/>
      <c r="AJ39" s="1075"/>
      <c r="AK39" s="1060"/>
      <c r="AL39" s="1071"/>
      <c r="AM39" s="1059"/>
      <c r="AN39" s="1069"/>
      <c r="AO39" s="1070"/>
      <c r="AP39" s="1069"/>
      <c r="AQ39" s="400"/>
      <c r="AR39" s="1059"/>
      <c r="AS39" s="1062"/>
      <c r="AT39" s="1070"/>
      <c r="AU39" s="1069"/>
      <c r="AW39" s="1440"/>
      <c r="AX39" s="1440"/>
      <c r="AY39" s="1440"/>
    </row>
    <row r="40" spans="1:51" s="340" customFormat="1" ht="16.5" customHeight="1">
      <c r="A40" s="351"/>
      <c r="B40" s="343" t="s">
        <v>34</v>
      </c>
      <c r="C40" s="343" t="s">
        <v>35</v>
      </c>
      <c r="D40" s="358"/>
      <c r="E40" s="1265"/>
      <c r="F40" s="1265"/>
      <c r="G40" s="1403"/>
      <c r="H40" s="357"/>
      <c r="I40" s="331"/>
      <c r="J40" s="1049"/>
      <c r="K40" s="1050"/>
      <c r="L40" s="1051"/>
      <c r="M40" s="1049"/>
      <c r="N40" s="1052"/>
      <c r="O40" s="1053"/>
      <c r="P40" s="1050"/>
      <c r="Q40" s="1051"/>
      <c r="R40" s="1049"/>
      <c r="S40" s="1052"/>
      <c r="T40" s="1053"/>
      <c r="U40" s="1050"/>
      <c r="V40" s="1051"/>
      <c r="W40" s="1049"/>
      <c r="X40" s="1050"/>
      <c r="Y40" s="1051"/>
      <c r="Z40" s="1054"/>
      <c r="AA40" s="1055"/>
      <c r="AB40" s="1056"/>
      <c r="AC40" s="1056"/>
      <c r="AD40" s="1056"/>
      <c r="AE40" s="1056"/>
      <c r="AF40" s="1056"/>
      <c r="AG40" s="1056"/>
      <c r="AH40" s="1056"/>
      <c r="AI40" s="1056"/>
      <c r="AJ40" s="1056"/>
      <c r="AK40" s="1057"/>
      <c r="AL40" s="1051"/>
      <c r="AM40" s="1054"/>
      <c r="AN40" s="1050"/>
      <c r="AO40" s="1058"/>
      <c r="AP40" s="1050"/>
      <c r="AQ40" s="400"/>
      <c r="AR40" s="1054"/>
      <c r="AS40" s="1052"/>
      <c r="AT40" s="1058"/>
      <c r="AU40" s="1050"/>
      <c r="AW40" s="1440"/>
      <c r="AX40" s="1440"/>
      <c r="AY40" s="1440"/>
    </row>
    <row r="41" spans="1:51" s="340" customFormat="1" ht="16.5" customHeight="1">
      <c r="A41" s="351"/>
      <c r="B41" s="343"/>
      <c r="C41" s="382" t="s">
        <v>36</v>
      </c>
      <c r="D41" s="358" t="s">
        <v>115</v>
      </c>
      <c r="E41" s="1282"/>
      <c r="F41" s="1265" t="s">
        <v>391</v>
      </c>
      <c r="G41" s="1403">
        <v>0.21</v>
      </c>
      <c r="H41" s="359"/>
      <c r="I41" s="331"/>
      <c r="J41" s="1076">
        <v>465</v>
      </c>
      <c r="K41" s="1077">
        <v>465</v>
      </c>
      <c r="L41" s="399"/>
      <c r="M41" s="1076">
        <f t="shared" ref="M41:N43" si="2">J41</f>
        <v>465</v>
      </c>
      <c r="N41" s="1078">
        <f t="shared" si="2"/>
        <v>465</v>
      </c>
      <c r="O41" s="1078">
        <f t="shared" ref="O41:P43" si="3">R41</f>
        <v>465</v>
      </c>
      <c r="P41" s="1077">
        <f t="shared" si="3"/>
        <v>465</v>
      </c>
      <c r="Q41" s="399"/>
      <c r="R41" s="1076">
        <v>465</v>
      </c>
      <c r="S41" s="1078">
        <v>465</v>
      </c>
      <c r="T41" s="1078">
        <v>465</v>
      </c>
      <c r="U41" s="1077">
        <v>465</v>
      </c>
      <c r="V41" s="399"/>
      <c r="W41" s="1076">
        <v>465</v>
      </c>
      <c r="X41" s="1077">
        <v>465</v>
      </c>
      <c r="Y41" s="399"/>
      <c r="Z41" s="1076">
        <v>465</v>
      </c>
      <c r="AA41" s="1079"/>
      <c r="AB41" s="1080"/>
      <c r="AC41" s="1080"/>
      <c r="AD41" s="1080"/>
      <c r="AE41" s="1080"/>
      <c r="AF41" s="1080"/>
      <c r="AG41" s="1080"/>
      <c r="AH41" s="1080"/>
      <c r="AI41" s="1080"/>
      <c r="AJ41" s="1080"/>
      <c r="AK41" s="1081">
        <v>465</v>
      </c>
      <c r="AL41" s="399"/>
      <c r="AM41" s="1076">
        <v>465</v>
      </c>
      <c r="AN41" s="1077">
        <v>465</v>
      </c>
      <c r="AO41" s="1082">
        <v>465</v>
      </c>
      <c r="AP41" s="1077">
        <v>465</v>
      </c>
      <c r="AQ41" s="400"/>
      <c r="AR41" s="1076">
        <v>348.75</v>
      </c>
      <c r="AS41" s="1078"/>
      <c r="AT41" s="1082">
        <f>AR41</f>
        <v>348.75</v>
      </c>
      <c r="AU41" s="1077">
        <f>AR41</f>
        <v>348.75</v>
      </c>
      <c r="AW41" s="1440"/>
      <c r="AX41" s="1440"/>
      <c r="AY41" s="1440"/>
    </row>
    <row r="42" spans="1:51" s="340" customFormat="1" ht="16.5" customHeight="1">
      <c r="A42" s="351"/>
      <c r="B42" s="343"/>
      <c r="C42" s="382" t="s">
        <v>37</v>
      </c>
      <c r="D42" s="358" t="s">
        <v>115</v>
      </c>
      <c r="E42" s="1282"/>
      <c r="F42" s="1265" t="s">
        <v>391</v>
      </c>
      <c r="G42" s="1403">
        <v>0.21</v>
      </c>
      <c r="H42" s="359"/>
      <c r="I42" s="331"/>
      <c r="J42" s="1076">
        <v>96</v>
      </c>
      <c r="K42" s="1077">
        <v>96</v>
      </c>
      <c r="L42" s="399"/>
      <c r="M42" s="1076">
        <f t="shared" si="2"/>
        <v>96</v>
      </c>
      <c r="N42" s="1078">
        <f t="shared" si="2"/>
        <v>96</v>
      </c>
      <c r="O42" s="1078">
        <f t="shared" si="3"/>
        <v>96</v>
      </c>
      <c r="P42" s="1077">
        <f t="shared" si="3"/>
        <v>96</v>
      </c>
      <c r="Q42" s="399"/>
      <c r="R42" s="1076">
        <v>96</v>
      </c>
      <c r="S42" s="1078">
        <v>96</v>
      </c>
      <c r="T42" s="1078">
        <v>96</v>
      </c>
      <c r="U42" s="1077">
        <v>96</v>
      </c>
      <c r="V42" s="399"/>
      <c r="W42" s="1076">
        <v>96</v>
      </c>
      <c r="X42" s="1077">
        <v>96</v>
      </c>
      <c r="Y42" s="399"/>
      <c r="Z42" s="1076">
        <v>96</v>
      </c>
      <c r="AA42" s="1079"/>
      <c r="AB42" s="1080"/>
      <c r="AC42" s="1080"/>
      <c r="AD42" s="1080"/>
      <c r="AE42" s="1080"/>
      <c r="AF42" s="1080"/>
      <c r="AG42" s="1080"/>
      <c r="AH42" s="1080"/>
      <c r="AI42" s="1080"/>
      <c r="AJ42" s="1080"/>
      <c r="AK42" s="1081">
        <v>96</v>
      </c>
      <c r="AL42" s="399"/>
      <c r="AM42" s="1076">
        <v>96</v>
      </c>
      <c r="AN42" s="1077">
        <v>96</v>
      </c>
      <c r="AO42" s="1082">
        <v>96</v>
      </c>
      <c r="AP42" s="1077">
        <v>96</v>
      </c>
      <c r="AQ42" s="400"/>
      <c r="AR42" s="1076">
        <v>72</v>
      </c>
      <c r="AS42" s="1078"/>
      <c r="AT42" s="1082">
        <f>AR42</f>
        <v>72</v>
      </c>
      <c r="AU42" s="1077">
        <f>AR42</f>
        <v>72</v>
      </c>
      <c r="AW42" s="1440"/>
      <c r="AX42" s="1440"/>
      <c r="AY42" s="1440"/>
    </row>
    <row r="43" spans="1:51" s="385" customFormat="1" ht="16.5" customHeight="1">
      <c r="A43" s="383"/>
      <c r="B43" s="384"/>
      <c r="C43" s="382" t="s">
        <v>38</v>
      </c>
      <c r="D43" s="358" t="s">
        <v>115</v>
      </c>
      <c r="E43" s="1282"/>
      <c r="F43" s="1265" t="s">
        <v>391</v>
      </c>
      <c r="G43" s="1403">
        <v>0.21</v>
      </c>
      <c r="H43" s="359"/>
      <c r="I43" s="331"/>
      <c r="J43" s="1076">
        <v>4.2</v>
      </c>
      <c r="K43" s="1077">
        <v>4.2</v>
      </c>
      <c r="L43" s="399"/>
      <c r="M43" s="1076">
        <f t="shared" si="2"/>
        <v>4.2</v>
      </c>
      <c r="N43" s="1078">
        <f t="shared" si="2"/>
        <v>4.2</v>
      </c>
      <c r="O43" s="1078">
        <f t="shared" si="3"/>
        <v>4.2</v>
      </c>
      <c r="P43" s="1077">
        <f t="shared" si="3"/>
        <v>4.2</v>
      </c>
      <c r="Q43" s="399"/>
      <c r="R43" s="1076">
        <v>4.2</v>
      </c>
      <c r="S43" s="1078">
        <v>4.2</v>
      </c>
      <c r="T43" s="1078">
        <v>4.2</v>
      </c>
      <c r="U43" s="1077">
        <v>4.2</v>
      </c>
      <c r="V43" s="399"/>
      <c r="W43" s="1076">
        <v>4.2</v>
      </c>
      <c r="X43" s="1077">
        <v>4.2</v>
      </c>
      <c r="Y43" s="399"/>
      <c r="Z43" s="1076">
        <v>4.2</v>
      </c>
      <c r="AA43" s="1079"/>
      <c r="AB43" s="1080"/>
      <c r="AC43" s="1080"/>
      <c r="AD43" s="1080"/>
      <c r="AE43" s="1080"/>
      <c r="AF43" s="1080"/>
      <c r="AG43" s="1080"/>
      <c r="AH43" s="1080"/>
      <c r="AI43" s="1080"/>
      <c r="AJ43" s="1080"/>
      <c r="AK43" s="1081">
        <v>4.2</v>
      </c>
      <c r="AL43" s="399"/>
      <c r="AM43" s="1076">
        <v>4.2</v>
      </c>
      <c r="AN43" s="1077">
        <v>4.2</v>
      </c>
      <c r="AO43" s="1082">
        <v>4.2</v>
      </c>
      <c r="AP43" s="1077">
        <v>4.2</v>
      </c>
      <c r="AQ43" s="1083"/>
      <c r="AR43" s="1076">
        <v>3.15</v>
      </c>
      <c r="AS43" s="1078"/>
      <c r="AT43" s="1082">
        <f>AR43</f>
        <v>3.15</v>
      </c>
      <c r="AU43" s="1077">
        <f>AR43</f>
        <v>3.15</v>
      </c>
      <c r="AW43" s="1440"/>
      <c r="AX43" s="1440"/>
      <c r="AY43" s="1440"/>
    </row>
    <row r="44" spans="1:51" s="385" customFormat="1" ht="16.5" customHeight="1">
      <c r="A44" s="383"/>
      <c r="B44" s="384"/>
      <c r="C44" s="382"/>
      <c r="D44" s="354"/>
      <c r="E44" s="349"/>
      <c r="F44" s="349"/>
      <c r="G44" s="1405"/>
      <c r="H44" s="386"/>
      <c r="I44" s="331"/>
      <c r="J44" s="1084"/>
      <c r="K44" s="1085"/>
      <c r="L44" s="1071"/>
      <c r="M44" s="1086"/>
      <c r="N44" s="1087"/>
      <c r="O44" s="1063"/>
      <c r="P44" s="1064"/>
      <c r="Q44" s="1071"/>
      <c r="R44" s="1086"/>
      <c r="S44" s="1087"/>
      <c r="T44" s="1063"/>
      <c r="U44" s="1064"/>
      <c r="V44" s="1071"/>
      <c r="W44" s="1086"/>
      <c r="X44" s="1064"/>
      <c r="Y44" s="1071"/>
      <c r="Z44" s="1065"/>
      <c r="AA44" s="1066"/>
      <c r="AB44" s="1067"/>
      <c r="AC44" s="1067"/>
      <c r="AD44" s="1067"/>
      <c r="AE44" s="1067"/>
      <c r="AF44" s="1067"/>
      <c r="AG44" s="1067"/>
      <c r="AH44" s="1067"/>
      <c r="AI44" s="1067"/>
      <c r="AJ44" s="1067"/>
      <c r="AK44" s="1088"/>
      <c r="AL44" s="1071"/>
      <c r="AM44" s="1065"/>
      <c r="AN44" s="1064"/>
      <c r="AO44" s="1089"/>
      <c r="AP44" s="1064"/>
      <c r="AQ44" s="1083"/>
      <c r="AR44" s="1065"/>
      <c r="AS44" s="1087"/>
      <c r="AT44" s="1089"/>
      <c r="AU44" s="1064"/>
      <c r="AW44" s="1440"/>
      <c r="AX44" s="1440"/>
      <c r="AY44" s="1440"/>
    </row>
    <row r="45" spans="1:51" s="374" customFormat="1" ht="16.5" customHeight="1">
      <c r="A45" s="341" t="s">
        <v>39</v>
      </c>
      <c r="B45" s="343" t="s">
        <v>40</v>
      </c>
      <c r="C45" s="343"/>
      <c r="D45" s="358"/>
      <c r="E45" s="1273"/>
      <c r="F45" s="1273"/>
      <c r="G45" s="1406"/>
      <c r="H45" s="390"/>
      <c r="I45" s="350"/>
      <c r="J45" s="1090"/>
      <c r="K45" s="1091"/>
      <c r="L45" s="1051"/>
      <c r="M45" s="1090"/>
      <c r="N45" s="1092"/>
      <c r="O45" s="1092"/>
      <c r="P45" s="1091"/>
      <c r="Q45" s="1051"/>
      <c r="R45" s="1090"/>
      <c r="S45" s="1092"/>
      <c r="T45" s="1092"/>
      <c r="U45" s="1091"/>
      <c r="V45" s="1051"/>
      <c r="W45" s="1090"/>
      <c r="X45" s="1091"/>
      <c r="Y45" s="1051"/>
      <c r="Z45" s="1090"/>
      <c r="AA45" s="1093"/>
      <c r="AB45" s="1094"/>
      <c r="AC45" s="1094"/>
      <c r="AD45" s="1094"/>
      <c r="AE45" s="1094"/>
      <c r="AF45" s="1094"/>
      <c r="AG45" s="1094"/>
      <c r="AH45" s="1094"/>
      <c r="AI45" s="1094"/>
      <c r="AJ45" s="1094"/>
      <c r="AK45" s="1095"/>
      <c r="AL45" s="1051"/>
      <c r="AM45" s="1090"/>
      <c r="AN45" s="1091"/>
      <c r="AO45" s="1096"/>
      <c r="AP45" s="1091"/>
      <c r="AQ45" s="1072"/>
      <c r="AR45" s="1090"/>
      <c r="AS45" s="1092"/>
      <c r="AT45" s="1096"/>
      <c r="AU45" s="1091"/>
      <c r="AW45" s="1440"/>
      <c r="AX45" s="1440"/>
      <c r="AY45" s="1440"/>
    </row>
    <row r="46" spans="1:51" s="340" customFormat="1" ht="16.5" customHeight="1">
      <c r="A46" s="351"/>
      <c r="B46" s="343"/>
      <c r="C46" s="361" t="s">
        <v>51</v>
      </c>
      <c r="D46" s="358" t="s">
        <v>114</v>
      </c>
      <c r="E46" s="1265"/>
      <c r="F46" s="1265" t="s">
        <v>392</v>
      </c>
      <c r="G46" s="1403">
        <v>0.21</v>
      </c>
      <c r="H46" s="330"/>
      <c r="I46" s="331"/>
      <c r="J46" s="1033">
        <v>2.4479999999999999E-4</v>
      </c>
      <c r="K46" s="1034">
        <f>J46</f>
        <v>2.4479999999999999E-4</v>
      </c>
      <c r="L46" s="399"/>
      <c r="M46" s="1033">
        <f>J46</f>
        <v>2.4479999999999999E-4</v>
      </c>
      <c r="N46" s="1035">
        <f>K46</f>
        <v>2.4479999999999999E-4</v>
      </c>
      <c r="O46" s="1035">
        <f t="shared" ref="O46:P48" si="4">R46</f>
        <v>6.8701999999999999E-3</v>
      </c>
      <c r="P46" s="1034">
        <f t="shared" si="4"/>
        <v>6.8701999999999999E-3</v>
      </c>
      <c r="Q46" s="399"/>
      <c r="R46" s="1033">
        <v>6.8701999999999999E-3</v>
      </c>
      <c r="S46" s="1035">
        <f>R46</f>
        <v>6.8701999999999999E-3</v>
      </c>
      <c r="T46" s="1033">
        <v>6.8701999999999999E-3</v>
      </c>
      <c r="U46" s="1034">
        <f>T46</f>
        <v>6.8701999999999999E-3</v>
      </c>
      <c r="V46" s="399"/>
      <c r="W46" s="1033">
        <v>1.2991900000000001E-2</v>
      </c>
      <c r="X46" s="1034">
        <v>1.2991900000000001E-2</v>
      </c>
      <c r="Y46" s="399"/>
      <c r="Z46" s="1033">
        <v>4.5334399999999997E-2</v>
      </c>
      <c r="AA46" s="1036"/>
      <c r="AB46" s="1037"/>
      <c r="AC46" s="1037"/>
      <c r="AD46" s="1037"/>
      <c r="AE46" s="1037"/>
      <c r="AF46" s="1037"/>
      <c r="AG46" s="1037"/>
      <c r="AH46" s="1037"/>
      <c r="AI46" s="1037"/>
      <c r="AJ46" s="1037"/>
      <c r="AK46" s="1038">
        <v>4.5334399999999997E-2</v>
      </c>
      <c r="AL46" s="399"/>
      <c r="AM46" s="1033">
        <f>W46</f>
        <v>1.2991900000000001E-2</v>
      </c>
      <c r="AN46" s="1034">
        <f>Z46</f>
        <v>4.5334399999999997E-2</v>
      </c>
      <c r="AO46" s="1039">
        <f>X46</f>
        <v>1.2991900000000001E-2</v>
      </c>
      <c r="AP46" s="1034">
        <f>AK46</f>
        <v>4.5334399999999997E-2</v>
      </c>
      <c r="AQ46" s="400"/>
      <c r="AR46" s="1033">
        <v>1.8359999999999999E-4</v>
      </c>
      <c r="AS46" s="1035"/>
      <c r="AT46" s="1039">
        <f>ROUND(R46*0.75,7)</f>
        <v>5.1526999999999996E-3</v>
      </c>
      <c r="AU46" s="1034">
        <v>3.4000799999999998E-2</v>
      </c>
      <c r="AW46" s="1440"/>
      <c r="AX46" s="1440"/>
      <c r="AY46" s="1440"/>
    </row>
    <row r="47" spans="1:51" s="340" customFormat="1" ht="16.5" customHeight="1">
      <c r="A47" s="351"/>
      <c r="B47" s="343"/>
      <c r="C47" s="361" t="s">
        <v>52</v>
      </c>
      <c r="D47" s="358" t="s">
        <v>114</v>
      </c>
      <c r="E47" s="1265"/>
      <c r="F47" s="1265" t="s">
        <v>392</v>
      </c>
      <c r="G47" s="1403">
        <v>0.21</v>
      </c>
      <c r="H47" s="330"/>
      <c r="I47" s="331"/>
      <c r="J47" s="1033">
        <f>J46</f>
        <v>2.4479999999999999E-4</v>
      </c>
      <c r="K47" s="1034">
        <f>J47</f>
        <v>2.4479999999999999E-4</v>
      </c>
      <c r="L47" s="399"/>
      <c r="M47" s="1033">
        <f>J47</f>
        <v>2.4479999999999999E-4</v>
      </c>
      <c r="N47" s="1035">
        <f>K47</f>
        <v>2.4479999999999999E-4</v>
      </c>
      <c r="O47" s="1035">
        <f t="shared" si="4"/>
        <v>6.8701999999999999E-3</v>
      </c>
      <c r="P47" s="1034">
        <f t="shared" si="4"/>
        <v>6.8701999999999999E-3</v>
      </c>
      <c r="Q47" s="399"/>
      <c r="R47" s="1033">
        <f>R46</f>
        <v>6.8701999999999999E-3</v>
      </c>
      <c r="S47" s="1035">
        <f>R47</f>
        <v>6.8701999999999999E-3</v>
      </c>
      <c r="T47" s="1035">
        <v>6.8701999999999999E-3</v>
      </c>
      <c r="U47" s="1034">
        <f>T47</f>
        <v>6.8701999999999999E-3</v>
      </c>
      <c r="V47" s="399"/>
      <c r="W47" s="1033">
        <f>W46</f>
        <v>1.2991900000000001E-2</v>
      </c>
      <c r="X47" s="1034">
        <v>1.2991900000000001E-2</v>
      </c>
      <c r="Y47" s="399"/>
      <c r="Z47" s="1033">
        <f>Z46</f>
        <v>4.5334399999999997E-2</v>
      </c>
      <c r="AA47" s="1036"/>
      <c r="AB47" s="1037"/>
      <c r="AC47" s="1037"/>
      <c r="AD47" s="1037"/>
      <c r="AE47" s="1037"/>
      <c r="AF47" s="1037"/>
      <c r="AG47" s="1037"/>
      <c r="AH47" s="1037"/>
      <c r="AI47" s="1037"/>
      <c r="AJ47" s="1037"/>
      <c r="AK47" s="1038">
        <v>4.5334399999999997E-2</v>
      </c>
      <c r="AL47" s="399"/>
      <c r="AM47" s="1033">
        <f>W47</f>
        <v>1.2991900000000001E-2</v>
      </c>
      <c r="AN47" s="1034">
        <f>Z47</f>
        <v>4.5334399999999997E-2</v>
      </c>
      <c r="AO47" s="1039">
        <f>X47</f>
        <v>1.2991900000000001E-2</v>
      </c>
      <c r="AP47" s="1034">
        <f>AK47</f>
        <v>4.5334399999999997E-2</v>
      </c>
      <c r="AQ47" s="400"/>
      <c r="AR47" s="1033">
        <f>AR46</f>
        <v>1.8359999999999999E-4</v>
      </c>
      <c r="AS47" s="1035"/>
      <c r="AT47" s="1039">
        <f>ROUND(R47*0.75,7)</f>
        <v>5.1526999999999996E-3</v>
      </c>
      <c r="AU47" s="1034">
        <f>AU46</f>
        <v>3.4000799999999998E-2</v>
      </c>
      <c r="AW47" s="1440"/>
      <c r="AX47" s="1440"/>
      <c r="AY47" s="1440"/>
    </row>
    <row r="48" spans="1:51" s="340" customFormat="1" ht="16.5" customHeight="1">
      <c r="A48" s="351"/>
      <c r="B48" s="343"/>
      <c r="C48" s="361" t="s">
        <v>53</v>
      </c>
      <c r="D48" s="358" t="s">
        <v>114</v>
      </c>
      <c r="E48" s="1265"/>
      <c r="F48" s="1265" t="s">
        <v>392</v>
      </c>
      <c r="G48" s="1403">
        <v>0.21</v>
      </c>
      <c r="H48" s="330"/>
      <c r="I48" s="331"/>
      <c r="J48" s="1568"/>
      <c r="K48" s="1569"/>
      <c r="L48" s="399"/>
      <c r="M48" s="1568"/>
      <c r="N48" s="1570"/>
      <c r="O48" s="1035">
        <f t="shared" si="4"/>
        <v>1.7175999999999999E-3</v>
      </c>
      <c r="P48" s="1034">
        <f t="shared" si="4"/>
        <v>1.7175999999999999E-3</v>
      </c>
      <c r="Q48" s="399"/>
      <c r="R48" s="1033">
        <f>ROUND(R46*0.25,7)</f>
        <v>1.7175999999999999E-3</v>
      </c>
      <c r="S48" s="1035">
        <f>R48</f>
        <v>1.7175999999999999E-3</v>
      </c>
      <c r="T48" s="1035">
        <f>ROUND(T46*0.25,7)</f>
        <v>1.7175999999999999E-3</v>
      </c>
      <c r="U48" s="1034">
        <f>T48</f>
        <v>1.7175999999999999E-3</v>
      </c>
      <c r="V48" s="399"/>
      <c r="W48" s="1033">
        <f>ROUND(W46*0.25,7)</f>
        <v>3.248E-3</v>
      </c>
      <c r="X48" s="1034">
        <v>3.248E-3</v>
      </c>
      <c r="Y48" s="399"/>
      <c r="Z48" s="1033">
        <f>AK48</f>
        <v>1.1333599999999999E-2</v>
      </c>
      <c r="AA48" s="1036"/>
      <c r="AB48" s="1037"/>
      <c r="AC48" s="1037"/>
      <c r="AD48" s="1037"/>
      <c r="AE48" s="1037"/>
      <c r="AF48" s="1037"/>
      <c r="AG48" s="1037"/>
      <c r="AH48" s="1037"/>
      <c r="AI48" s="1037"/>
      <c r="AJ48" s="1037"/>
      <c r="AK48" s="1038">
        <v>1.1333599999999999E-2</v>
      </c>
      <c r="AL48" s="399"/>
      <c r="AM48" s="1033">
        <f>W48</f>
        <v>3.248E-3</v>
      </c>
      <c r="AN48" s="1034">
        <f>Z48</f>
        <v>1.1333599999999999E-2</v>
      </c>
      <c r="AO48" s="1039">
        <f>X48</f>
        <v>3.248E-3</v>
      </c>
      <c r="AP48" s="1034">
        <f>AK48</f>
        <v>1.1333599999999999E-2</v>
      </c>
      <c r="AQ48" s="400"/>
      <c r="AR48" s="1412"/>
      <c r="AS48" s="1414"/>
      <c r="AT48" s="1419"/>
      <c r="AU48" s="1413"/>
      <c r="AW48" s="1440"/>
      <c r="AX48" s="1440"/>
      <c r="AY48" s="1440"/>
    </row>
    <row r="49" spans="1:52" s="340" customFormat="1" ht="16.5" customHeight="1">
      <c r="A49" s="351"/>
      <c r="B49" s="343"/>
      <c r="C49" s="353"/>
      <c r="D49" s="358"/>
      <c r="E49" s="1282"/>
      <c r="F49" s="1282"/>
      <c r="G49" s="1404"/>
      <c r="H49" s="359"/>
      <c r="I49" s="387"/>
      <c r="J49" s="1061"/>
      <c r="K49" s="1069"/>
      <c r="L49" s="1071"/>
      <c r="M49" s="1061"/>
      <c r="N49" s="1062"/>
      <c r="O49" s="1073"/>
      <c r="P49" s="1069"/>
      <c r="Q49" s="1071"/>
      <c r="R49" s="1061"/>
      <c r="S49" s="1062"/>
      <c r="T49" s="1073"/>
      <c r="U49" s="1069"/>
      <c r="V49" s="1071"/>
      <c r="W49" s="1061"/>
      <c r="X49" s="1069"/>
      <c r="Y49" s="1071"/>
      <c r="Z49" s="1059"/>
      <c r="AA49" s="1074"/>
      <c r="AB49" s="1075"/>
      <c r="AC49" s="1075"/>
      <c r="AD49" s="1075"/>
      <c r="AE49" s="1075"/>
      <c r="AF49" s="1075"/>
      <c r="AG49" s="1075"/>
      <c r="AH49" s="1075"/>
      <c r="AI49" s="1075"/>
      <c r="AJ49" s="1075"/>
      <c r="AK49" s="1060"/>
      <c r="AL49" s="1071"/>
      <c r="AM49" s="1059"/>
      <c r="AN49" s="1069"/>
      <c r="AO49" s="1070"/>
      <c r="AP49" s="1069"/>
      <c r="AQ49" s="400"/>
      <c r="AR49" s="1059"/>
      <c r="AS49" s="1062"/>
      <c r="AT49" s="1070"/>
      <c r="AU49" s="1069"/>
      <c r="AW49" s="1440"/>
      <c r="AX49" s="1440"/>
      <c r="AY49" s="1440"/>
    </row>
    <row r="50" spans="1:52" s="340" customFormat="1" ht="16.5" customHeight="1">
      <c r="A50" s="341" t="s">
        <v>41</v>
      </c>
      <c r="B50" s="343" t="s">
        <v>42</v>
      </c>
      <c r="C50" s="343"/>
      <c r="D50" s="388"/>
      <c r="E50" s="389"/>
      <c r="F50" s="389"/>
      <c r="G50" s="1407"/>
      <c r="H50" s="390"/>
      <c r="I50" s="331"/>
      <c r="J50" s="1086"/>
      <c r="K50" s="1064"/>
      <c r="L50" s="1071"/>
      <c r="M50" s="1086"/>
      <c r="N50" s="1087"/>
      <c r="O50" s="1063"/>
      <c r="P50" s="1064"/>
      <c r="Q50" s="1071"/>
      <c r="R50" s="1086"/>
      <c r="S50" s="1087"/>
      <c r="T50" s="1063"/>
      <c r="U50" s="1064"/>
      <c r="V50" s="1071"/>
      <c r="W50" s="1086"/>
      <c r="X50" s="1064"/>
      <c r="Y50" s="1071"/>
      <c r="Z50" s="1065"/>
      <c r="AA50" s="1066"/>
      <c r="AB50" s="1067"/>
      <c r="AC50" s="1067"/>
      <c r="AD50" s="1067"/>
      <c r="AE50" s="1067"/>
      <c r="AF50" s="1067"/>
      <c r="AG50" s="1067"/>
      <c r="AH50" s="1067"/>
      <c r="AI50" s="1067"/>
      <c r="AJ50" s="1067"/>
      <c r="AK50" s="1068"/>
      <c r="AL50" s="1071"/>
      <c r="AM50" s="1065"/>
      <c r="AN50" s="1064"/>
      <c r="AO50" s="1089"/>
      <c r="AP50" s="1064"/>
      <c r="AQ50" s="400"/>
      <c r="AR50" s="1065"/>
      <c r="AS50" s="1087"/>
      <c r="AT50" s="1089"/>
      <c r="AU50" s="1064"/>
      <c r="AW50" s="1440"/>
      <c r="AX50" s="1440"/>
      <c r="AY50" s="1440"/>
    </row>
    <row r="51" spans="1:52" s="340" customFormat="1" ht="16.5" customHeight="1">
      <c r="A51" s="351"/>
      <c r="B51" s="343" t="s">
        <v>95</v>
      </c>
      <c r="C51" s="343" t="s">
        <v>43</v>
      </c>
      <c r="D51" s="358" t="s">
        <v>114</v>
      </c>
      <c r="E51" s="1265"/>
      <c r="F51" s="1265" t="s">
        <v>393</v>
      </c>
      <c r="G51" s="1403">
        <v>0.21</v>
      </c>
      <c r="H51" s="357"/>
      <c r="I51" s="387"/>
      <c r="J51" s="1033">
        <v>0</v>
      </c>
      <c r="K51" s="1034">
        <f>J51</f>
        <v>0</v>
      </c>
      <c r="L51" s="399"/>
      <c r="M51" s="1033">
        <f>J51</f>
        <v>0</v>
      </c>
      <c r="N51" s="1035">
        <f>K51</f>
        <v>0</v>
      </c>
      <c r="O51" s="1035">
        <f>R51</f>
        <v>4.8690000000000002E-4</v>
      </c>
      <c r="P51" s="1034">
        <f>S51</f>
        <v>4.8690000000000002E-4</v>
      </c>
      <c r="Q51" s="399"/>
      <c r="R51" s="1033">
        <v>4.8690000000000002E-4</v>
      </c>
      <c r="S51" s="1035">
        <f>R51</f>
        <v>4.8690000000000002E-4</v>
      </c>
      <c r="T51" s="1035">
        <v>4.8690000000000002E-4</v>
      </c>
      <c r="U51" s="1034">
        <f>T51</f>
        <v>4.8690000000000002E-4</v>
      </c>
      <c r="V51" s="399"/>
      <c r="W51" s="1033">
        <v>1.5483999999999999E-3</v>
      </c>
      <c r="X51" s="1034">
        <v>1.5483999999999999E-3</v>
      </c>
      <c r="Y51" s="399"/>
      <c r="Z51" s="1033">
        <v>1.7907000000000001E-3</v>
      </c>
      <c r="AA51" s="1036"/>
      <c r="AB51" s="1037"/>
      <c r="AC51" s="1037"/>
      <c r="AD51" s="1037"/>
      <c r="AE51" s="1037"/>
      <c r="AF51" s="1037"/>
      <c r="AG51" s="1037"/>
      <c r="AH51" s="1037"/>
      <c r="AI51" s="1037"/>
      <c r="AJ51" s="1037"/>
      <c r="AK51" s="1038">
        <v>1.7907000000000001E-3</v>
      </c>
      <c r="AL51" s="399"/>
      <c r="AM51" s="1033">
        <f>W51</f>
        <v>1.5483999999999999E-3</v>
      </c>
      <c r="AN51" s="1034">
        <f>Z51</f>
        <v>1.7907000000000001E-3</v>
      </c>
      <c r="AO51" s="1039">
        <f>X51</f>
        <v>1.5483999999999999E-3</v>
      </c>
      <c r="AP51" s="1034">
        <f>AK51</f>
        <v>1.7907000000000001E-3</v>
      </c>
      <c r="AQ51" s="400"/>
      <c r="AR51" s="1033">
        <v>0</v>
      </c>
      <c r="AS51" s="1035"/>
      <c r="AT51" s="1039">
        <v>3.6519999999999999E-4</v>
      </c>
      <c r="AU51" s="1034">
        <v>1.343E-3</v>
      </c>
      <c r="AW51" s="1440"/>
      <c r="AX51" s="1440"/>
      <c r="AY51" s="1440"/>
    </row>
    <row r="52" spans="1:52" s="340" customFormat="1" ht="16.5" customHeight="1">
      <c r="A52" s="351"/>
      <c r="B52" s="343"/>
      <c r="C52" s="343"/>
      <c r="D52" s="358"/>
      <c r="E52" s="1282"/>
      <c r="F52" s="1282"/>
      <c r="G52" s="1404"/>
      <c r="H52" s="359"/>
      <c r="I52" s="387"/>
      <c r="J52" s="364"/>
      <c r="K52" s="381"/>
      <c r="L52" s="375"/>
      <c r="M52" s="364"/>
      <c r="N52" s="365"/>
      <c r="O52" s="380"/>
      <c r="P52" s="381"/>
      <c r="Q52" s="375"/>
      <c r="R52" s="364"/>
      <c r="S52" s="365"/>
      <c r="T52" s="380"/>
      <c r="U52" s="381"/>
      <c r="V52" s="375"/>
      <c r="W52" s="364"/>
      <c r="X52" s="381"/>
      <c r="Y52" s="375"/>
      <c r="Z52" s="362"/>
      <c r="AA52" s="378"/>
      <c r="AB52" s="379"/>
      <c r="AC52" s="379"/>
      <c r="AD52" s="379"/>
      <c r="AE52" s="379"/>
      <c r="AF52" s="379"/>
      <c r="AG52" s="379"/>
      <c r="AH52" s="379"/>
      <c r="AI52" s="379"/>
      <c r="AJ52" s="379"/>
      <c r="AK52" s="363"/>
      <c r="AL52" s="375"/>
      <c r="AM52" s="362"/>
      <c r="AN52" s="381"/>
      <c r="AO52" s="939"/>
      <c r="AP52" s="381"/>
      <c r="AR52" s="362"/>
      <c r="AS52" s="365"/>
      <c r="AT52" s="939"/>
      <c r="AU52" s="381"/>
      <c r="AW52" s="1440"/>
      <c r="AX52" s="1440"/>
      <c r="AY52" s="1440"/>
    </row>
    <row r="53" spans="1:52" s="340" customFormat="1" ht="16.5" customHeight="1">
      <c r="A53" s="351"/>
      <c r="B53" s="343" t="s">
        <v>96</v>
      </c>
      <c r="C53" s="343" t="s">
        <v>44</v>
      </c>
      <c r="D53" s="388"/>
      <c r="E53" s="1282"/>
      <c r="F53" s="1282"/>
      <c r="G53" s="1404"/>
      <c r="H53" s="390"/>
      <c r="I53" s="331"/>
      <c r="J53" s="376"/>
      <c r="K53" s="367"/>
      <c r="L53" s="375"/>
      <c r="M53" s="376"/>
      <c r="N53" s="377"/>
      <c r="O53" s="366"/>
      <c r="P53" s="367"/>
      <c r="Q53" s="375"/>
      <c r="R53" s="376"/>
      <c r="S53" s="377"/>
      <c r="T53" s="366"/>
      <c r="U53" s="367"/>
      <c r="V53" s="375"/>
      <c r="W53" s="376"/>
      <c r="X53" s="367"/>
      <c r="Y53" s="375"/>
      <c r="Z53" s="368"/>
      <c r="AA53" s="369"/>
      <c r="AB53" s="370"/>
      <c r="AC53" s="370"/>
      <c r="AD53" s="370"/>
      <c r="AE53" s="370"/>
      <c r="AF53" s="370"/>
      <c r="AG53" s="370"/>
      <c r="AH53" s="370"/>
      <c r="AI53" s="370"/>
      <c r="AJ53" s="370"/>
      <c r="AK53" s="371"/>
      <c r="AL53" s="375"/>
      <c r="AM53" s="368"/>
      <c r="AN53" s="367"/>
      <c r="AO53" s="940"/>
      <c r="AP53" s="367"/>
      <c r="AR53" s="368"/>
      <c r="AS53" s="377"/>
      <c r="AT53" s="940"/>
      <c r="AU53" s="367"/>
      <c r="AW53" s="1440"/>
      <c r="AX53" s="1440"/>
      <c r="AY53" s="1440"/>
    </row>
    <row r="54" spans="1:52" s="340" customFormat="1" ht="16.5" customHeight="1">
      <c r="A54" s="351"/>
      <c r="B54" s="343"/>
      <c r="C54" s="353" t="s">
        <v>129</v>
      </c>
      <c r="D54" s="388"/>
      <c r="E54" s="1265"/>
      <c r="F54" s="1265"/>
      <c r="G54" s="1403"/>
      <c r="H54" s="390"/>
      <c r="I54" s="331"/>
      <c r="J54" s="1033">
        <v>0.32900000000000001</v>
      </c>
      <c r="K54" s="1034">
        <v>0.32900000000000001</v>
      </c>
      <c r="L54" s="399"/>
      <c r="M54" s="1033">
        <f>J54</f>
        <v>0.32900000000000001</v>
      </c>
      <c r="N54" s="1035">
        <f>K54</f>
        <v>0.32900000000000001</v>
      </c>
      <c r="O54" s="1035">
        <f>R54</f>
        <v>0.48399999999999999</v>
      </c>
      <c r="P54" s="1034">
        <f>S54</f>
        <v>0.48399999999999999</v>
      </c>
      <c r="Q54" s="399"/>
      <c r="R54" s="1033">
        <v>0.48399999999999999</v>
      </c>
      <c r="S54" s="1035">
        <v>0.48399999999999999</v>
      </c>
      <c r="T54" s="1035">
        <v>0.48399999999999999</v>
      </c>
      <c r="U54" s="1034">
        <v>0.48399999999999999</v>
      </c>
      <c r="V54" s="399"/>
      <c r="W54" s="1033">
        <v>0.48399999999999999</v>
      </c>
      <c r="X54" s="1034">
        <v>0.48399999999999999</v>
      </c>
      <c r="Y54" s="399"/>
      <c r="Z54" s="1033">
        <v>0.48399999999999999</v>
      </c>
      <c r="AA54" s="1036"/>
      <c r="AB54" s="1037"/>
      <c r="AC54" s="1037"/>
      <c r="AD54" s="1037"/>
      <c r="AE54" s="1037"/>
      <c r="AF54" s="1037"/>
      <c r="AG54" s="1037"/>
      <c r="AH54" s="1037"/>
      <c r="AI54" s="1037"/>
      <c r="AJ54" s="1037"/>
      <c r="AK54" s="1038">
        <v>0.48399999999999999</v>
      </c>
      <c r="AL54" s="399"/>
      <c r="AM54" s="1033">
        <v>0.48399999999999999</v>
      </c>
      <c r="AN54" s="1034">
        <v>0.48399999999999999</v>
      </c>
      <c r="AO54" s="1039">
        <v>0.48399999999999999</v>
      </c>
      <c r="AP54" s="1034">
        <v>0.48399999999999999</v>
      </c>
      <c r="AQ54" s="400"/>
      <c r="AR54" s="1033">
        <v>0.48399999999999999</v>
      </c>
      <c r="AS54" s="1035"/>
      <c r="AT54" s="1039">
        <v>0.48399999999999999</v>
      </c>
      <c r="AU54" s="1034">
        <v>0.48399999999999999</v>
      </c>
      <c r="AW54" s="1440"/>
      <c r="AX54" s="1440"/>
      <c r="AY54" s="1440"/>
    </row>
    <row r="55" spans="1:52" s="340" customFormat="1" ht="16.5" customHeight="1">
      <c r="A55" s="351"/>
      <c r="B55" s="353"/>
      <c r="C55" s="353" t="s">
        <v>112</v>
      </c>
      <c r="D55" s="358"/>
      <c r="E55" s="389"/>
      <c r="F55" s="389"/>
      <c r="G55" s="1406"/>
      <c r="H55" s="359"/>
      <c r="I55" s="331"/>
      <c r="J55" s="364"/>
      <c r="K55" s="381"/>
      <c r="L55" s="375"/>
      <c r="M55" s="364"/>
      <c r="N55" s="365"/>
      <c r="O55" s="380"/>
      <c r="P55" s="381"/>
      <c r="Q55" s="375"/>
      <c r="R55" s="364"/>
      <c r="S55" s="365"/>
      <c r="T55" s="380"/>
      <c r="U55" s="381"/>
      <c r="V55" s="375"/>
      <c r="W55" s="364"/>
      <c r="X55" s="381"/>
      <c r="Y55" s="375"/>
      <c r="Z55" s="362"/>
      <c r="AA55" s="378"/>
      <c r="AB55" s="379"/>
      <c r="AC55" s="379"/>
      <c r="AD55" s="379"/>
      <c r="AE55" s="379"/>
      <c r="AF55" s="379"/>
      <c r="AG55" s="379"/>
      <c r="AH55" s="379"/>
      <c r="AI55" s="379"/>
      <c r="AJ55" s="379"/>
      <c r="AK55" s="363"/>
      <c r="AL55" s="375"/>
      <c r="AM55" s="362"/>
      <c r="AN55" s="381"/>
      <c r="AO55" s="939"/>
      <c r="AP55" s="381"/>
      <c r="AR55" s="362"/>
      <c r="AS55" s="365"/>
      <c r="AT55" s="939"/>
      <c r="AU55" s="381"/>
      <c r="AW55" s="1440"/>
      <c r="AX55" s="1440"/>
      <c r="AY55" s="1440"/>
    </row>
    <row r="56" spans="1:52" s="340" customFormat="1" ht="16.5" customHeight="1">
      <c r="A56" s="351"/>
      <c r="B56" s="353"/>
      <c r="C56" s="391"/>
      <c r="D56" s="392" t="s">
        <v>116</v>
      </c>
      <c r="E56" s="1265"/>
      <c r="F56" s="1265" t="s">
        <v>394</v>
      </c>
      <c r="G56" s="1403">
        <v>0.21</v>
      </c>
      <c r="H56" s="357"/>
      <c r="I56" s="331"/>
      <c r="J56" s="1033">
        <v>1.7500000000000002E-2</v>
      </c>
      <c r="K56" s="1034">
        <f>J56</f>
        <v>1.7500000000000002E-2</v>
      </c>
      <c r="L56" s="399"/>
      <c r="M56" s="1033">
        <f>J56</f>
        <v>1.7500000000000002E-2</v>
      </c>
      <c r="N56" s="1035">
        <f>K56</f>
        <v>1.7500000000000002E-2</v>
      </c>
      <c r="O56" s="1035">
        <f>R56</f>
        <v>1.7500000000000002E-2</v>
      </c>
      <c r="P56" s="1034">
        <f>S56</f>
        <v>1.7500000000000002E-2</v>
      </c>
      <c r="Q56" s="399"/>
      <c r="R56" s="1033">
        <v>1.7500000000000002E-2</v>
      </c>
      <c r="S56" s="1035">
        <f>R56</f>
        <v>1.7500000000000002E-2</v>
      </c>
      <c r="T56" s="1035">
        <v>1.7500000000000002E-2</v>
      </c>
      <c r="U56" s="1034">
        <f>T56</f>
        <v>1.7500000000000002E-2</v>
      </c>
      <c r="V56" s="399"/>
      <c r="W56" s="1033">
        <v>1.7500000000000002E-2</v>
      </c>
      <c r="X56" s="1034">
        <v>1.7500000000000002E-2</v>
      </c>
      <c r="Y56" s="399"/>
      <c r="Z56" s="1033">
        <v>1.7500000000000002E-2</v>
      </c>
      <c r="AA56" s="1036"/>
      <c r="AB56" s="1037"/>
      <c r="AC56" s="1037"/>
      <c r="AD56" s="1037"/>
      <c r="AE56" s="1037"/>
      <c r="AF56" s="1037"/>
      <c r="AG56" s="1037"/>
      <c r="AH56" s="1037"/>
      <c r="AI56" s="1037"/>
      <c r="AJ56" s="1037"/>
      <c r="AK56" s="1038">
        <v>1.7500000000000002E-2</v>
      </c>
      <c r="AL56" s="399"/>
      <c r="AM56" s="1033">
        <f>W56</f>
        <v>1.7500000000000002E-2</v>
      </c>
      <c r="AN56" s="1034">
        <f>Z56</f>
        <v>1.7500000000000002E-2</v>
      </c>
      <c r="AO56" s="1039">
        <f>X56</f>
        <v>1.7500000000000002E-2</v>
      </c>
      <c r="AP56" s="1034">
        <f>AK56</f>
        <v>1.7500000000000002E-2</v>
      </c>
      <c r="AQ56" s="400"/>
      <c r="AR56" s="1033">
        <f>ROUND(AM56*0.75,7)</f>
        <v>1.3125E-2</v>
      </c>
      <c r="AS56" s="1035"/>
      <c r="AT56" s="1039">
        <f>ROUND(AO56*0.75,7)</f>
        <v>1.3125E-2</v>
      </c>
      <c r="AU56" s="1034">
        <f>ROUND(AP56*0.75,7)</f>
        <v>1.3125E-2</v>
      </c>
      <c r="AW56" s="1440"/>
      <c r="AX56" s="1440"/>
      <c r="AY56" s="1440"/>
    </row>
    <row r="57" spans="1:52" s="374" customFormat="1" ht="16.5" customHeight="1">
      <c r="A57" s="372"/>
      <c r="B57" s="373"/>
      <c r="C57" s="948"/>
      <c r="D57" s="392"/>
      <c r="E57" s="1273"/>
      <c r="F57" s="1273"/>
      <c r="G57" s="1406"/>
      <c r="H57" s="357"/>
      <c r="I57" s="350"/>
      <c r="J57" s="949"/>
      <c r="K57" s="950"/>
      <c r="L57" s="350"/>
      <c r="M57" s="949"/>
      <c r="N57" s="951"/>
      <c r="O57" s="951"/>
      <c r="P57" s="950"/>
      <c r="Q57" s="350"/>
      <c r="R57" s="949"/>
      <c r="S57" s="951"/>
      <c r="T57" s="951"/>
      <c r="U57" s="950"/>
      <c r="V57" s="350"/>
      <c r="W57" s="949"/>
      <c r="X57" s="950"/>
      <c r="Y57" s="350"/>
      <c r="Z57" s="949"/>
      <c r="AA57" s="952"/>
      <c r="AB57" s="953"/>
      <c r="AC57" s="953"/>
      <c r="AD57" s="953"/>
      <c r="AE57" s="953"/>
      <c r="AF57" s="953"/>
      <c r="AG57" s="953"/>
      <c r="AH57" s="953"/>
      <c r="AI57" s="953"/>
      <c r="AJ57" s="953"/>
      <c r="AK57" s="954"/>
      <c r="AL57" s="350"/>
      <c r="AM57" s="949"/>
      <c r="AN57" s="950"/>
      <c r="AO57" s="955"/>
      <c r="AP57" s="950"/>
      <c r="AR57" s="949"/>
      <c r="AS57" s="951"/>
      <c r="AT57" s="955"/>
      <c r="AU57" s="950"/>
      <c r="AW57" s="1440"/>
      <c r="AX57" s="1440"/>
      <c r="AY57" s="1440"/>
    </row>
    <row r="58" spans="1:52" s="1234" customFormat="1" ht="19.5" customHeight="1">
      <c r="A58" s="1348"/>
      <c r="B58" s="1349" t="s">
        <v>281</v>
      </c>
      <c r="C58" s="1350" t="s">
        <v>282</v>
      </c>
      <c r="D58" s="1514" t="s">
        <v>114</v>
      </c>
      <c r="E58" s="1515"/>
      <c r="F58" s="1515"/>
      <c r="G58" s="1405"/>
      <c r="H58" s="355"/>
      <c r="I58" s="387"/>
      <c r="J58" s="1516"/>
      <c r="K58" s="1517"/>
      <c r="L58" s="331"/>
      <c r="M58" s="1516"/>
      <c r="N58" s="1518"/>
      <c r="O58" s="1518"/>
      <c r="P58" s="1517"/>
      <c r="Q58" s="331"/>
      <c r="R58" s="1516"/>
      <c r="S58" s="1518"/>
      <c r="T58" s="1518"/>
      <c r="U58" s="1517"/>
      <c r="V58" s="331"/>
      <c r="W58" s="1516"/>
      <c r="X58" s="1517"/>
      <c r="Y58" s="331"/>
      <c r="Z58" s="1516"/>
      <c r="AA58" s="1519"/>
      <c r="AB58" s="1520"/>
      <c r="AC58" s="1520"/>
      <c r="AD58" s="1520"/>
      <c r="AE58" s="1520"/>
      <c r="AF58" s="1520"/>
      <c r="AG58" s="1520"/>
      <c r="AH58" s="1520"/>
      <c r="AI58" s="1520"/>
      <c r="AJ58" s="1520"/>
      <c r="AK58" s="1521"/>
      <c r="AL58" s="331"/>
      <c r="AM58" s="1516"/>
      <c r="AN58" s="1517"/>
      <c r="AO58" s="1522"/>
      <c r="AP58" s="1517"/>
      <c r="AR58" s="1516"/>
      <c r="AS58" s="1518"/>
      <c r="AT58" s="1522"/>
      <c r="AU58" s="1517"/>
      <c r="AW58" s="1440"/>
      <c r="AX58" s="1440"/>
      <c r="AY58" s="1440"/>
    </row>
    <row r="59" spans="1:52" s="340" customFormat="1" ht="16.5" customHeight="1">
      <c r="A59" s="351"/>
      <c r="B59" s="353"/>
      <c r="C59" s="391"/>
      <c r="D59" s="393"/>
      <c r="E59" s="389"/>
      <c r="F59" s="389"/>
      <c r="G59" s="1406"/>
      <c r="H59" s="357"/>
      <c r="I59" s="331"/>
      <c r="J59" s="376"/>
      <c r="K59" s="367"/>
      <c r="L59" s="375"/>
      <c r="M59" s="376"/>
      <c r="N59" s="377"/>
      <c r="O59" s="366"/>
      <c r="P59" s="367"/>
      <c r="Q59" s="375"/>
      <c r="R59" s="376"/>
      <c r="S59" s="377"/>
      <c r="T59" s="366"/>
      <c r="U59" s="367"/>
      <c r="V59" s="375"/>
      <c r="W59" s="376"/>
      <c r="X59" s="367"/>
      <c r="Y59" s="375"/>
      <c r="Z59" s="368"/>
      <c r="AA59" s="369"/>
      <c r="AB59" s="370"/>
      <c r="AC59" s="370"/>
      <c r="AD59" s="370"/>
      <c r="AE59" s="370"/>
      <c r="AF59" s="370"/>
      <c r="AG59" s="370"/>
      <c r="AH59" s="370"/>
      <c r="AI59" s="370"/>
      <c r="AJ59" s="370"/>
      <c r="AK59" s="371"/>
      <c r="AL59" s="375"/>
      <c r="AM59" s="368"/>
      <c r="AN59" s="367"/>
      <c r="AO59" s="940"/>
      <c r="AP59" s="367"/>
      <c r="AR59" s="368"/>
      <c r="AS59" s="377"/>
      <c r="AT59" s="940"/>
      <c r="AU59" s="367"/>
      <c r="AW59" s="1440"/>
      <c r="AX59" s="1440"/>
      <c r="AY59" s="1440"/>
    </row>
    <row r="60" spans="1:52" s="340" customFormat="1" ht="16.5" customHeight="1">
      <c r="A60" s="341" t="s">
        <v>45</v>
      </c>
      <c r="B60" s="343" t="s">
        <v>46</v>
      </c>
      <c r="C60" s="343"/>
      <c r="D60" s="358" t="s">
        <v>114</v>
      </c>
      <c r="E60" s="1282"/>
      <c r="F60" s="1282"/>
      <c r="G60" s="1406"/>
      <c r="H60" s="357"/>
      <c r="I60" s="331"/>
      <c r="J60" s="376"/>
      <c r="K60" s="367"/>
      <c r="L60" s="375"/>
      <c r="M60" s="376"/>
      <c r="N60" s="377"/>
      <c r="O60" s="366"/>
      <c r="P60" s="367"/>
      <c r="Q60" s="375"/>
      <c r="R60" s="376"/>
      <c r="S60" s="377"/>
      <c r="T60" s="366"/>
      <c r="U60" s="367"/>
      <c r="V60" s="375"/>
      <c r="W60" s="376"/>
      <c r="X60" s="367"/>
      <c r="Y60" s="375"/>
      <c r="Z60" s="368"/>
      <c r="AA60" s="369"/>
      <c r="AB60" s="370"/>
      <c r="AC60" s="370"/>
      <c r="AD60" s="370"/>
      <c r="AE60" s="370"/>
      <c r="AF60" s="370"/>
      <c r="AG60" s="370"/>
      <c r="AH60" s="370"/>
      <c r="AI60" s="370"/>
      <c r="AJ60" s="370"/>
      <c r="AK60" s="371"/>
      <c r="AL60" s="375"/>
      <c r="AM60" s="368"/>
      <c r="AN60" s="367"/>
      <c r="AO60" s="940"/>
      <c r="AP60" s="367"/>
      <c r="AR60" s="368"/>
      <c r="AS60" s="377"/>
      <c r="AT60" s="940"/>
      <c r="AU60" s="367"/>
      <c r="AW60" s="1440"/>
      <c r="AX60" s="1440"/>
      <c r="AY60" s="1440"/>
    </row>
    <row r="61" spans="1:52" s="340" customFormat="1" ht="28.5" customHeight="1">
      <c r="A61" s="351"/>
      <c r="B61" s="394" t="s">
        <v>54</v>
      </c>
      <c r="C61" s="395" t="s">
        <v>56</v>
      </c>
      <c r="D61" s="1523"/>
      <c r="E61" s="1524"/>
      <c r="F61" s="1524"/>
      <c r="G61" s="1525"/>
      <c r="H61" s="1526"/>
      <c r="I61" s="398"/>
      <c r="J61" s="1412"/>
      <c r="K61" s="1413"/>
      <c r="L61" s="399"/>
      <c r="M61" s="1412"/>
      <c r="N61" s="1414"/>
      <c r="O61" s="1414"/>
      <c r="P61" s="1413"/>
      <c r="Q61" s="399"/>
      <c r="R61" s="1412"/>
      <c r="S61" s="1414"/>
      <c r="T61" s="1414"/>
      <c r="U61" s="1413"/>
      <c r="V61" s="399"/>
      <c r="W61" s="1412"/>
      <c r="X61" s="1413"/>
      <c r="Y61" s="399"/>
      <c r="Z61" s="1412"/>
      <c r="AA61" s="1527"/>
      <c r="AB61" s="1528"/>
      <c r="AC61" s="1528"/>
      <c r="AD61" s="1528"/>
      <c r="AE61" s="1528"/>
      <c r="AF61" s="1528"/>
      <c r="AG61" s="1528"/>
      <c r="AH61" s="1528"/>
      <c r="AI61" s="1528"/>
      <c r="AJ61" s="1528"/>
      <c r="AK61" s="1417"/>
      <c r="AL61" s="399"/>
      <c r="AM61" s="1412"/>
      <c r="AN61" s="1413"/>
      <c r="AO61" s="1419"/>
      <c r="AP61" s="1413"/>
      <c r="AQ61" s="400"/>
      <c r="AR61" s="1412"/>
      <c r="AS61" s="1414"/>
      <c r="AT61" s="1419"/>
      <c r="AU61" s="1413"/>
      <c r="AV61" s="400"/>
      <c r="AW61" s="1440"/>
      <c r="AX61" s="1440"/>
      <c r="AY61" s="1440"/>
      <c r="AZ61" s="400"/>
    </row>
    <row r="62" spans="1:52" s="403" customFormat="1">
      <c r="A62" s="401"/>
      <c r="B62" s="394" t="s">
        <v>55</v>
      </c>
      <c r="C62" s="402" t="s">
        <v>296</v>
      </c>
      <c r="D62" s="1523"/>
      <c r="E62" s="1524"/>
      <c r="F62" s="1524"/>
      <c r="G62" s="1525"/>
      <c r="H62" s="1526"/>
      <c r="I62" s="399"/>
      <c r="J62" s="1412"/>
      <c r="K62" s="1413"/>
      <c r="L62" s="399"/>
      <c r="M62" s="1412"/>
      <c r="N62" s="1414"/>
      <c r="O62" s="1414"/>
      <c r="P62" s="1413"/>
      <c r="Q62" s="399"/>
      <c r="R62" s="1412"/>
      <c r="S62" s="1414"/>
      <c r="T62" s="1414"/>
      <c r="U62" s="1413"/>
      <c r="V62" s="399"/>
      <c r="W62" s="1412"/>
      <c r="X62" s="1413"/>
      <c r="Y62" s="399"/>
      <c r="Z62" s="1412"/>
      <c r="AA62" s="1527"/>
      <c r="AB62" s="1528"/>
      <c r="AC62" s="1528"/>
      <c r="AD62" s="1528"/>
      <c r="AE62" s="1528"/>
      <c r="AF62" s="1528"/>
      <c r="AG62" s="1528"/>
      <c r="AH62" s="1528"/>
      <c r="AI62" s="1528"/>
      <c r="AJ62" s="1528"/>
      <c r="AK62" s="1417"/>
      <c r="AL62" s="399"/>
      <c r="AM62" s="1412"/>
      <c r="AN62" s="1413"/>
      <c r="AO62" s="1419"/>
      <c r="AP62" s="1413"/>
      <c r="AQ62" s="400"/>
      <c r="AR62" s="1412"/>
      <c r="AS62" s="1414"/>
      <c r="AT62" s="1419"/>
      <c r="AU62" s="1413"/>
      <c r="AV62" s="400"/>
      <c r="AW62" s="1440"/>
      <c r="AX62" s="1440"/>
      <c r="AY62" s="1440"/>
      <c r="AZ62" s="400"/>
    </row>
    <row r="63" spans="1:52" s="403" customFormat="1">
      <c r="A63" s="404"/>
      <c r="B63" s="394" t="s">
        <v>85</v>
      </c>
      <c r="C63" s="405" t="s">
        <v>58</v>
      </c>
      <c r="D63" s="1523"/>
      <c r="E63" s="1524"/>
      <c r="F63" s="1524"/>
      <c r="G63" s="1525"/>
      <c r="H63" s="1526"/>
      <c r="I63" s="399"/>
      <c r="J63" s="1412"/>
      <c r="K63" s="1413"/>
      <c r="L63" s="399"/>
      <c r="M63" s="1412"/>
      <c r="N63" s="1414"/>
      <c r="O63" s="1414"/>
      <c r="P63" s="1413"/>
      <c r="Q63" s="399"/>
      <c r="R63" s="1412"/>
      <c r="S63" s="1414"/>
      <c r="T63" s="1414"/>
      <c r="U63" s="1413"/>
      <c r="V63" s="399"/>
      <c r="W63" s="1412"/>
      <c r="X63" s="1413"/>
      <c r="Y63" s="399"/>
      <c r="Z63" s="1412"/>
      <c r="AA63" s="1527"/>
      <c r="AB63" s="1528"/>
      <c r="AC63" s="1528"/>
      <c r="AD63" s="1528"/>
      <c r="AE63" s="1528"/>
      <c r="AF63" s="1528"/>
      <c r="AG63" s="1528"/>
      <c r="AH63" s="1528"/>
      <c r="AI63" s="1528"/>
      <c r="AJ63" s="1528"/>
      <c r="AK63" s="1417"/>
      <c r="AL63" s="399"/>
      <c r="AM63" s="1412"/>
      <c r="AN63" s="1413"/>
      <c r="AO63" s="1419"/>
      <c r="AP63" s="1413"/>
      <c r="AQ63" s="400"/>
      <c r="AR63" s="1412"/>
      <c r="AS63" s="1414"/>
      <c r="AT63" s="1419"/>
      <c r="AU63" s="1413"/>
      <c r="AV63" s="400"/>
      <c r="AW63" s="1440"/>
      <c r="AX63" s="1440"/>
      <c r="AY63" s="1440"/>
      <c r="AZ63" s="400"/>
    </row>
    <row r="64" spans="1:52" s="403" customFormat="1">
      <c r="A64" s="404"/>
      <c r="B64" s="394" t="s">
        <v>59</v>
      </c>
      <c r="C64" s="405" t="s">
        <v>47</v>
      </c>
      <c r="D64" s="396"/>
      <c r="E64" s="1272"/>
      <c r="F64" s="1272" t="s">
        <v>395</v>
      </c>
      <c r="G64" s="1408">
        <v>0.21</v>
      </c>
      <c r="H64" s="397"/>
      <c r="I64" s="399"/>
      <c r="J64" s="1033">
        <v>2.0400000000000001E-5</v>
      </c>
      <c r="K64" s="1034">
        <f>J64</f>
        <v>2.0400000000000001E-5</v>
      </c>
      <c r="L64" s="399"/>
      <c r="M64" s="1033">
        <f>J64</f>
        <v>2.0400000000000001E-5</v>
      </c>
      <c r="N64" s="1035">
        <f>K64</f>
        <v>2.0400000000000001E-5</v>
      </c>
      <c r="O64" s="1035">
        <f>R64</f>
        <v>5.731E-4</v>
      </c>
      <c r="P64" s="1034">
        <f>S64</f>
        <v>5.731E-4</v>
      </c>
      <c r="Q64" s="399"/>
      <c r="R64" s="1033">
        <v>5.731E-4</v>
      </c>
      <c r="S64" s="1035">
        <f>R64</f>
        <v>5.731E-4</v>
      </c>
      <c r="T64" s="1035">
        <v>5.731E-4</v>
      </c>
      <c r="U64" s="1034">
        <f>T64</f>
        <v>5.731E-4</v>
      </c>
      <c r="V64" s="399"/>
      <c r="W64" s="1033">
        <v>9.923E-4</v>
      </c>
      <c r="X64" s="1034">
        <v>9.923E-4</v>
      </c>
      <c r="Y64" s="399"/>
      <c r="Z64" s="1033">
        <v>2.418E-3</v>
      </c>
      <c r="AA64" s="1036"/>
      <c r="AB64" s="1037"/>
      <c r="AC64" s="1037"/>
      <c r="AD64" s="1037"/>
      <c r="AE64" s="1037"/>
      <c r="AF64" s="1037"/>
      <c r="AG64" s="1037"/>
      <c r="AH64" s="1037"/>
      <c r="AI64" s="1037"/>
      <c r="AJ64" s="1037"/>
      <c r="AK64" s="1038">
        <v>2.418E-3</v>
      </c>
      <c r="AL64" s="399"/>
      <c r="AM64" s="1033">
        <f>W64</f>
        <v>9.923E-4</v>
      </c>
      <c r="AN64" s="1034">
        <f>Z64</f>
        <v>2.418E-3</v>
      </c>
      <c r="AO64" s="1039">
        <f>X64</f>
        <v>9.923E-4</v>
      </c>
      <c r="AP64" s="1034">
        <f>AK64</f>
        <v>2.418E-3</v>
      </c>
      <c r="AQ64" s="400"/>
      <c r="AR64" s="1033">
        <v>1.5299999999999999E-5</v>
      </c>
      <c r="AS64" s="1035"/>
      <c r="AT64" s="1039">
        <v>4.2979999999999998E-4</v>
      </c>
      <c r="AU64" s="1034">
        <v>1.8135E-3</v>
      </c>
      <c r="AV64" s="400"/>
      <c r="AW64" s="1440"/>
      <c r="AX64" s="1440"/>
      <c r="AY64" s="1440"/>
      <c r="AZ64" s="400"/>
    </row>
    <row r="65" spans="1:53" s="403" customFormat="1">
      <c r="A65" s="404"/>
      <c r="B65" s="394" t="s">
        <v>60</v>
      </c>
      <c r="C65" s="405" t="s">
        <v>294</v>
      </c>
      <c r="D65" s="1523"/>
      <c r="E65" s="1524"/>
      <c r="F65" s="1524"/>
      <c r="G65" s="1525"/>
      <c r="H65" s="1526"/>
      <c r="I65" s="399"/>
      <c r="J65" s="1412"/>
      <c r="K65" s="1413"/>
      <c r="L65" s="399"/>
      <c r="M65" s="1412"/>
      <c r="N65" s="1414"/>
      <c r="O65" s="1414"/>
      <c r="P65" s="1413"/>
      <c r="Q65" s="399"/>
      <c r="R65" s="1412"/>
      <c r="S65" s="1414"/>
      <c r="T65" s="1414"/>
      <c r="U65" s="1413"/>
      <c r="V65" s="399"/>
      <c r="W65" s="1412"/>
      <c r="X65" s="1413"/>
      <c r="Y65" s="399"/>
      <c r="Z65" s="1412"/>
      <c r="AA65" s="1527"/>
      <c r="AB65" s="1528"/>
      <c r="AC65" s="1528"/>
      <c r="AD65" s="1528"/>
      <c r="AE65" s="1528"/>
      <c r="AF65" s="1528"/>
      <c r="AG65" s="1528"/>
      <c r="AH65" s="1528"/>
      <c r="AI65" s="1528"/>
      <c r="AJ65" s="1528"/>
      <c r="AK65" s="1417"/>
      <c r="AL65" s="399"/>
      <c r="AM65" s="1412"/>
      <c r="AN65" s="1413"/>
      <c r="AO65" s="1419"/>
      <c r="AP65" s="1413"/>
      <c r="AQ65" s="400"/>
      <c r="AR65" s="1412"/>
      <c r="AS65" s="1414"/>
      <c r="AT65" s="1419"/>
      <c r="AU65" s="1413"/>
      <c r="AV65" s="400"/>
      <c r="AW65" s="1440"/>
      <c r="AX65" s="1440"/>
      <c r="AY65" s="1440"/>
      <c r="AZ65" s="400"/>
    </row>
    <row r="66" spans="1:53" s="403" customFormat="1" ht="26.4">
      <c r="A66" s="404"/>
      <c r="B66" s="406" t="s">
        <v>113</v>
      </c>
      <c r="C66" s="405" t="s">
        <v>48</v>
      </c>
      <c r="D66" s="396"/>
      <c r="E66" s="1272"/>
      <c r="F66" s="1272" t="s">
        <v>396</v>
      </c>
      <c r="G66" s="1408">
        <v>0.21</v>
      </c>
      <c r="H66" s="397"/>
      <c r="I66" s="399"/>
      <c r="J66" s="1033">
        <v>3.8E-6</v>
      </c>
      <c r="K66" s="1034">
        <f>J66</f>
        <v>3.8E-6</v>
      </c>
      <c r="L66" s="399"/>
      <c r="M66" s="1033">
        <f>J66</f>
        <v>3.8E-6</v>
      </c>
      <c r="N66" s="1035">
        <f>K66</f>
        <v>3.8E-6</v>
      </c>
      <c r="O66" s="1035">
        <f>R66</f>
        <v>1.063E-4</v>
      </c>
      <c r="P66" s="1034">
        <f>S66</f>
        <v>1.063E-4</v>
      </c>
      <c r="Q66" s="399"/>
      <c r="R66" s="1033">
        <v>1.063E-4</v>
      </c>
      <c r="S66" s="1035">
        <f>R66</f>
        <v>1.063E-4</v>
      </c>
      <c r="T66" s="1035">
        <v>1.063E-4</v>
      </c>
      <c r="U66" s="1034">
        <f>T66</f>
        <v>1.063E-4</v>
      </c>
      <c r="V66" s="399"/>
      <c r="W66" s="1033">
        <v>1.841E-4</v>
      </c>
      <c r="X66" s="1034">
        <v>1.841E-4</v>
      </c>
      <c r="Y66" s="399"/>
      <c r="Z66" s="1033">
        <v>4.4860000000000001E-4</v>
      </c>
      <c r="AA66" s="1036"/>
      <c r="AB66" s="1037"/>
      <c r="AC66" s="1037"/>
      <c r="AD66" s="1037"/>
      <c r="AE66" s="1037"/>
      <c r="AF66" s="1037"/>
      <c r="AG66" s="1037"/>
      <c r="AH66" s="1037"/>
      <c r="AI66" s="1037"/>
      <c r="AJ66" s="1037"/>
      <c r="AK66" s="1038">
        <v>4.4860000000000001E-4</v>
      </c>
      <c r="AL66" s="399"/>
      <c r="AM66" s="1033">
        <f>W66</f>
        <v>1.841E-4</v>
      </c>
      <c r="AN66" s="1034">
        <f>Z66</f>
        <v>4.4860000000000001E-4</v>
      </c>
      <c r="AO66" s="1039">
        <f>X66</f>
        <v>1.841E-4</v>
      </c>
      <c r="AP66" s="1034">
        <f>AK66</f>
        <v>4.4860000000000001E-4</v>
      </c>
      <c r="AQ66" s="400"/>
      <c r="AR66" s="1033">
        <f>ROUND(J66*0.75,7)</f>
        <v>2.9000000000000002E-6</v>
      </c>
      <c r="AS66" s="1035"/>
      <c r="AT66" s="1039">
        <v>7.9699999999999999E-5</v>
      </c>
      <c r="AU66" s="1034">
        <f>ROUND(Z66*0.75,7)</f>
        <v>3.3649999999999999E-4</v>
      </c>
      <c r="AV66" s="400"/>
      <c r="AW66" s="1440"/>
      <c r="AX66" s="1440"/>
      <c r="AY66" s="1440"/>
      <c r="AZ66" s="400"/>
    </row>
    <row r="67" spans="1:53" s="340" customFormat="1" ht="16.5" customHeight="1">
      <c r="A67" s="351"/>
      <c r="B67" s="343"/>
      <c r="C67" s="343"/>
      <c r="D67" s="358"/>
      <c r="E67" s="1282"/>
      <c r="F67" s="1282"/>
      <c r="G67" s="1404"/>
      <c r="H67" s="359"/>
      <c r="I67" s="387"/>
      <c r="J67" s="364"/>
      <c r="K67" s="381"/>
      <c r="L67" s="375"/>
      <c r="M67" s="364"/>
      <c r="N67" s="365"/>
      <c r="O67" s="380"/>
      <c r="P67" s="381"/>
      <c r="Q67" s="375"/>
      <c r="R67" s="364"/>
      <c r="S67" s="365"/>
      <c r="T67" s="380"/>
      <c r="U67" s="381"/>
      <c r="V67" s="375"/>
      <c r="W67" s="364"/>
      <c r="X67" s="381"/>
      <c r="Y67" s="375"/>
      <c r="Z67" s="362"/>
      <c r="AA67" s="378"/>
      <c r="AB67" s="379"/>
      <c r="AC67" s="379"/>
      <c r="AD67" s="379"/>
      <c r="AE67" s="379"/>
      <c r="AF67" s="379"/>
      <c r="AG67" s="379"/>
      <c r="AH67" s="379"/>
      <c r="AI67" s="379"/>
      <c r="AJ67" s="379"/>
      <c r="AK67" s="363"/>
      <c r="AL67" s="375"/>
      <c r="AM67" s="362"/>
      <c r="AN67" s="381"/>
      <c r="AO67" s="939"/>
      <c r="AP67" s="381"/>
      <c r="AR67" s="362"/>
      <c r="AS67" s="365"/>
      <c r="AT67" s="939"/>
      <c r="AU67" s="381"/>
    </row>
    <row r="68" spans="1:53" s="400" customFormat="1" ht="35.25" customHeight="1">
      <c r="A68" s="982" t="s">
        <v>49</v>
      </c>
      <c r="B68" s="1612" t="s">
        <v>292</v>
      </c>
      <c r="C68" s="1612"/>
      <c r="D68" s="1005" t="s">
        <v>127</v>
      </c>
      <c r="E68" s="1272"/>
      <c r="F68" s="1272" t="s">
        <v>397</v>
      </c>
      <c r="G68" s="1408">
        <v>0.21</v>
      </c>
      <c r="H68" s="1351"/>
      <c r="I68" s="399"/>
      <c r="J68" s="1086"/>
      <c r="K68" s="1064"/>
      <c r="L68" s="1071"/>
      <c r="M68" s="1086"/>
      <c r="N68" s="1087"/>
      <c r="O68" s="1063"/>
      <c r="P68" s="1064"/>
      <c r="Q68" s="1071"/>
      <c r="R68" s="1086"/>
      <c r="S68" s="1087"/>
      <c r="T68" s="1063"/>
      <c r="U68" s="1064"/>
      <c r="V68" s="1071"/>
      <c r="W68" s="1086"/>
      <c r="X68" s="1064"/>
      <c r="Y68" s="1071"/>
      <c r="Z68" s="1065"/>
      <c r="AA68" s="1066"/>
      <c r="AB68" s="1067"/>
      <c r="AC68" s="1067"/>
      <c r="AD68" s="1067"/>
      <c r="AE68" s="1067"/>
      <c r="AF68" s="1067"/>
      <c r="AG68" s="1067"/>
      <c r="AH68" s="1067"/>
      <c r="AI68" s="1067"/>
      <c r="AJ68" s="1067"/>
      <c r="AK68" s="1068"/>
      <c r="AL68" s="1071"/>
      <c r="AM68" s="1076" t="e">
        <f>#REF!</f>
        <v>#REF!</v>
      </c>
      <c r="AN68" s="1077" t="e">
        <f>#REF!</f>
        <v>#REF!</v>
      </c>
      <c r="AO68" s="1082" t="e">
        <f>#REF!</f>
        <v>#REF!</v>
      </c>
      <c r="AP68" s="1077" t="e">
        <f>#REF!</f>
        <v>#REF!</v>
      </c>
      <c r="AR68" s="1065"/>
      <c r="AS68" s="1087"/>
      <c r="AT68" s="1089"/>
      <c r="AU68" s="1064"/>
    </row>
    <row r="69" spans="1:53" s="299" customFormat="1" ht="16.5" customHeight="1" thickBot="1">
      <c r="A69" s="1218"/>
      <c r="B69" s="1219"/>
      <c r="C69" s="1219"/>
      <c r="D69" s="1220"/>
      <c r="E69" s="1221"/>
      <c r="F69" s="1221"/>
      <c r="G69" s="1276"/>
      <c r="H69" s="1222"/>
      <c r="I69" s="1223"/>
      <c r="J69" s="1224"/>
      <c r="K69" s="1225"/>
      <c r="L69" s="1226"/>
      <c r="M69" s="1224"/>
      <c r="N69" s="1227"/>
      <c r="O69" s="1228"/>
      <c r="P69" s="1225"/>
      <c r="Q69" s="1226"/>
      <c r="R69" s="1224"/>
      <c r="S69" s="1227"/>
      <c r="T69" s="1228"/>
      <c r="U69" s="1225"/>
      <c r="V69" s="1226"/>
      <c r="W69" s="1224"/>
      <c r="X69" s="1225"/>
      <c r="Y69" s="1226"/>
      <c r="Z69" s="1229"/>
      <c r="AA69" s="1230"/>
      <c r="AB69" s="1231"/>
      <c r="AC69" s="1231"/>
      <c r="AD69" s="1231"/>
      <c r="AE69" s="1231"/>
      <c r="AF69" s="1231"/>
      <c r="AG69" s="1231"/>
      <c r="AH69" s="1231"/>
      <c r="AI69" s="1231"/>
      <c r="AJ69" s="1231"/>
      <c r="AK69" s="1232"/>
      <c r="AL69" s="1226"/>
      <c r="AM69" s="1229"/>
      <c r="AN69" s="1225"/>
      <c r="AO69" s="1233"/>
      <c r="AP69" s="1225"/>
      <c r="AR69" s="1229"/>
      <c r="AS69" s="1227"/>
      <c r="AT69" s="1233"/>
      <c r="AU69" s="1225"/>
    </row>
    <row r="70" spans="1:53" s="340" customFormat="1" ht="13.5" customHeight="1">
      <c r="D70" s="477"/>
      <c r="E70" s="477"/>
      <c r="F70" s="477"/>
      <c r="G70" s="477"/>
      <c r="H70" s="477"/>
      <c r="I70" s="1234"/>
      <c r="J70" s="1235"/>
      <c r="K70" s="1235"/>
      <c r="L70" s="1234"/>
      <c r="M70" s="1234"/>
      <c r="N70" s="1234"/>
      <c r="O70" s="1234"/>
      <c r="P70" s="1234"/>
      <c r="Q70" s="1234"/>
      <c r="R70" s="1234"/>
      <c r="S70" s="1234"/>
      <c r="T70" s="1234"/>
      <c r="U70" s="1234"/>
      <c r="V70" s="1234"/>
      <c r="W70" s="1234"/>
      <c r="X70" s="1234"/>
      <c r="Y70" s="1234"/>
      <c r="Z70" s="1234"/>
      <c r="AA70" s="1234"/>
      <c r="AB70" s="1234"/>
      <c r="AC70" s="1234"/>
      <c r="AD70" s="1234"/>
      <c r="AE70" s="1234"/>
      <c r="AF70" s="1234"/>
      <c r="AG70" s="1234"/>
      <c r="AH70" s="1234"/>
      <c r="AI70" s="1234"/>
      <c r="AJ70" s="1234"/>
      <c r="AK70" s="1234"/>
      <c r="AL70" s="1234"/>
      <c r="AM70" s="1234"/>
      <c r="AN70" s="1234"/>
      <c r="AO70" s="1234"/>
      <c r="AP70" s="1234"/>
      <c r="AQ70" s="1234"/>
      <c r="AR70" s="1234"/>
      <c r="AS70" s="1234"/>
      <c r="AT70" s="1234"/>
      <c r="AU70" s="1234"/>
      <c r="AV70" s="1234"/>
      <c r="AW70" s="1234"/>
      <c r="AX70" s="1234"/>
      <c r="AY70" s="1234"/>
      <c r="AZ70" s="1234"/>
      <c r="BA70" s="1236"/>
    </row>
    <row r="71" spans="1:53" s="407" customFormat="1" ht="13.5" customHeight="1">
      <c r="B71" s="1438" t="s">
        <v>459</v>
      </c>
      <c r="C71" s="340" t="s">
        <v>460</v>
      </c>
      <c r="D71" s="408"/>
      <c r="E71" s="408"/>
      <c r="F71" s="408"/>
      <c r="G71" s="408"/>
      <c r="H71" s="409"/>
      <c r="I71" s="1439"/>
      <c r="J71" s="1439"/>
      <c r="K71" s="300"/>
      <c r="L71" s="300"/>
      <c r="M71" s="1439"/>
      <c r="N71" s="300"/>
      <c r="O71" s="1439"/>
      <c r="P71" s="300"/>
      <c r="Q71" s="300"/>
      <c r="R71" s="1439"/>
      <c r="S71" s="1439"/>
      <c r="T71" s="1439"/>
      <c r="U71" s="1439"/>
      <c r="V71" s="1439"/>
      <c r="W71" s="1439"/>
      <c r="X71" s="1439"/>
      <c r="Y71" s="1439"/>
      <c r="Z71" s="1439"/>
      <c r="AA71" s="1439"/>
      <c r="AB71" s="409"/>
      <c r="AC71" s="409"/>
      <c r="AD71" s="409"/>
      <c r="AE71" s="409"/>
      <c r="AK71" s="1439"/>
      <c r="AM71" s="1439"/>
      <c r="AN71" s="1439"/>
      <c r="AO71" s="1439"/>
      <c r="AP71" s="1439"/>
    </row>
    <row r="72" spans="1:53" s="407" customFormat="1" ht="13.5" customHeight="1">
      <c r="C72" s="1560"/>
      <c r="D72" s="408"/>
      <c r="E72" s="408"/>
      <c r="F72" s="408"/>
      <c r="G72" s="408"/>
      <c r="H72" s="409"/>
      <c r="I72" s="1439"/>
      <c r="J72" s="1439"/>
      <c r="K72" s="300"/>
      <c r="L72" s="300"/>
      <c r="M72" s="1439"/>
      <c r="N72" s="300"/>
      <c r="O72" s="1439"/>
      <c r="P72" s="300"/>
      <c r="Q72" s="300"/>
      <c r="R72" s="1439"/>
      <c r="S72" s="1439"/>
      <c r="T72" s="1439"/>
      <c r="U72" s="1439"/>
      <c r="V72" s="1439"/>
      <c r="W72" s="1439"/>
      <c r="X72" s="1439"/>
      <c r="Y72" s="1439"/>
      <c r="Z72" s="1439"/>
      <c r="AA72" s="1439"/>
      <c r="AB72" s="409"/>
      <c r="AC72" s="409"/>
      <c r="AD72" s="409"/>
      <c r="AE72" s="409"/>
      <c r="AK72" s="1439"/>
      <c r="AM72" s="1439"/>
      <c r="AN72" s="1439"/>
      <c r="AO72" s="1439"/>
      <c r="AP72" s="1439"/>
      <c r="AR72" s="1553"/>
    </row>
    <row r="73" spans="1:53" s="407" customFormat="1" ht="13.5" customHeight="1">
      <c r="B73" s="1438"/>
      <c r="C73" s="340"/>
      <c r="D73" s="408"/>
      <c r="E73" s="408"/>
      <c r="F73" s="408"/>
      <c r="G73" s="408"/>
      <c r="H73" s="409"/>
      <c r="I73" s="1439"/>
      <c r="J73" s="1439"/>
      <c r="K73" s="300"/>
      <c r="L73" s="300"/>
      <c r="M73" s="1439"/>
      <c r="N73" s="300"/>
      <c r="O73" s="1439"/>
      <c r="P73" s="300"/>
      <c r="Q73" s="300"/>
      <c r="R73" s="1439"/>
      <c r="S73" s="1439"/>
      <c r="T73" s="1439"/>
      <c r="U73" s="1439"/>
      <c r="V73" s="1439"/>
      <c r="W73" s="1439"/>
      <c r="X73" s="1439"/>
      <c r="Y73" s="1439"/>
      <c r="Z73" s="1439"/>
      <c r="AA73" s="1439"/>
      <c r="AB73" s="409"/>
      <c r="AC73" s="409"/>
      <c r="AD73" s="409"/>
      <c r="AE73" s="409"/>
      <c r="AK73" s="1439"/>
      <c r="AM73" s="1439"/>
      <c r="AN73" s="1439"/>
      <c r="AO73" s="1439"/>
      <c r="AP73" s="1439"/>
      <c r="AR73" s="1553"/>
    </row>
    <row r="74" spans="1:53" ht="13.5" customHeight="1">
      <c r="H74" s="300"/>
      <c r="I74" s="1440"/>
      <c r="J74" s="1440"/>
      <c r="M74" s="1440"/>
      <c r="O74" s="1440"/>
      <c r="R74" s="1440"/>
      <c r="S74" s="1440"/>
      <c r="T74" s="1440"/>
      <c r="U74" s="1440"/>
      <c r="V74" s="1440"/>
      <c r="W74" s="1440"/>
      <c r="X74" s="1440"/>
      <c r="Y74" s="1440"/>
      <c r="Z74" s="1440"/>
      <c r="AA74" s="1440"/>
      <c r="AK74" s="1440"/>
      <c r="AM74" s="1440"/>
      <c r="AN74" s="1440"/>
      <c r="AO74" s="1440"/>
      <c r="AP74" s="1440"/>
      <c r="AR74" s="1555"/>
    </row>
    <row r="75" spans="1:53" ht="21">
      <c r="A75" s="1441" t="s">
        <v>399</v>
      </c>
      <c r="B75" s="1442"/>
      <c r="C75" s="1443"/>
      <c r="D75" s="1444"/>
      <c r="E75" s="1445"/>
      <c r="F75" s="1446" t="s">
        <v>36</v>
      </c>
      <c r="G75" s="1447"/>
      <c r="H75" s="1447"/>
      <c r="I75" s="1448"/>
      <c r="J75" s="1448"/>
      <c r="X75" s="1449"/>
      <c r="Z75" s="1449"/>
    </row>
    <row r="76" spans="1:53" ht="13.5" customHeight="1">
      <c r="A76" s="1450" t="s">
        <v>15</v>
      </c>
      <c r="B76" s="1450" t="s">
        <v>16</v>
      </c>
      <c r="C76" s="1450"/>
      <c r="D76" s="1451"/>
      <c r="E76" s="1452"/>
      <c r="F76" s="1453"/>
      <c r="G76" s="1453"/>
      <c r="H76" s="1453"/>
      <c r="I76" s="1448"/>
      <c r="J76" s="1553"/>
      <c r="K76" s="1553"/>
      <c r="M76" s="1553"/>
      <c r="N76" s="1553"/>
      <c r="O76" s="1553"/>
      <c r="P76" s="1553"/>
      <c r="R76" s="1553"/>
      <c r="S76" s="1553"/>
      <c r="T76" s="1553"/>
      <c r="U76" s="1553"/>
      <c r="W76" s="1553"/>
      <c r="X76" s="1553"/>
      <c r="Z76" s="1553"/>
      <c r="AK76" s="1553"/>
      <c r="AM76" s="1553"/>
      <c r="AN76" s="1553"/>
      <c r="AO76" s="1553"/>
      <c r="AP76" s="1553"/>
      <c r="AR76" s="1553"/>
      <c r="AT76" s="1553"/>
      <c r="AU76" s="1553"/>
    </row>
    <row r="77" spans="1:53" ht="17.25" customHeight="1">
      <c r="A77" s="1454"/>
      <c r="B77" s="1450" t="s">
        <v>79</v>
      </c>
      <c r="C77" s="1450" t="s">
        <v>360</v>
      </c>
      <c r="D77" s="1451"/>
      <c r="E77" s="1452"/>
      <c r="F77" s="1455" t="s">
        <v>118</v>
      </c>
      <c r="G77" s="1456"/>
      <c r="H77" s="1456">
        <v>0.29003650896267008</v>
      </c>
      <c r="I77" s="1448"/>
      <c r="J77" s="1553"/>
      <c r="K77" s="1553"/>
      <c r="M77" s="1553"/>
      <c r="N77" s="1553"/>
      <c r="O77" s="1553"/>
      <c r="P77" s="1553"/>
      <c r="R77" s="1553"/>
      <c r="S77" s="1553"/>
      <c r="T77" s="1553"/>
      <c r="U77" s="1553"/>
      <c r="V77" s="1440"/>
      <c r="W77" s="1553"/>
      <c r="X77" s="1553"/>
      <c r="Z77" s="1553"/>
      <c r="AK77" s="1553"/>
      <c r="AM77" s="1553"/>
      <c r="AN77" s="1553"/>
      <c r="AO77" s="1553"/>
      <c r="AP77" s="1553"/>
      <c r="AR77" s="1553"/>
      <c r="AT77" s="1553"/>
      <c r="AU77" s="1553"/>
    </row>
    <row r="78" spans="1:53" ht="17.25" customHeight="1">
      <c r="A78" s="1454"/>
      <c r="B78" s="1450"/>
      <c r="C78" s="1450"/>
      <c r="D78" s="1451"/>
      <c r="E78" s="1452"/>
      <c r="F78" s="1455" t="s">
        <v>358</v>
      </c>
      <c r="G78" s="1456"/>
      <c r="H78" s="1456">
        <v>4.2984778671493719E-4</v>
      </c>
      <c r="I78" s="1457"/>
      <c r="J78" s="1440"/>
      <c r="K78" s="1440"/>
      <c r="M78" s="1440"/>
      <c r="N78" s="1440"/>
      <c r="O78" s="1440"/>
      <c r="P78" s="1440"/>
      <c r="R78" s="1440"/>
      <c r="S78" s="1440"/>
      <c r="T78" s="1440"/>
      <c r="U78" s="1440"/>
      <c r="V78" s="1440"/>
      <c r="W78" s="1440"/>
      <c r="X78" s="1440"/>
      <c r="Z78" s="1440"/>
      <c r="AK78" s="1440"/>
      <c r="AM78" s="1440"/>
      <c r="AN78" s="1440"/>
      <c r="AO78" s="1440"/>
      <c r="AP78" s="1440"/>
      <c r="AR78" s="1440"/>
      <c r="AT78" s="1440"/>
      <c r="AU78" s="1440"/>
    </row>
    <row r="79" spans="1:53">
      <c r="A79" s="1461"/>
      <c r="B79" s="1503" t="s">
        <v>441</v>
      </c>
      <c r="C79" s="1504" t="s">
        <v>400</v>
      </c>
      <c r="D79" s="1464"/>
      <c r="E79" s="1465"/>
      <c r="F79" s="1505" t="s">
        <v>359</v>
      </c>
      <c r="G79" s="1467"/>
      <c r="H79" s="1467">
        <v>4.2984778671493719E-4</v>
      </c>
      <c r="I79" s="1506"/>
      <c r="J79" s="1506"/>
      <c r="O79" s="1440"/>
      <c r="S79" s="1440"/>
      <c r="T79" s="1440"/>
      <c r="V79" s="1440"/>
      <c r="X79" s="1440"/>
      <c r="Z79" s="1440"/>
    </row>
    <row r="80" spans="1:53">
      <c r="A80" s="1461"/>
      <c r="B80" s="1462"/>
      <c r="C80" s="1463" t="s">
        <v>401</v>
      </c>
      <c r="D80" s="1464"/>
      <c r="E80" s="1465"/>
      <c r="F80" s="1505" t="s">
        <v>402</v>
      </c>
      <c r="G80" s="1467"/>
      <c r="H80" s="1467">
        <v>4.2984778671493719E-4</v>
      </c>
      <c r="I80" s="1506"/>
      <c r="J80" s="1506"/>
      <c r="O80" s="1440"/>
      <c r="S80" s="1440"/>
      <c r="T80" s="1440"/>
      <c r="V80" s="1440"/>
      <c r="X80" s="1440"/>
      <c r="Z80" s="1440"/>
      <c r="AM80" s="1554"/>
      <c r="AN80" s="1554"/>
      <c r="AO80" s="1554"/>
      <c r="AP80" s="1554"/>
    </row>
    <row r="81" spans="1:42">
      <c r="A81" s="1461"/>
      <c r="B81" s="1462"/>
      <c r="C81" s="1463"/>
      <c r="D81" s="1464"/>
      <c r="E81" s="1465"/>
      <c r="F81" s="1466" t="s">
        <v>36</v>
      </c>
      <c r="G81" s="1467"/>
      <c r="H81" s="1467"/>
      <c r="I81" s="1506"/>
      <c r="J81" s="1506"/>
      <c r="O81" s="1440"/>
      <c r="S81" s="1440"/>
      <c r="T81" s="1440"/>
      <c r="V81" s="1440"/>
      <c r="X81" s="1440"/>
      <c r="Z81" s="1440"/>
      <c r="AM81" s="1554"/>
      <c r="AN81" s="1554"/>
      <c r="AO81" s="1554"/>
      <c r="AP81" s="1554"/>
    </row>
    <row r="82" spans="1:42">
      <c r="A82" s="1454"/>
      <c r="B82" s="1458" t="s">
        <v>442</v>
      </c>
      <c r="C82" s="1459" t="s">
        <v>403</v>
      </c>
      <c r="D82" s="1451"/>
      <c r="E82" s="1452"/>
      <c r="F82" s="1446" t="s">
        <v>37</v>
      </c>
      <c r="G82" s="1456"/>
      <c r="H82" s="1456"/>
      <c r="I82" s="1460"/>
      <c r="J82" s="1460"/>
      <c r="O82" s="1440"/>
      <c r="S82" s="1440"/>
      <c r="T82" s="1440"/>
      <c r="V82" s="1440"/>
      <c r="X82" s="1440"/>
      <c r="Z82" s="1440"/>
      <c r="AM82" s="1440"/>
      <c r="AN82" s="1440"/>
      <c r="AO82" s="1440"/>
      <c r="AP82" s="1440"/>
    </row>
    <row r="83" spans="1:42">
      <c r="A83" s="1461"/>
      <c r="B83" s="1462"/>
      <c r="C83" s="1463" t="s">
        <v>404</v>
      </c>
      <c r="D83" s="1464"/>
      <c r="E83" s="1465"/>
      <c r="F83" s="1466"/>
      <c r="G83" s="1467"/>
      <c r="H83" s="1467"/>
      <c r="I83" s="1468"/>
      <c r="J83" s="1468"/>
      <c r="O83" s="1440"/>
      <c r="S83" s="1440"/>
      <c r="T83" s="1440"/>
      <c r="V83" s="1440"/>
      <c r="X83" s="1440"/>
      <c r="Z83" s="1440"/>
    </row>
    <row r="84" spans="1:42">
      <c r="A84" s="1461"/>
      <c r="B84" s="1462"/>
      <c r="C84" s="1463" t="s">
        <v>405</v>
      </c>
      <c r="D84" s="1464"/>
      <c r="E84" s="1465"/>
      <c r="F84" s="1469"/>
      <c r="G84" s="1469"/>
      <c r="H84" s="1469"/>
      <c r="I84" s="1468"/>
      <c r="J84" s="1468"/>
      <c r="O84" s="1440"/>
      <c r="S84" s="1440"/>
      <c r="T84" s="1440"/>
      <c r="V84" s="1440"/>
      <c r="X84" s="1440"/>
      <c r="Z84" s="1440"/>
    </row>
    <row r="85" spans="1:42">
      <c r="C85" s="1463" t="s">
        <v>406</v>
      </c>
      <c r="H85" s="300"/>
      <c r="I85" s="1468"/>
      <c r="J85" s="1468"/>
      <c r="O85" s="1440"/>
      <c r="S85" s="1440"/>
      <c r="T85" s="1440"/>
      <c r="V85" s="1440"/>
      <c r="X85" s="1440"/>
      <c r="Z85" s="1440"/>
    </row>
    <row r="86" spans="1:42" ht="5.25" customHeight="1">
      <c r="H86" s="300"/>
      <c r="I86" s="1470"/>
      <c r="J86" s="1470"/>
    </row>
    <row r="87" spans="1:42">
      <c r="A87" s="1454"/>
      <c r="B87" s="1450"/>
      <c r="C87" s="1459" t="s">
        <v>407</v>
      </c>
      <c r="D87" s="1451"/>
      <c r="E87" s="1452"/>
      <c r="F87" s="1471"/>
      <c r="G87" s="1471"/>
      <c r="H87" s="1471"/>
    </row>
    <row r="88" spans="1:42" ht="6.75" customHeight="1">
      <c r="A88" s="1454"/>
      <c r="B88" s="1450"/>
      <c r="C88" s="1459"/>
      <c r="D88" s="1451"/>
      <c r="E88" s="1452"/>
      <c r="F88" s="1471"/>
      <c r="G88" s="1471"/>
      <c r="H88" s="1471"/>
    </row>
    <row r="89" spans="1:42" ht="17.399999999999999">
      <c r="A89" s="1454"/>
      <c r="B89" s="1450"/>
      <c r="C89" s="1472"/>
      <c r="D89" s="1563" t="s">
        <v>408</v>
      </c>
      <c r="E89" s="1473" t="s">
        <v>409</v>
      </c>
      <c r="F89" s="1474" t="s">
        <v>409</v>
      </c>
      <c r="G89" s="1475"/>
      <c r="H89" s="1471"/>
      <c r="I89" s="1470"/>
    </row>
    <row r="90" spans="1:42" s="1476" customFormat="1" ht="16.5" customHeight="1">
      <c r="A90" s="1454"/>
      <c r="B90" s="1450"/>
      <c r="C90" s="1472" t="s">
        <v>453</v>
      </c>
      <c r="D90" s="1676" t="s">
        <v>461</v>
      </c>
      <c r="E90" s="1677"/>
      <c r="F90" s="1677"/>
      <c r="G90" s="1678"/>
      <c r="H90" s="1471"/>
      <c r="I90" s="1470"/>
      <c r="J90" s="1448"/>
      <c r="K90" s="1468"/>
      <c r="L90" s="1448"/>
      <c r="M90" s="1448"/>
      <c r="N90" s="1468"/>
    </row>
    <row r="91" spans="1:42" s="1476" customFormat="1" ht="16.5" customHeight="1">
      <c r="A91" s="1454"/>
      <c r="B91" s="1450"/>
      <c r="C91" s="1472" t="s">
        <v>103</v>
      </c>
      <c r="D91" s="1679"/>
      <c r="E91" s="1680"/>
      <c r="F91" s="1680"/>
      <c r="G91" s="1681"/>
      <c r="H91" s="1477"/>
      <c r="I91" s="1470"/>
      <c r="J91" s="1448"/>
      <c r="K91" s="1468"/>
      <c r="L91" s="1448"/>
      <c r="M91" s="1448"/>
      <c r="N91" s="1468"/>
      <c r="X91" s="1478"/>
      <c r="Z91" s="1478"/>
    </row>
    <row r="92" spans="1:42" s="1476" customFormat="1" ht="6" customHeight="1">
      <c r="A92" s="1454"/>
      <c r="B92" s="1450"/>
      <c r="C92" s="1479"/>
      <c r="D92" s="1479"/>
      <c r="E92" s="1479"/>
      <c r="F92" s="1479"/>
      <c r="G92" s="1479"/>
      <c r="H92" s="1479"/>
      <c r="I92" s="1470"/>
      <c r="J92" s="1448"/>
      <c r="K92" s="1468"/>
      <c r="L92" s="1448"/>
      <c r="M92" s="1448"/>
      <c r="N92" s="1468"/>
    </row>
    <row r="93" spans="1:42" s="1476" customFormat="1" ht="16.5" customHeight="1">
      <c r="A93" s="1454"/>
      <c r="B93" s="1450" t="s">
        <v>410</v>
      </c>
      <c r="C93" s="1450" t="s">
        <v>174</v>
      </c>
      <c r="D93" s="1480"/>
      <c r="E93" s="1481"/>
      <c r="F93" s="1477"/>
      <c r="G93" s="1477"/>
      <c r="H93" s="1477"/>
      <c r="I93" s="1482"/>
      <c r="J93" s="1482"/>
      <c r="K93" s="1482"/>
      <c r="L93" s="1482"/>
      <c r="M93" s="1482"/>
      <c r="N93" s="1482"/>
      <c r="O93" s="1482"/>
      <c r="P93" s="1482"/>
      <c r="Q93" s="1482"/>
      <c r="R93" s="1482"/>
      <c r="S93" s="1482"/>
      <c r="T93" s="1482"/>
      <c r="U93" s="1482"/>
      <c r="V93" s="1482"/>
      <c r="X93" s="1482"/>
      <c r="Z93" s="1482"/>
    </row>
    <row r="94" spans="1:42" s="1484" customFormat="1" ht="16.5" customHeight="1">
      <c r="A94" s="1454"/>
      <c r="B94" s="1454"/>
      <c r="C94" s="1483" t="s">
        <v>411</v>
      </c>
      <c r="D94" s="1480"/>
      <c r="E94" s="1481"/>
      <c r="F94" s="1477"/>
      <c r="G94" s="1477"/>
      <c r="H94" s="1477"/>
      <c r="I94" s="1482"/>
      <c r="J94" s="1482"/>
      <c r="K94" s="1482"/>
      <c r="L94" s="1482"/>
      <c r="M94" s="1482"/>
      <c r="N94" s="1482"/>
      <c r="O94" s="1482"/>
      <c r="P94" s="1482"/>
      <c r="Q94" s="1482"/>
      <c r="R94" s="1482"/>
      <c r="S94" s="1482"/>
      <c r="T94" s="1482"/>
      <c r="U94" s="1482"/>
      <c r="V94" s="1482"/>
      <c r="X94" s="1482"/>
      <c r="Z94" s="1482"/>
    </row>
    <row r="95" spans="1:42" s="1476" customFormat="1" ht="6" customHeight="1">
      <c r="A95" s="1454"/>
      <c r="B95" s="1450"/>
      <c r="C95" s="1479"/>
      <c r="D95" s="1479"/>
      <c r="E95" s="1479"/>
      <c r="F95" s="1479"/>
      <c r="G95" s="1479"/>
      <c r="H95" s="1479"/>
      <c r="I95" s="1470"/>
      <c r="J95" s="1448"/>
      <c r="K95" s="1468"/>
      <c r="L95" s="1448"/>
      <c r="M95" s="1448"/>
      <c r="N95" s="1468"/>
    </row>
    <row r="96" spans="1:42" s="1476" customFormat="1" ht="13.5" customHeight="1">
      <c r="A96" s="1454"/>
      <c r="B96" s="1450" t="s">
        <v>412</v>
      </c>
      <c r="C96" s="1450" t="s">
        <v>413</v>
      </c>
      <c r="D96" s="1480"/>
      <c r="E96" s="1481"/>
      <c r="F96" s="1477"/>
      <c r="G96" s="1477"/>
      <c r="H96" s="1477"/>
      <c r="I96" s="1485"/>
      <c r="J96" s="1460"/>
      <c r="K96" s="1456"/>
      <c r="L96" s="1486"/>
      <c r="M96" s="1486"/>
      <c r="N96" s="1487"/>
    </row>
    <row r="97" spans="1:14" s="1476" customFormat="1" ht="13.5" customHeight="1">
      <c r="A97" s="1454"/>
      <c r="B97" s="1454"/>
      <c r="C97" s="1483" t="s">
        <v>414</v>
      </c>
      <c r="D97" s="1480"/>
      <c r="E97" s="1481"/>
      <c r="F97" s="1477"/>
      <c r="G97" s="1477"/>
      <c r="H97" s="1477"/>
      <c r="I97" s="1485"/>
      <c r="J97" s="1460"/>
      <c r="K97" s="1456"/>
      <c r="L97" s="1460"/>
      <c r="M97" s="1460"/>
      <c r="N97" s="1456"/>
    </row>
    <row r="98" spans="1:14" s="1476" customFormat="1" ht="13.5" customHeight="1">
      <c r="A98" s="1454"/>
      <c r="B98" s="1454"/>
      <c r="C98" s="1483" t="s">
        <v>415</v>
      </c>
      <c r="D98" s="1480"/>
      <c r="E98" s="1481"/>
      <c r="F98" s="1477"/>
      <c r="G98" s="1477"/>
      <c r="H98" s="1477"/>
      <c r="I98" s="1485"/>
      <c r="J98" s="1468"/>
      <c r="K98" s="1468"/>
      <c r="L98" s="1468"/>
      <c r="M98" s="1468"/>
      <c r="N98" s="1488"/>
    </row>
    <row r="99" spans="1:14" s="1489" customFormat="1" ht="17.399999999999999">
      <c r="A99" s="1450" t="s">
        <v>39</v>
      </c>
      <c r="B99" s="1450" t="s">
        <v>40</v>
      </c>
      <c r="C99" s="1450"/>
      <c r="D99" s="1480"/>
      <c r="E99" s="1481"/>
      <c r="F99" s="1477"/>
      <c r="G99" s="1477"/>
      <c r="H99" s="1477"/>
      <c r="I99" s="1485"/>
      <c r="J99" s="1468"/>
      <c r="K99" s="1468"/>
      <c r="L99" s="1468"/>
      <c r="M99" s="1468"/>
      <c r="N99" s="1488"/>
    </row>
    <row r="100" spans="1:14" s="1489" customFormat="1" ht="18" customHeight="1">
      <c r="A100" s="1490"/>
      <c r="B100" s="1491"/>
      <c r="C100" s="1483" t="s">
        <v>416</v>
      </c>
      <c r="D100" s="1480"/>
      <c r="E100" s="1481"/>
      <c r="F100" s="1477"/>
      <c r="G100" s="1477"/>
      <c r="H100" s="1477"/>
      <c r="I100" s="1485"/>
      <c r="J100" s="1492"/>
      <c r="K100" s="1492"/>
      <c r="L100" s="1470"/>
      <c r="M100" s="1492"/>
      <c r="N100" s="1492"/>
    </row>
    <row r="101" spans="1:14" s="1476" customFormat="1" ht="6" customHeight="1">
      <c r="A101" s="1454"/>
      <c r="B101" s="1450"/>
      <c r="C101" s="1479"/>
      <c r="D101" s="1479"/>
      <c r="E101" s="1479"/>
      <c r="F101" s="1479"/>
      <c r="G101" s="1479"/>
      <c r="H101" s="1479"/>
      <c r="I101" s="1470"/>
      <c r="J101" s="1448"/>
      <c r="K101" s="1468"/>
      <c r="L101" s="1448"/>
      <c r="M101" s="1448"/>
      <c r="N101" s="1468"/>
    </row>
    <row r="102" spans="1:14" ht="13.5" customHeight="1">
      <c r="A102" s="1450" t="s">
        <v>41</v>
      </c>
      <c r="B102" s="1450" t="s">
        <v>42</v>
      </c>
      <c r="C102" s="1450"/>
      <c r="D102" s="1480"/>
      <c r="E102" s="1481"/>
      <c r="F102" s="1477"/>
      <c r="G102" s="1477"/>
      <c r="H102" s="1477"/>
      <c r="I102" s="1485"/>
    </row>
    <row r="103" spans="1:14" s="1489" customFormat="1" ht="17.399999999999999">
      <c r="A103" s="1454"/>
      <c r="B103" s="1450" t="s">
        <v>95</v>
      </c>
      <c r="C103" s="1450" t="s">
        <v>43</v>
      </c>
      <c r="D103" s="1480"/>
      <c r="E103" s="1481"/>
      <c r="F103" s="1477"/>
      <c r="G103" s="1477"/>
      <c r="H103" s="1477"/>
      <c r="I103" s="1485"/>
      <c r="J103" s="1492"/>
      <c r="K103" s="1492"/>
      <c r="L103" s="1470"/>
      <c r="M103" s="1492"/>
      <c r="N103" s="1492"/>
    </row>
    <row r="104" spans="1:14" s="1489" customFormat="1" ht="18" customHeight="1">
      <c r="A104" s="1490"/>
      <c r="B104" s="1491"/>
      <c r="C104" s="1483" t="s">
        <v>411</v>
      </c>
      <c r="D104" s="1480"/>
      <c r="E104" s="1481"/>
      <c r="F104" s="1477"/>
      <c r="G104" s="1477"/>
      <c r="H104" s="1477"/>
      <c r="I104" s="1485"/>
      <c r="J104" s="1492"/>
      <c r="K104" s="1492"/>
      <c r="L104" s="1470"/>
      <c r="M104" s="1492"/>
      <c r="N104" s="1492"/>
    </row>
    <row r="105" spans="1:14" s="1489" customFormat="1" ht="17.399999999999999">
      <c r="A105" s="1493"/>
      <c r="B105" s="1493" t="s">
        <v>96</v>
      </c>
      <c r="C105" s="1494" t="s">
        <v>44</v>
      </c>
      <c r="D105" s="1494"/>
      <c r="E105" s="1494"/>
      <c r="F105" s="1493"/>
      <c r="G105" s="1494"/>
      <c r="H105" s="1493"/>
      <c r="I105" s="1485"/>
      <c r="J105" s="1492"/>
      <c r="K105" s="1492"/>
      <c r="L105" s="1470"/>
      <c r="M105" s="1492"/>
      <c r="N105" s="1492"/>
    </row>
    <row r="106" spans="1:14" s="1489" customFormat="1" ht="17.399999999999999">
      <c r="A106" s="1495"/>
      <c r="B106" s="1496"/>
      <c r="C106" s="1479" t="s">
        <v>417</v>
      </c>
      <c r="D106" s="1496"/>
      <c r="E106" s="1496"/>
      <c r="F106" s="1495"/>
      <c r="G106" s="1496"/>
      <c r="H106" s="1495"/>
      <c r="I106" s="1485"/>
      <c r="J106" s="1497"/>
      <c r="K106" s="1497"/>
      <c r="L106" s="1485"/>
      <c r="M106" s="1497"/>
      <c r="N106" s="1497"/>
    </row>
    <row r="107" spans="1:14" s="1489" customFormat="1" ht="17.399999999999999">
      <c r="A107" s="1495"/>
      <c r="B107" s="1496"/>
      <c r="C107" s="1479" t="s">
        <v>418</v>
      </c>
      <c r="D107" s="1496"/>
      <c r="E107" s="1496"/>
      <c r="F107" s="1495"/>
      <c r="G107" s="1496"/>
      <c r="H107" s="1495"/>
      <c r="I107" s="1485"/>
      <c r="J107" s="1497"/>
      <c r="K107" s="1497"/>
      <c r="L107" s="1485"/>
      <c r="M107" s="1497"/>
      <c r="N107" s="1497"/>
    </row>
    <row r="108" spans="1:14" s="1489" customFormat="1" ht="17.399999999999999">
      <c r="A108" s="1450" t="s">
        <v>45</v>
      </c>
      <c r="B108" s="1450" t="s">
        <v>46</v>
      </c>
      <c r="C108" s="1450"/>
      <c r="D108" s="1480"/>
      <c r="E108" s="1481"/>
      <c r="F108" s="1477"/>
      <c r="G108" s="1477"/>
      <c r="H108" s="1477"/>
      <c r="I108" s="1485"/>
      <c r="J108" s="1497"/>
      <c r="K108" s="1497"/>
      <c r="L108" s="1485"/>
      <c r="M108" s="1497"/>
      <c r="N108" s="1497"/>
    </row>
    <row r="109" spans="1:14" s="1489" customFormat="1" ht="18" customHeight="1">
      <c r="A109" s="1450"/>
      <c r="B109" s="1459"/>
      <c r="C109" s="1483" t="s">
        <v>411</v>
      </c>
      <c r="D109" s="1480"/>
      <c r="E109" s="1481"/>
      <c r="F109" s="1477"/>
      <c r="G109" s="1477"/>
      <c r="H109" s="1477"/>
      <c r="I109" s="1485"/>
      <c r="J109" s="1497"/>
      <c r="K109" s="1497"/>
      <c r="L109" s="1485"/>
      <c r="M109" s="1497"/>
      <c r="N109" s="1497"/>
    </row>
    <row r="110" spans="1:14" s="1476" customFormat="1" ht="28.5" customHeight="1">
      <c r="A110" s="1498" t="s">
        <v>49</v>
      </c>
      <c r="B110" s="1649" t="s">
        <v>292</v>
      </c>
      <c r="C110" s="1649"/>
      <c r="D110" s="1480"/>
      <c r="E110" s="1481"/>
      <c r="F110" s="1477"/>
      <c r="G110" s="1477"/>
      <c r="H110" s="1477"/>
      <c r="I110" s="1470"/>
      <c r="J110" s="1448"/>
      <c r="K110" s="1468"/>
      <c r="L110" s="1448"/>
      <c r="M110" s="1448"/>
      <c r="N110" s="1468"/>
    </row>
    <row r="111" spans="1:14" s="1476" customFormat="1" ht="29.25" customHeight="1">
      <c r="A111" s="1450"/>
      <c r="B111" s="1459"/>
      <c r="C111" s="1648" t="s">
        <v>452</v>
      </c>
      <c r="D111" s="1648"/>
      <c r="E111" s="1648"/>
      <c r="F111" s="1648"/>
      <c r="G111" s="1477"/>
      <c r="H111" s="1477"/>
      <c r="I111" s="1470"/>
      <c r="J111" s="1448"/>
      <c r="K111" s="1468"/>
      <c r="L111" s="1448"/>
      <c r="M111" s="1448"/>
      <c r="N111" s="1468"/>
    </row>
    <row r="112" spans="1:14" s="1489" customFormat="1" ht="18" customHeight="1">
      <c r="A112" s="1450"/>
      <c r="B112" s="1459"/>
      <c r="C112" s="1483"/>
      <c r="D112" s="1480"/>
      <c r="E112" s="1481"/>
      <c r="F112" s="1477"/>
      <c r="G112" s="1477"/>
      <c r="H112" s="1477"/>
      <c r="I112" s="1485"/>
      <c r="J112" s="1497"/>
      <c r="K112" s="1497"/>
      <c r="L112" s="1485"/>
      <c r="M112" s="1497"/>
      <c r="N112" s="1497"/>
    </row>
    <row r="113" spans="1:14" s="1489" customFormat="1" ht="17.399999999999999">
      <c r="A113" s="1450" t="s">
        <v>466</v>
      </c>
      <c r="D113" s="1499"/>
      <c r="G113" s="1497"/>
      <c r="H113" s="1497"/>
      <c r="I113" s="1485"/>
      <c r="J113" s="1497"/>
      <c r="K113" s="1497"/>
      <c r="L113" s="1485"/>
      <c r="M113" s="1497"/>
      <c r="N113" s="1497"/>
    </row>
    <row r="114" spans="1:14" s="1489" customFormat="1" ht="17.399999999999999">
      <c r="A114" s="1479" t="s">
        <v>443</v>
      </c>
      <c r="B114" s="1479"/>
      <c r="C114" s="1479"/>
      <c r="D114" s="1479"/>
      <c r="E114" s="1479"/>
      <c r="F114" s="1479"/>
      <c r="G114" s="1479"/>
      <c r="H114" s="1479"/>
      <c r="I114" s="1485"/>
      <c r="J114" s="1497"/>
      <c r="K114" s="1497"/>
      <c r="L114" s="1485"/>
      <c r="M114" s="1497"/>
      <c r="N114" s="1497"/>
    </row>
    <row r="115" spans="1:14" s="1489" customFormat="1" ht="18" customHeight="1">
      <c r="A115" s="1479" t="s">
        <v>457</v>
      </c>
      <c r="B115" s="300"/>
      <c r="C115" s="300"/>
      <c r="D115" s="301"/>
      <c r="E115" s="301"/>
      <c r="F115" s="301"/>
      <c r="G115" s="301"/>
      <c r="H115" s="300"/>
      <c r="I115" s="1479"/>
      <c r="J115" s="1497"/>
      <c r="K115" s="1497"/>
      <c r="L115" s="1485"/>
      <c r="M115" s="1497"/>
      <c r="N115" s="1497"/>
    </row>
    <row r="116" spans="1:14" s="1489" customFormat="1" ht="17.399999999999999">
      <c r="I116" s="300"/>
      <c r="J116" s="1497"/>
      <c r="K116" s="1497"/>
      <c r="L116" s="1485"/>
      <c r="M116" s="1497"/>
      <c r="N116" s="1497"/>
    </row>
  </sheetData>
  <mergeCells count="15">
    <mergeCell ref="A1:J1"/>
    <mergeCell ref="J4:K5"/>
    <mergeCell ref="M4:P5"/>
    <mergeCell ref="R4:U5"/>
    <mergeCell ref="D90:G91"/>
    <mergeCell ref="C111:F111"/>
    <mergeCell ref="B110:C110"/>
    <mergeCell ref="AM4:AP5"/>
    <mergeCell ref="AR4:AU5"/>
    <mergeCell ref="AA6:AK6"/>
    <mergeCell ref="Z4:AK5"/>
    <mergeCell ref="AM6:AN6"/>
    <mergeCell ref="AO6:AP6"/>
    <mergeCell ref="W4:X5"/>
    <mergeCell ref="B68:C68"/>
  </mergeCells>
  <conditionalFormatting sqref="AA112:HF116 A75:F75 A76:G82 A87:H89 B113:H114 D84:H84 D83:G83 D110:H110 J112:V116 O90:V92 E108:V109 O110:V111 I93:V94 D112:H112 G111:H111 AA90:HF101 O95:V101 Z95:Z101 Y90:Y101 X95:X101 W90:W101 J103:V107 A92:H107 I102:I107 W103:HF109">
    <cfRule type="expression" dxfId="154" priority="154" stopIfTrue="1">
      <formula>"&lt;0"</formula>
    </cfRule>
  </conditionalFormatting>
  <conditionalFormatting sqref="AA112:HF116 A75:F75 A76:G82 A87:H89 B113:H114 D84:H84 D83:G83 D110:H110 J112:V116 O90:V92 E108:V109 O110:V111 I93:V94 D112:H112 G111:H111 AA90:HF101 O95:V101 Z95:Z101 Y90:Y101 X95:X101 W90:W101 J103:V107 A92:H107 I102:I107 W103:HF109">
    <cfRule type="cellIs" dxfId="153" priority="153" stopIfTrue="1" operator="lessThan">
      <formula>0</formula>
    </cfRule>
  </conditionalFormatting>
  <conditionalFormatting sqref="I78:I79 I86 I89:I92 L96:M96 I96:I100 I112:I115 J100:N100">
    <cfRule type="expression" dxfId="152" priority="147" stopIfTrue="1">
      <formula>"&lt;0"</formula>
    </cfRule>
  </conditionalFormatting>
  <conditionalFormatting sqref="I78:I79 I86 I89:I92 L96:M96 I96:I100 I112:I115 J100:N100">
    <cfRule type="cellIs" dxfId="151" priority="146" stopIfTrue="1" operator="lessThan">
      <formula>0</formula>
    </cfRule>
  </conditionalFormatting>
  <conditionalFormatting sqref="I95">
    <cfRule type="expression" dxfId="150" priority="145" stopIfTrue="1">
      <formula>"&lt;0"</formula>
    </cfRule>
  </conditionalFormatting>
  <conditionalFormatting sqref="I95">
    <cfRule type="cellIs" dxfId="149" priority="144" stopIfTrue="1" operator="lessThan">
      <formula>0</formula>
    </cfRule>
  </conditionalFormatting>
  <conditionalFormatting sqref="I101">
    <cfRule type="expression" dxfId="148" priority="141" stopIfTrue="1">
      <formula>"&lt;0"</formula>
    </cfRule>
  </conditionalFormatting>
  <conditionalFormatting sqref="I101">
    <cfRule type="cellIs" dxfId="147" priority="140" stopIfTrue="1" operator="lessThan">
      <formula>0</formula>
    </cfRule>
  </conditionalFormatting>
  <conditionalFormatting sqref="H76:H77 A90:C91 H90:H91">
    <cfRule type="expression" dxfId="146" priority="137" stopIfTrue="1">
      <formula>"&lt;0"</formula>
    </cfRule>
  </conditionalFormatting>
  <conditionalFormatting sqref="H76:H77 A90:C91 H90:H91">
    <cfRule type="cellIs" dxfId="145" priority="136" stopIfTrue="1" operator="lessThan">
      <formula>0</formula>
    </cfRule>
  </conditionalFormatting>
  <conditionalFormatting sqref="A83:B84">
    <cfRule type="expression" dxfId="144" priority="129" stopIfTrue="1">
      <formula>"&lt;0"</formula>
    </cfRule>
  </conditionalFormatting>
  <conditionalFormatting sqref="A83:B84">
    <cfRule type="cellIs" dxfId="143" priority="128" stopIfTrue="1" operator="lessThan">
      <formula>0</formula>
    </cfRule>
  </conditionalFormatting>
  <conditionalFormatting sqref="AA110:HF111">
    <cfRule type="expression" dxfId="142" priority="123" stopIfTrue="1">
      <formula>"&lt;0"</formula>
    </cfRule>
  </conditionalFormatting>
  <conditionalFormatting sqref="AA110:HF111">
    <cfRule type="cellIs" dxfId="141" priority="122" stopIfTrue="1" operator="lessThan">
      <formula>0</formula>
    </cfRule>
  </conditionalFormatting>
  <conditionalFormatting sqref="I110:I111">
    <cfRule type="expression" dxfId="140" priority="121" stopIfTrue="1">
      <formula>"&lt;0"</formula>
    </cfRule>
  </conditionalFormatting>
  <conditionalFormatting sqref="I110:I111">
    <cfRule type="cellIs" dxfId="139" priority="120" stopIfTrue="1" operator="lessThan">
      <formula>0</formula>
    </cfRule>
  </conditionalFormatting>
  <conditionalFormatting sqref="A110">
    <cfRule type="expression" dxfId="138" priority="119" stopIfTrue="1">
      <formula>"&lt;0"</formula>
    </cfRule>
  </conditionalFormatting>
  <conditionalFormatting sqref="A110">
    <cfRule type="cellIs" dxfId="137" priority="118" stopIfTrue="1" operator="lessThan">
      <formula>0</formula>
    </cfRule>
  </conditionalFormatting>
  <conditionalFormatting sqref="A111:B111">
    <cfRule type="expression" dxfId="136" priority="117" stopIfTrue="1">
      <formula>"&lt;0"</formula>
    </cfRule>
  </conditionalFormatting>
  <conditionalFormatting sqref="A111:B111">
    <cfRule type="cellIs" dxfId="135" priority="116" stopIfTrue="1" operator="lessThan">
      <formula>0</formula>
    </cfRule>
  </conditionalFormatting>
  <conditionalFormatting sqref="D90">
    <cfRule type="expression" dxfId="134" priority="113" stopIfTrue="1">
      <formula>"&lt;0"</formula>
    </cfRule>
  </conditionalFormatting>
  <conditionalFormatting sqref="D90">
    <cfRule type="cellIs" dxfId="133" priority="112" stopIfTrue="1" operator="lessThan">
      <formula>0</formula>
    </cfRule>
  </conditionalFormatting>
  <conditionalFormatting sqref="Q77">
    <cfRule type="cellIs" dxfId="132" priority="152" stopIfTrue="1" operator="notEqual">
      <formula>"ok"</formula>
    </cfRule>
  </conditionalFormatting>
  <conditionalFormatting sqref="R79:R85">
    <cfRule type="cellIs" dxfId="131" priority="151" stopIfTrue="1" operator="notEqual">
      <formula>"ok"</formula>
    </cfRule>
  </conditionalFormatting>
  <conditionalFormatting sqref="U79:U85">
    <cfRule type="cellIs" dxfId="130" priority="149" stopIfTrue="1" operator="notEqual">
      <formula>"ok"</formula>
    </cfRule>
  </conditionalFormatting>
  <conditionalFormatting sqref="N79:N85">
    <cfRule type="cellIs" dxfId="129" priority="148" stopIfTrue="1" operator="notEqual">
      <formula>"ok"</formula>
    </cfRule>
  </conditionalFormatting>
  <conditionalFormatting sqref="C109">
    <cfRule type="expression" dxfId="128" priority="131" stopIfTrue="1">
      <formula>"&lt;0"</formula>
    </cfRule>
  </conditionalFormatting>
  <conditionalFormatting sqref="C109">
    <cfRule type="cellIs" dxfId="127" priority="130" stopIfTrue="1" operator="lessThan">
      <formula>0</formula>
    </cfRule>
  </conditionalFormatting>
  <conditionalFormatting sqref="A108:D108 A109:B109 D109">
    <cfRule type="expression" dxfId="126" priority="135" stopIfTrue="1">
      <formula>"&lt;0"</formula>
    </cfRule>
  </conditionalFormatting>
  <conditionalFormatting sqref="A108:D108 A109:B109 D109">
    <cfRule type="cellIs" dxfId="125" priority="134" stopIfTrue="1" operator="lessThan">
      <formula>0</formula>
    </cfRule>
  </conditionalFormatting>
  <conditionalFormatting sqref="C112">
    <cfRule type="expression" dxfId="124" priority="125" stopIfTrue="1">
      <formula>"&lt;0"</formula>
    </cfRule>
  </conditionalFormatting>
  <conditionalFormatting sqref="C112">
    <cfRule type="cellIs" dxfId="123" priority="124" stopIfTrue="1" operator="lessThan">
      <formula>0</formula>
    </cfRule>
  </conditionalFormatting>
  <conditionalFormatting sqref="A112:B112">
    <cfRule type="expression" dxfId="122" priority="127" stopIfTrue="1">
      <formula>"&lt;0"</formula>
    </cfRule>
  </conditionalFormatting>
  <conditionalFormatting sqref="A112:B112">
    <cfRule type="cellIs" dxfId="121" priority="126" stopIfTrue="1" operator="lessThan">
      <formula>0</formula>
    </cfRule>
  </conditionalFormatting>
  <conditionalFormatting sqref="I74">
    <cfRule type="cellIs" dxfId="120" priority="111" stopIfTrue="1" operator="notEqual">
      <formula>"ok"</formula>
    </cfRule>
  </conditionalFormatting>
  <conditionalFormatting sqref="L74">
    <cfRule type="cellIs" dxfId="119" priority="110" stopIfTrue="1" operator="notEqual">
      <formula>"ok"</formula>
    </cfRule>
  </conditionalFormatting>
  <conditionalFormatting sqref="N74">
    <cfRule type="cellIs" dxfId="118" priority="109" stopIfTrue="1" operator="notEqual">
      <formula>"ok"</formula>
    </cfRule>
  </conditionalFormatting>
  <conditionalFormatting sqref="Q74">
    <cfRule type="cellIs" dxfId="117" priority="108" stopIfTrue="1" operator="notEqual">
      <formula>"ok"</formula>
    </cfRule>
  </conditionalFormatting>
  <conditionalFormatting sqref="R74">
    <cfRule type="cellIs" dxfId="116" priority="107" stopIfTrue="1" operator="notEqual">
      <formula>"ok"</formula>
    </cfRule>
  </conditionalFormatting>
  <conditionalFormatting sqref="Y79:Y85">
    <cfRule type="cellIs" dxfId="115" priority="96" stopIfTrue="1" operator="notEqual">
      <formula>"ok"</formula>
    </cfRule>
  </conditionalFormatting>
  <conditionalFormatting sqref="U74">
    <cfRule type="cellIs" dxfId="114" priority="105" stopIfTrue="1" operator="notEqual">
      <formula>"ok"</formula>
    </cfRule>
  </conditionalFormatting>
  <conditionalFormatting sqref="C85">
    <cfRule type="expression" dxfId="113" priority="102" stopIfTrue="1">
      <formula>"&lt;0"</formula>
    </cfRule>
  </conditionalFormatting>
  <conditionalFormatting sqref="C85">
    <cfRule type="cellIs" dxfId="112" priority="101" stopIfTrue="1" operator="lessThan">
      <formula>0</formula>
    </cfRule>
  </conditionalFormatting>
  <conditionalFormatting sqref="C84">
    <cfRule type="expression" dxfId="111" priority="104" stopIfTrue="1">
      <formula>"&lt;0"</formula>
    </cfRule>
  </conditionalFormatting>
  <conditionalFormatting sqref="C84">
    <cfRule type="cellIs" dxfId="110" priority="103" stopIfTrue="1" operator="lessThan">
      <formula>0</formula>
    </cfRule>
  </conditionalFormatting>
  <conditionalFormatting sqref="C83">
    <cfRule type="expression" dxfId="109" priority="100" stopIfTrue="1">
      <formula>"&lt;0"</formula>
    </cfRule>
  </conditionalFormatting>
  <conditionalFormatting sqref="C83">
    <cfRule type="cellIs" dxfId="108" priority="99" stopIfTrue="1" operator="lessThan">
      <formula>0</formula>
    </cfRule>
  </conditionalFormatting>
  <conditionalFormatting sqref="Z110:Z111">
    <cfRule type="expression" dxfId="107" priority="92" stopIfTrue="1">
      <formula>"&lt;0"</formula>
    </cfRule>
  </conditionalFormatting>
  <conditionalFormatting sqref="Z110:Z111">
    <cfRule type="cellIs" dxfId="106" priority="91" stopIfTrue="1" operator="lessThan">
      <formula>0</formula>
    </cfRule>
  </conditionalFormatting>
  <conditionalFormatting sqref="Y110:Y111">
    <cfRule type="expression" dxfId="105" priority="90" stopIfTrue="1">
      <formula>"&lt;0"</formula>
    </cfRule>
  </conditionalFormatting>
  <conditionalFormatting sqref="Y110:Y111">
    <cfRule type="cellIs" dxfId="104" priority="89" stopIfTrue="1" operator="lessThan">
      <formula>0</formula>
    </cfRule>
  </conditionalFormatting>
  <conditionalFormatting sqref="Z90 Z112:Z116">
    <cfRule type="expression" dxfId="103" priority="98" stopIfTrue="1">
      <formula>"&lt;0"</formula>
    </cfRule>
  </conditionalFormatting>
  <conditionalFormatting sqref="Z90 Z112:Z116">
    <cfRule type="cellIs" dxfId="102" priority="97" stopIfTrue="1" operator="lessThan">
      <formula>0</formula>
    </cfRule>
  </conditionalFormatting>
  <conditionalFormatting sqref="Y78">
    <cfRule type="cellIs" dxfId="101" priority="93" stopIfTrue="1" operator="notEqual">
      <formula>"ok"</formula>
    </cfRule>
  </conditionalFormatting>
  <conditionalFormatting sqref="Y112:Y116">
    <cfRule type="expression" dxfId="100" priority="95" stopIfTrue="1">
      <formula>"&lt;0"</formula>
    </cfRule>
  </conditionalFormatting>
  <conditionalFormatting sqref="Y112:Y116">
    <cfRule type="cellIs" dxfId="99" priority="94" stopIfTrue="1" operator="lessThan">
      <formula>0</formula>
    </cfRule>
  </conditionalFormatting>
  <conditionalFormatting sqref="Z91:Z94">
    <cfRule type="expression" dxfId="98" priority="88" stopIfTrue="1">
      <formula>"&lt;0"</formula>
    </cfRule>
  </conditionalFormatting>
  <conditionalFormatting sqref="Z91:Z94">
    <cfRule type="cellIs" dxfId="97" priority="87" stopIfTrue="1" operator="lessThan">
      <formula>0</formula>
    </cfRule>
  </conditionalFormatting>
  <conditionalFormatting sqref="W79:W85">
    <cfRule type="cellIs" dxfId="96" priority="84" stopIfTrue="1" operator="notEqual">
      <formula>"ok"</formula>
    </cfRule>
  </conditionalFormatting>
  <conditionalFormatting sqref="X110:X111">
    <cfRule type="expression" dxfId="95" priority="80" stopIfTrue="1">
      <formula>"&lt;0"</formula>
    </cfRule>
  </conditionalFormatting>
  <conditionalFormatting sqref="X110:X111">
    <cfRule type="cellIs" dxfId="94" priority="79" stopIfTrue="1" operator="lessThan">
      <formula>0</formula>
    </cfRule>
  </conditionalFormatting>
  <conditionalFormatting sqref="W110:W111">
    <cfRule type="expression" dxfId="93" priority="78" stopIfTrue="1">
      <formula>"&lt;0"</formula>
    </cfRule>
  </conditionalFormatting>
  <conditionalFormatting sqref="W110:W111">
    <cfRule type="cellIs" dxfId="92" priority="77" stopIfTrue="1" operator="lessThan">
      <formula>0</formula>
    </cfRule>
  </conditionalFormatting>
  <conditionalFormatting sqref="X90 X112:X116">
    <cfRule type="expression" dxfId="91" priority="86" stopIfTrue="1">
      <formula>"&lt;0"</formula>
    </cfRule>
  </conditionalFormatting>
  <conditionalFormatting sqref="X90 X112:X116">
    <cfRule type="cellIs" dxfId="90" priority="85" stopIfTrue="1" operator="lessThan">
      <formula>0</formula>
    </cfRule>
  </conditionalFormatting>
  <conditionalFormatting sqref="W112:W116">
    <cfRule type="expression" dxfId="89" priority="83" stopIfTrue="1">
      <formula>"&lt;0"</formula>
    </cfRule>
  </conditionalFormatting>
  <conditionalFormatting sqref="W112:W116">
    <cfRule type="cellIs" dxfId="88" priority="82" stopIfTrue="1" operator="lessThan">
      <formula>0</formula>
    </cfRule>
  </conditionalFormatting>
  <conditionalFormatting sqref="X91:X94">
    <cfRule type="expression" dxfId="87" priority="76" stopIfTrue="1">
      <formula>"&lt;0"</formula>
    </cfRule>
  </conditionalFormatting>
  <conditionalFormatting sqref="X91:X94">
    <cfRule type="cellIs" dxfId="86" priority="75" stopIfTrue="1" operator="lessThan">
      <formula>0</formula>
    </cfRule>
  </conditionalFormatting>
  <conditionalFormatting sqref="O79:O85">
    <cfRule type="cellIs" dxfId="85" priority="66" stopIfTrue="1" operator="notEqual">
      <formula>"ok"</formula>
    </cfRule>
  </conditionalFormatting>
  <conditionalFormatting sqref="X74">
    <cfRule type="cellIs" dxfId="84" priority="73" stopIfTrue="1" operator="notEqual">
      <formula>"ok"</formula>
    </cfRule>
  </conditionalFormatting>
  <conditionalFormatting sqref="Y74">
    <cfRule type="cellIs" dxfId="83" priority="72" stopIfTrue="1" operator="notEqual">
      <formula>"ok"</formula>
    </cfRule>
  </conditionalFormatting>
  <conditionalFormatting sqref="Z74">
    <cfRule type="cellIs" dxfId="82" priority="71" stopIfTrue="1" operator="notEqual">
      <formula>"ok"</formula>
    </cfRule>
  </conditionalFormatting>
  <conditionalFormatting sqref="J79 J86">
    <cfRule type="expression" dxfId="81" priority="65" stopIfTrue="1">
      <formula>"&lt;0"</formula>
    </cfRule>
  </conditionalFormatting>
  <conditionalFormatting sqref="J79 J86">
    <cfRule type="cellIs" dxfId="80" priority="64" stopIfTrue="1" operator="lessThan">
      <formula>0</formula>
    </cfRule>
  </conditionalFormatting>
  <conditionalFormatting sqref="S79:S85">
    <cfRule type="cellIs" dxfId="79" priority="69" stopIfTrue="1" operator="notEqual">
      <formula>"ok"</formula>
    </cfRule>
  </conditionalFormatting>
  <conditionalFormatting sqref="V77:V85">
    <cfRule type="cellIs" dxfId="78" priority="67" stopIfTrue="1" operator="notEqual">
      <formula>"ok"</formula>
    </cfRule>
  </conditionalFormatting>
  <conditionalFormatting sqref="J74">
    <cfRule type="cellIs" dxfId="77" priority="63" stopIfTrue="1" operator="notEqual">
      <formula>"ok"</formula>
    </cfRule>
  </conditionalFormatting>
  <conditionalFormatting sqref="M74">
    <cfRule type="cellIs" dxfId="76" priority="62" stopIfTrue="1" operator="notEqual">
      <formula>"ok"</formula>
    </cfRule>
  </conditionalFormatting>
  <conditionalFormatting sqref="O74">
    <cfRule type="cellIs" dxfId="75" priority="61" stopIfTrue="1" operator="notEqual">
      <formula>"ok"</formula>
    </cfRule>
  </conditionalFormatting>
  <conditionalFormatting sqref="R74">
    <cfRule type="cellIs" dxfId="74" priority="60" stopIfTrue="1" operator="notEqual">
      <formula>"ok"</formula>
    </cfRule>
  </conditionalFormatting>
  <conditionalFormatting sqref="S74">
    <cfRule type="cellIs" dxfId="73" priority="59" stopIfTrue="1" operator="notEqual">
      <formula>"ok"</formula>
    </cfRule>
  </conditionalFormatting>
  <conditionalFormatting sqref="U74">
    <cfRule type="cellIs" dxfId="72" priority="58" stopIfTrue="1" operator="notEqual">
      <formula>"ok"</formula>
    </cfRule>
  </conditionalFormatting>
  <conditionalFormatting sqref="V74">
    <cfRule type="cellIs" dxfId="71" priority="57" stopIfTrue="1" operator="notEqual">
      <formula>"ok"</formula>
    </cfRule>
  </conditionalFormatting>
  <conditionalFormatting sqref="Z79:Z85">
    <cfRule type="cellIs" dxfId="70" priority="56" stopIfTrue="1" operator="notEqual">
      <formula>"ok"</formula>
    </cfRule>
  </conditionalFormatting>
  <conditionalFormatting sqref="X79:X85">
    <cfRule type="cellIs" dxfId="69" priority="54" stopIfTrue="1" operator="notEqual">
      <formula>"ok"</formula>
    </cfRule>
  </conditionalFormatting>
  <conditionalFormatting sqref="X74">
    <cfRule type="cellIs" dxfId="68" priority="52" stopIfTrue="1" operator="notEqual">
      <formula>"ok"</formula>
    </cfRule>
  </conditionalFormatting>
  <conditionalFormatting sqref="Y74">
    <cfRule type="cellIs" dxfId="67" priority="51" stopIfTrue="1" operator="notEqual">
      <formula>"ok"</formula>
    </cfRule>
  </conditionalFormatting>
  <conditionalFormatting sqref="Z74">
    <cfRule type="cellIs" dxfId="66" priority="50" stopIfTrue="1" operator="notEqual">
      <formula>"ok"</formula>
    </cfRule>
  </conditionalFormatting>
  <conditionalFormatting sqref="AA74">
    <cfRule type="cellIs" dxfId="65" priority="49" stopIfTrue="1" operator="notEqual">
      <formula>"ok"</formula>
    </cfRule>
  </conditionalFormatting>
  <conditionalFormatting sqref="T79:T85">
    <cfRule type="cellIs" dxfId="64" priority="48" stopIfTrue="1" operator="notEqual">
      <formula>"ok"</formula>
    </cfRule>
  </conditionalFormatting>
  <conditionalFormatting sqref="T74">
    <cfRule type="cellIs" dxfId="63" priority="47" stopIfTrue="1" operator="notEqual">
      <formula>"ok"</formula>
    </cfRule>
  </conditionalFormatting>
  <conditionalFormatting sqref="W74">
    <cfRule type="cellIs" dxfId="62" priority="46" stopIfTrue="1" operator="notEqual">
      <formula>"ok"</formula>
    </cfRule>
  </conditionalFormatting>
  <conditionalFormatting sqref="W74">
    <cfRule type="cellIs" dxfId="61" priority="45" stopIfTrue="1" operator="notEqual">
      <formula>"ok"</formula>
    </cfRule>
  </conditionalFormatting>
  <conditionalFormatting sqref="AK74">
    <cfRule type="cellIs" dxfId="60" priority="44" stopIfTrue="1" operator="notEqual">
      <formula>"ok"</formula>
    </cfRule>
  </conditionalFormatting>
  <conditionalFormatting sqref="AK74">
    <cfRule type="cellIs" dxfId="59" priority="43" stopIfTrue="1" operator="notEqual">
      <formula>"ok"</formula>
    </cfRule>
  </conditionalFormatting>
  <conditionalFormatting sqref="AM74">
    <cfRule type="cellIs" dxfId="58" priority="42" stopIfTrue="1" operator="notEqual">
      <formula>"ok"</formula>
    </cfRule>
  </conditionalFormatting>
  <conditionalFormatting sqref="AN74">
    <cfRule type="cellIs" dxfId="57" priority="41" stopIfTrue="1" operator="notEqual">
      <formula>"ok"</formula>
    </cfRule>
  </conditionalFormatting>
  <conditionalFormatting sqref="AO74">
    <cfRule type="cellIs" dxfId="56" priority="40" stopIfTrue="1" operator="notEqual">
      <formula>"ok"</formula>
    </cfRule>
  </conditionalFormatting>
  <conditionalFormatting sqref="AP74">
    <cfRule type="cellIs" dxfId="55" priority="39" stopIfTrue="1" operator="notEqual">
      <formula>"ok"</formula>
    </cfRule>
  </conditionalFormatting>
  <conditionalFormatting sqref="A113:A114">
    <cfRule type="expression" dxfId="54" priority="38" stopIfTrue="1">
      <formula>"&lt;0"</formula>
    </cfRule>
  </conditionalFormatting>
  <conditionalFormatting sqref="A113:A114">
    <cfRule type="cellIs" dxfId="53" priority="37" stopIfTrue="1" operator="lessThan">
      <formula>0</formula>
    </cfRule>
  </conditionalFormatting>
  <conditionalFormatting sqref="A115">
    <cfRule type="expression" dxfId="52" priority="36" stopIfTrue="1">
      <formula>"&lt;0"</formula>
    </cfRule>
  </conditionalFormatting>
  <conditionalFormatting sqref="A115">
    <cfRule type="cellIs" dxfId="51" priority="35" stopIfTrue="1" operator="lessThan">
      <formula>0</formula>
    </cfRule>
  </conditionalFormatting>
  <conditionalFormatting sqref="C111">
    <cfRule type="expression" dxfId="50" priority="34" stopIfTrue="1">
      <formula>"&lt;0"</formula>
    </cfRule>
  </conditionalFormatting>
  <conditionalFormatting sqref="C111">
    <cfRule type="cellIs" dxfId="49" priority="33" stopIfTrue="1" operator="lessThan">
      <formula>0</formula>
    </cfRule>
  </conditionalFormatting>
  <conditionalFormatting sqref="J78">
    <cfRule type="cellIs" dxfId="48" priority="32" stopIfTrue="1" operator="notEqual">
      <formula>"ok"</formula>
    </cfRule>
  </conditionalFormatting>
  <conditionalFormatting sqref="K78">
    <cfRule type="cellIs" dxfId="47" priority="31" stopIfTrue="1" operator="notEqual">
      <formula>"ok"</formula>
    </cfRule>
  </conditionalFormatting>
  <conditionalFormatting sqref="M78">
    <cfRule type="cellIs" dxfId="46" priority="30" stopIfTrue="1" operator="notEqual">
      <formula>"ok"</formula>
    </cfRule>
  </conditionalFormatting>
  <conditionalFormatting sqref="N78">
    <cfRule type="cellIs" dxfId="45" priority="29" stopIfTrue="1" operator="notEqual">
      <formula>"ok"</formula>
    </cfRule>
  </conditionalFormatting>
  <conditionalFormatting sqref="O78">
    <cfRule type="cellIs" dxfId="44" priority="28" stopIfTrue="1" operator="notEqual">
      <formula>"ok"</formula>
    </cfRule>
  </conditionalFormatting>
  <conditionalFormatting sqref="P78">
    <cfRule type="cellIs" dxfId="43" priority="27" stopIfTrue="1" operator="notEqual">
      <formula>"ok"</formula>
    </cfRule>
  </conditionalFormatting>
  <conditionalFormatting sqref="R78">
    <cfRule type="cellIs" dxfId="42" priority="26" stopIfTrue="1" operator="notEqual">
      <formula>"ok"</formula>
    </cfRule>
  </conditionalFormatting>
  <conditionalFormatting sqref="S78">
    <cfRule type="cellIs" dxfId="41" priority="25" stopIfTrue="1" operator="notEqual">
      <formula>"ok"</formula>
    </cfRule>
  </conditionalFormatting>
  <conditionalFormatting sqref="T78">
    <cfRule type="cellIs" dxfId="40" priority="24" stopIfTrue="1" operator="notEqual">
      <formula>"ok"</formula>
    </cfRule>
  </conditionalFormatting>
  <conditionalFormatting sqref="U78">
    <cfRule type="cellIs" dxfId="39" priority="23" stopIfTrue="1" operator="notEqual">
      <formula>"ok"</formula>
    </cfRule>
  </conditionalFormatting>
  <conditionalFormatting sqref="W78">
    <cfRule type="cellIs" dxfId="38" priority="22" stopIfTrue="1" operator="notEqual">
      <formula>"ok"</formula>
    </cfRule>
  </conditionalFormatting>
  <conditionalFormatting sqref="X78">
    <cfRule type="cellIs" dxfId="37" priority="21" stopIfTrue="1" operator="notEqual">
      <formula>"ok"</formula>
    </cfRule>
  </conditionalFormatting>
  <conditionalFormatting sqref="Z78">
    <cfRule type="cellIs" dxfId="36" priority="20" stopIfTrue="1" operator="notEqual">
      <formula>"ok"</formula>
    </cfRule>
  </conditionalFormatting>
  <conditionalFormatting sqref="AK78">
    <cfRule type="cellIs" dxfId="35" priority="19" stopIfTrue="1" operator="notEqual">
      <formula>"ok"</formula>
    </cfRule>
  </conditionalFormatting>
  <conditionalFormatting sqref="AM78">
    <cfRule type="cellIs" dxfId="34" priority="18" stopIfTrue="1" operator="notEqual">
      <formula>"ok"</formula>
    </cfRule>
  </conditionalFormatting>
  <conditionalFormatting sqref="AN78">
    <cfRule type="cellIs" dxfId="33" priority="17" stopIfTrue="1" operator="notEqual">
      <formula>"ok"</formula>
    </cfRule>
  </conditionalFormatting>
  <conditionalFormatting sqref="AO78">
    <cfRule type="cellIs" dxfId="32" priority="16" stopIfTrue="1" operator="notEqual">
      <formula>"ok"</formula>
    </cfRule>
  </conditionalFormatting>
  <conditionalFormatting sqref="AP78">
    <cfRule type="cellIs" dxfId="31" priority="15" stopIfTrue="1" operator="notEqual">
      <formula>"ok"</formula>
    </cfRule>
  </conditionalFormatting>
  <conditionalFormatting sqref="AR78">
    <cfRule type="cellIs" dxfId="30" priority="14" stopIfTrue="1" operator="notEqual">
      <formula>"ok"</formula>
    </cfRule>
  </conditionalFormatting>
  <conditionalFormatting sqref="AT78">
    <cfRule type="cellIs" dxfId="29" priority="13" stopIfTrue="1" operator="notEqual">
      <formula>"ok"</formula>
    </cfRule>
  </conditionalFormatting>
  <conditionalFormatting sqref="AU78">
    <cfRule type="cellIs" dxfId="28" priority="12" stopIfTrue="1" operator="notEqual">
      <formula>"ok"</formula>
    </cfRule>
  </conditionalFormatting>
  <conditionalFormatting sqref="AM82">
    <cfRule type="cellIs" dxfId="27" priority="11" stopIfTrue="1" operator="notEqual">
      <formula>"ok"</formula>
    </cfRule>
  </conditionalFormatting>
  <conditionalFormatting sqref="AN82">
    <cfRule type="cellIs" dxfId="26" priority="10" stopIfTrue="1" operator="notEqual">
      <formula>"ok"</formula>
    </cfRule>
  </conditionalFormatting>
  <conditionalFormatting sqref="AO82">
    <cfRule type="cellIs" dxfId="25" priority="9" stopIfTrue="1" operator="notEqual">
      <formula>"ok"</formula>
    </cfRule>
  </conditionalFormatting>
  <conditionalFormatting sqref="AP82">
    <cfRule type="cellIs" dxfId="24" priority="8" stopIfTrue="1" operator="notEqual">
      <formula>"ok"</formula>
    </cfRule>
  </conditionalFormatting>
  <conditionalFormatting sqref="AR74">
    <cfRule type="cellIs" dxfId="23" priority="6" stopIfTrue="1" operator="notEqual">
      <formula>"ok"</formula>
    </cfRule>
  </conditionalFormatting>
  <conditionalFormatting sqref="AW26:AW66">
    <cfRule type="cellIs" dxfId="22" priority="5" stopIfTrue="1" operator="notEqual">
      <formula>"ok"</formula>
    </cfRule>
  </conditionalFormatting>
  <conditionalFormatting sqref="AX26:AX66">
    <cfRule type="cellIs" dxfId="21" priority="4" stopIfTrue="1" operator="notEqual">
      <formula>"ok"</formula>
    </cfRule>
  </conditionalFormatting>
  <conditionalFormatting sqref="AY26:AY66">
    <cfRule type="cellIs" dxfId="20" priority="3" stopIfTrue="1" operator="notEqual">
      <formula>"ok"</formula>
    </cfRule>
  </conditionalFormatting>
  <hyperlinks>
    <hyperlink ref="D90" r:id="rId1"/>
  </hyperlinks>
  <pageMargins left="0.55118110236220474" right="0.23622047244094491" top="0.43307086614173229" bottom="0.43307086614173229" header="0.27559055118110237" footer="0.27559055118110237"/>
  <pageSetup paperSize="8" scale="30" orientation="landscape" r:id="rId2"/>
  <headerFooter scaleWithDoc="0" alignWithMargins="0"/>
  <ignoredErrors>
    <ignoredError sqref="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E87"/>
  <sheetViews>
    <sheetView view="pageBreakPreview" zoomScale="40" zoomScaleNormal="70" zoomScaleSheetLayoutView="40" workbookViewId="0">
      <pane xSplit="1" ySplit="1" topLeftCell="B2" activePane="bottomRight" state="frozen"/>
      <selection pane="topRight" activeCell="B1" sqref="B1"/>
      <selection pane="bottomLeft" activeCell="A2" sqref="A2"/>
      <selection pane="bottomRight" sqref="A1:J1"/>
    </sheetView>
  </sheetViews>
  <sheetFormatPr defaultColWidth="9.109375" defaultRowHeight="14.4"/>
  <cols>
    <col min="1" max="1" width="60.33203125" style="51" customWidth="1"/>
    <col min="2" max="2" width="18.6640625" style="51" customWidth="1"/>
    <col min="3" max="3" width="27.109375" style="51" customWidth="1"/>
    <col min="4" max="4" width="22.88671875" style="51" customWidth="1"/>
    <col min="5" max="5" width="20.5546875" style="51" customWidth="1"/>
    <col min="6" max="6" width="19.44140625" style="51" customWidth="1"/>
    <col min="7" max="7" width="17.6640625" style="51" customWidth="1"/>
    <col min="8" max="8" width="14.5546875" style="51" customWidth="1"/>
    <col min="9" max="9" width="27.5546875" style="51" customWidth="1"/>
    <col min="10" max="10" width="21" style="276" customWidth="1"/>
    <col min="11" max="11" width="17.33203125" style="51" customWidth="1"/>
    <col min="12" max="12" width="25.109375" style="51" customWidth="1"/>
    <col min="13" max="13" width="19.44140625" style="276" customWidth="1"/>
    <col min="14" max="14" width="17.33203125" style="51" customWidth="1"/>
    <col min="15" max="15" width="13.6640625" style="51" bestFit="1" customWidth="1"/>
    <col min="16" max="16" width="19.109375" style="276" customWidth="1"/>
    <col min="17" max="17" width="17.33203125" style="51" customWidth="1"/>
    <col min="18" max="18" width="13.5546875" style="51" bestFit="1" customWidth="1"/>
    <col min="19" max="19" width="23.88671875" style="276" customWidth="1"/>
    <col min="20" max="20" width="17.33203125" style="51" customWidth="1"/>
    <col min="21" max="21" width="26.44140625" style="51" customWidth="1"/>
    <col min="22" max="22" width="24.5546875" style="51" customWidth="1"/>
    <col min="23" max="23" width="20.44140625" style="276" customWidth="1"/>
    <col min="24" max="24" width="17.33203125" style="51" customWidth="1"/>
    <col min="25" max="25" width="19.44140625" style="51" customWidth="1"/>
    <col min="26" max="26" width="14.5546875" style="276" customWidth="1"/>
    <col min="27" max="27" width="13.44140625" style="276" customWidth="1"/>
    <col min="28" max="28" width="13.109375" style="276" customWidth="1"/>
    <col min="29" max="29" width="15.6640625" style="51" customWidth="1"/>
    <col min="30" max="30" width="13.109375" style="51" customWidth="1"/>
    <col min="31" max="31" width="15.33203125" style="51" customWidth="1"/>
    <col min="32" max="32" width="26" style="51" customWidth="1"/>
    <col min="33" max="33" width="20.109375" style="276" customWidth="1"/>
    <col min="34" max="34" width="17.33203125" style="51" customWidth="1"/>
    <col min="35" max="35" width="29.33203125" style="51" customWidth="1"/>
    <col min="36" max="36" width="18.33203125" style="276" customWidth="1"/>
    <col min="37" max="37" width="17.33203125" style="51" customWidth="1"/>
    <col min="38" max="38" width="31.6640625" style="51" customWidth="1"/>
    <col min="39" max="39" width="20.33203125" style="276" customWidth="1"/>
    <col min="40" max="40" width="17.33203125" style="51" customWidth="1"/>
    <col min="41" max="41" width="23.33203125" style="51" customWidth="1"/>
    <col min="42" max="42" width="25.44140625" style="276" customWidth="1"/>
    <col min="43" max="43" width="17.33203125" style="51" customWidth="1"/>
    <col min="44" max="44" width="26.44140625" style="51" customWidth="1"/>
    <col min="45" max="45" width="22.109375" style="276" customWidth="1"/>
    <col min="46" max="46" width="17.33203125" style="51" customWidth="1"/>
    <col min="47" max="47" width="25.6640625" style="51" customWidth="1"/>
    <col min="48" max="48" width="23.44140625" style="276" customWidth="1"/>
    <col min="49" max="49" width="17.33203125" style="51" customWidth="1"/>
    <col min="50" max="50" width="24.44140625" style="51" customWidth="1"/>
    <col min="51" max="51" width="16.5546875" style="51" customWidth="1"/>
    <col min="52" max="52" width="14" style="51" customWidth="1"/>
    <col min="53" max="53" width="20.33203125" style="51" customWidth="1"/>
    <col min="54" max="54" width="9.109375" style="51"/>
    <col min="55" max="55" width="22.88671875" style="51" customWidth="1"/>
    <col min="56" max="56" width="29.33203125" style="51" customWidth="1"/>
    <col min="57" max="57" width="23.33203125" style="51" customWidth="1"/>
    <col min="58" max="16384" width="9.109375" style="51"/>
  </cols>
  <sheetData>
    <row r="1" spans="1:57" ht="25.5" customHeight="1" thickBot="1">
      <c r="A1" s="1704" t="str">
        <f>"TABEL 5: Reconciliatie van het gebudgetteerd inkomen voor de gereguleerde activiteit 'elektriciteit' met de geraamde omzet voor de periodieke tarieven (afname)"</f>
        <v>TABEL 5: Reconciliatie van het gebudgetteerd inkomen voor de gereguleerde activiteit 'elektriciteit' met de geraamde omzet voor de periodieke tarieven (afname)</v>
      </c>
      <c r="B1" s="1705"/>
      <c r="C1" s="1705"/>
      <c r="D1" s="1705"/>
      <c r="E1" s="1705"/>
      <c r="F1" s="1705"/>
      <c r="G1" s="1705"/>
      <c r="H1" s="1705"/>
      <c r="I1" s="1705"/>
      <c r="J1" s="1706"/>
      <c r="K1" s="410"/>
      <c r="L1" s="410"/>
      <c r="M1" s="1099"/>
      <c r="N1" s="410"/>
      <c r="O1" s="410"/>
      <c r="P1" s="1099"/>
      <c r="Q1" s="410"/>
      <c r="R1" s="410"/>
      <c r="S1" s="1099"/>
      <c r="T1" s="410"/>
      <c r="U1" s="410"/>
      <c r="V1" s="410"/>
      <c r="W1" s="1099"/>
      <c r="X1" s="410"/>
      <c r="Y1" s="410"/>
      <c r="Z1" s="1099"/>
      <c r="AA1" s="1099"/>
      <c r="AB1" s="1099"/>
      <c r="AC1" s="410"/>
      <c r="AD1" s="410"/>
      <c r="AE1" s="410"/>
      <c r="AF1" s="410"/>
      <c r="AG1" s="1099"/>
      <c r="AH1" s="410"/>
      <c r="AI1" s="410"/>
      <c r="AJ1" s="1099"/>
      <c r="AK1" s="410"/>
      <c r="AL1" s="410"/>
      <c r="AM1" s="1099"/>
      <c r="AN1" s="410"/>
      <c r="AO1" s="410"/>
      <c r="AP1" s="1099"/>
      <c r="AQ1" s="410"/>
      <c r="AR1" s="410"/>
      <c r="AS1" s="1099"/>
      <c r="AT1" s="410"/>
      <c r="AU1" s="410"/>
      <c r="AV1" s="1099"/>
      <c r="AW1" s="410"/>
      <c r="AX1" s="410"/>
      <c r="AY1" s="410"/>
      <c r="AZ1" s="410"/>
      <c r="BA1" s="410"/>
      <c r="BB1" s="410"/>
      <c r="BC1" s="410"/>
      <c r="BD1" s="410"/>
      <c r="BE1" s="410"/>
    </row>
    <row r="2" spans="1:57" ht="15" thickBot="1">
      <c r="A2" s="47"/>
      <c r="B2" s="47"/>
      <c r="C2" s="47"/>
      <c r="D2" s="411"/>
      <c r="E2" s="411"/>
      <c r="F2" s="412"/>
      <c r="G2" s="412"/>
      <c r="H2" s="412"/>
      <c r="I2" s="412"/>
      <c r="J2" s="1097"/>
      <c r="K2" s="412"/>
      <c r="L2" s="412"/>
      <c r="M2" s="1097"/>
      <c r="N2" s="412"/>
      <c r="O2" s="412"/>
      <c r="P2" s="1097"/>
      <c r="Q2" s="412"/>
      <c r="R2" s="412"/>
      <c r="S2" s="1097"/>
      <c r="T2" s="412"/>
      <c r="U2" s="412"/>
      <c r="V2" s="412"/>
      <c r="W2" s="1097"/>
      <c r="X2" s="412"/>
      <c r="Y2" s="412"/>
      <c r="Z2" s="1097"/>
      <c r="AA2" s="1097"/>
      <c r="AB2" s="1097"/>
      <c r="AC2" s="412"/>
      <c r="AD2" s="412"/>
      <c r="AE2" s="412"/>
      <c r="AF2" s="412"/>
      <c r="AG2" s="1097"/>
      <c r="AH2" s="412"/>
      <c r="AI2" s="412"/>
      <c r="AJ2" s="1097"/>
      <c r="AK2" s="412"/>
      <c r="AL2" s="412"/>
      <c r="AM2" s="1097"/>
      <c r="AN2" s="412"/>
      <c r="AO2" s="412"/>
      <c r="AP2" s="1097"/>
      <c r="AQ2" s="412"/>
      <c r="AR2" s="412"/>
      <c r="AS2" s="1097"/>
      <c r="AT2" s="412"/>
      <c r="AU2" s="412"/>
      <c r="AV2" s="1097"/>
      <c r="AW2" s="412"/>
      <c r="AX2" s="412"/>
      <c r="AY2" s="412"/>
      <c r="AZ2" s="412"/>
      <c r="BA2" s="412"/>
      <c r="BB2" s="412"/>
      <c r="BC2" s="412"/>
      <c r="BD2" s="412"/>
      <c r="BE2" s="412"/>
    </row>
    <row r="3" spans="1:57" ht="15" thickBot="1">
      <c r="A3" s="46" t="s">
        <v>14</v>
      </c>
      <c r="B3" s="1601" t="str">
        <f>+TITELBLAD!$C$7</f>
        <v>Inter-energa</v>
      </c>
      <c r="C3" s="1602"/>
      <c r="D3" s="1602"/>
      <c r="E3" s="1602"/>
      <c r="F3" s="1603"/>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57">
      <c r="A4" s="47"/>
      <c r="B4" s="47"/>
      <c r="C4" s="47"/>
      <c r="D4" s="411"/>
      <c r="E4" s="411"/>
      <c r="F4" s="412"/>
      <c r="G4" s="412"/>
      <c r="H4" s="412"/>
      <c r="I4" s="412"/>
      <c r="J4" s="1097"/>
      <c r="K4" s="412"/>
      <c r="L4" s="412"/>
      <c r="M4" s="1097"/>
      <c r="N4" s="412"/>
      <c r="O4" s="412"/>
      <c r="P4" s="1097"/>
      <c r="Q4" s="412"/>
      <c r="R4" s="412"/>
      <c r="S4" s="1097"/>
      <c r="T4" s="412"/>
      <c r="U4" s="412"/>
      <c r="V4" s="412"/>
      <c r="W4" s="1097"/>
      <c r="X4" s="412"/>
      <c r="Y4" s="412"/>
      <c r="Z4" s="1097"/>
      <c r="AA4" s="1097"/>
      <c r="AB4" s="1097"/>
      <c r="AC4" s="412"/>
      <c r="AD4" s="412"/>
      <c r="AE4" s="412"/>
      <c r="AF4" s="412"/>
      <c r="AG4" s="1097"/>
      <c r="AH4" s="412"/>
      <c r="AI4" s="412"/>
      <c r="AJ4" s="1097"/>
      <c r="AK4" s="412"/>
      <c r="AL4" s="412"/>
      <c r="AM4" s="1097"/>
      <c r="AN4" s="412"/>
      <c r="AO4" s="412"/>
      <c r="AP4" s="1097"/>
      <c r="AQ4" s="412"/>
      <c r="AR4" s="412"/>
      <c r="AS4" s="1097"/>
      <c r="AT4" s="412"/>
      <c r="AU4" s="412"/>
      <c r="AV4" s="1097"/>
      <c r="AW4" s="412"/>
      <c r="AX4" s="412"/>
      <c r="AY4" s="412"/>
      <c r="AZ4" s="412"/>
      <c r="BA4" s="412"/>
      <c r="BB4" s="412"/>
      <c r="BC4" s="412"/>
      <c r="BD4" s="412"/>
      <c r="BE4" s="412"/>
    </row>
    <row r="5" spans="1:57">
      <c r="A5" s="413" t="s">
        <v>173</v>
      </c>
      <c r="B5" s="193"/>
      <c r="C5" s="193"/>
      <c r="D5" s="20"/>
      <c r="E5" s="20"/>
      <c r="F5" s="19"/>
      <c r="G5" s="19"/>
      <c r="H5" s="19"/>
      <c r="I5" s="19"/>
      <c r="J5" s="1098"/>
      <c r="K5" s="19"/>
      <c r="L5" s="19"/>
      <c r="M5" s="1098"/>
      <c r="N5" s="19"/>
      <c r="O5" s="19"/>
      <c r="P5" s="1098"/>
      <c r="Q5" s="19"/>
      <c r="R5" s="19"/>
      <c r="S5" s="1098"/>
      <c r="T5" s="19"/>
      <c r="U5" s="19"/>
      <c r="V5" s="19"/>
      <c r="W5" s="1098"/>
      <c r="X5" s="19"/>
      <c r="Y5" s="19"/>
      <c r="Z5" s="1098"/>
      <c r="AA5" s="1098"/>
      <c r="AB5" s="1098"/>
      <c r="AC5" s="19"/>
      <c r="AD5" s="19"/>
      <c r="AE5" s="19"/>
      <c r="AF5" s="19"/>
      <c r="AG5" s="1098"/>
      <c r="AH5" s="19"/>
      <c r="AI5" s="19"/>
      <c r="AJ5" s="1098"/>
      <c r="AK5" s="19"/>
      <c r="AL5" s="19"/>
      <c r="AM5" s="1098"/>
      <c r="AN5" s="19"/>
      <c r="AO5" s="19"/>
      <c r="AP5" s="1098"/>
      <c r="AQ5" s="19"/>
      <c r="AR5" s="19"/>
      <c r="AS5" s="1098"/>
      <c r="AT5" s="19"/>
      <c r="AU5" s="19"/>
      <c r="AV5" s="1098"/>
      <c r="AW5" s="19"/>
      <c r="AX5" s="19"/>
      <c r="AY5" s="19"/>
      <c r="AZ5" s="19"/>
      <c r="BA5" s="19"/>
      <c r="BB5" s="19"/>
      <c r="BC5" s="19"/>
      <c r="BD5" s="19"/>
      <c r="BE5" s="19"/>
    </row>
    <row r="6" spans="1:57" ht="18.75" customHeight="1" thickBot="1">
      <c r="A6" s="1711" t="s">
        <v>338</v>
      </c>
      <c r="B6" s="1711"/>
      <c r="C6" s="1711"/>
      <c r="D6" s="1711"/>
      <c r="E6" s="1711"/>
      <c r="F6" s="19"/>
      <c r="G6" s="19"/>
      <c r="H6" s="19"/>
      <c r="I6" s="19"/>
      <c r="J6" s="1098"/>
      <c r="K6" s="19"/>
      <c r="L6" s="19"/>
      <c r="M6" s="1098"/>
      <c r="N6" s="19"/>
      <c r="O6" s="19"/>
      <c r="P6" s="1098"/>
      <c r="Q6" s="19"/>
      <c r="R6" s="19"/>
      <c r="S6" s="1098"/>
      <c r="T6" s="19"/>
      <c r="U6" s="19"/>
      <c r="V6" s="19"/>
      <c r="W6" s="1098"/>
      <c r="X6" s="19"/>
      <c r="Y6" s="19"/>
      <c r="Z6" s="1098"/>
      <c r="AA6" s="1098"/>
      <c r="AB6" s="1098"/>
      <c r="AC6" s="19"/>
      <c r="AD6" s="19"/>
      <c r="AE6" s="19"/>
      <c r="AF6" s="19"/>
      <c r="AG6" s="1098"/>
      <c r="AH6" s="19"/>
      <c r="AI6" s="19"/>
      <c r="AJ6" s="1098"/>
      <c r="AK6" s="19"/>
      <c r="AL6" s="19"/>
      <c r="AM6" s="1098"/>
      <c r="AN6" s="19"/>
      <c r="AO6" s="19"/>
      <c r="AP6" s="1098"/>
      <c r="AQ6" s="19"/>
      <c r="AR6" s="19"/>
      <c r="AS6" s="1098"/>
      <c r="AT6" s="19"/>
      <c r="AU6" s="19"/>
      <c r="AV6" s="1098"/>
      <c r="AW6" s="19"/>
      <c r="AX6" s="19"/>
      <c r="AY6" s="19"/>
      <c r="AZ6" s="19"/>
      <c r="BA6" s="19"/>
      <c r="BB6" s="19"/>
      <c r="BC6" s="19"/>
      <c r="BD6" s="19"/>
      <c r="BE6" s="19"/>
    </row>
    <row r="7" spans="1:57" s="1191" customFormat="1" ht="16.5" customHeight="1" thickBot="1">
      <c r="A7" s="1199"/>
      <c r="B7" s="414"/>
      <c r="C7" s="19"/>
      <c r="D7" s="19"/>
      <c r="E7" s="19"/>
      <c r="F7" s="19"/>
      <c r="G7" s="19"/>
      <c r="H7" s="19"/>
      <c r="I7" s="1708" t="s">
        <v>130</v>
      </c>
      <c r="J7" s="1683"/>
      <c r="K7" s="1683"/>
      <c r="L7" s="1683"/>
      <c r="M7" s="1683"/>
      <c r="N7" s="1683"/>
      <c r="O7" s="1683"/>
      <c r="P7" s="1683"/>
      <c r="Q7" s="1683"/>
      <c r="R7" s="1683"/>
      <c r="S7" s="1683"/>
      <c r="T7" s="1683"/>
      <c r="U7" s="1683"/>
      <c r="V7" s="1684"/>
      <c r="W7" s="1682" t="s">
        <v>131</v>
      </c>
      <c r="X7" s="1683"/>
      <c r="Y7" s="1684"/>
      <c r="Z7" s="1682" t="s">
        <v>132</v>
      </c>
      <c r="AA7" s="1702"/>
      <c r="AB7" s="1702"/>
      <c r="AC7" s="1683"/>
      <c r="AD7" s="1683"/>
      <c r="AE7" s="1683"/>
      <c r="AF7" s="1684"/>
      <c r="AG7" s="1682" t="s">
        <v>133</v>
      </c>
      <c r="AH7" s="1683"/>
      <c r="AI7" s="1684"/>
      <c r="AJ7" s="1682" t="s">
        <v>134</v>
      </c>
      <c r="AK7" s="1683"/>
      <c r="AL7" s="1684"/>
      <c r="AM7" s="1682" t="s">
        <v>134</v>
      </c>
      <c r="AN7" s="1683"/>
      <c r="AO7" s="1684"/>
      <c r="AP7" s="1682" t="s">
        <v>134</v>
      </c>
      <c r="AQ7" s="1683"/>
      <c r="AR7" s="1684"/>
      <c r="AS7" s="1682" t="s">
        <v>135</v>
      </c>
      <c r="AT7" s="1683"/>
      <c r="AU7" s="1684"/>
      <c r="AV7" s="1682" t="s">
        <v>135</v>
      </c>
      <c r="AW7" s="1683"/>
      <c r="AX7" s="1684"/>
      <c r="AY7" s="1690"/>
      <c r="AZ7" s="1690"/>
      <c r="BA7" s="1690"/>
      <c r="BB7" s="19"/>
      <c r="BC7" s="1688" t="s">
        <v>148</v>
      </c>
      <c r="BD7" s="1709" t="s">
        <v>346</v>
      </c>
      <c r="BE7" s="1688" t="s">
        <v>136</v>
      </c>
    </row>
    <row r="8" spans="1:57" s="1191" customFormat="1" ht="27.75" customHeight="1" thickBot="1">
      <c r="A8" s="1190"/>
      <c r="B8" s="1161" t="s">
        <v>118</v>
      </c>
      <c r="C8" s="1162" t="s">
        <v>167</v>
      </c>
      <c r="D8" s="1368" t="s">
        <v>302</v>
      </c>
      <c r="E8" s="1369" t="s">
        <v>138</v>
      </c>
      <c r="F8" s="1369" t="s">
        <v>139</v>
      </c>
      <c r="G8" s="1370" t="s">
        <v>169</v>
      </c>
      <c r="H8" s="1353" t="s">
        <v>172</v>
      </c>
      <c r="I8" s="1707" t="s">
        <v>140</v>
      </c>
      <c r="J8" s="1686"/>
      <c r="K8" s="1686"/>
      <c r="L8" s="1687"/>
      <c r="M8" s="1707" t="s">
        <v>164</v>
      </c>
      <c r="N8" s="1686"/>
      <c r="O8" s="1687"/>
      <c r="P8" s="1707" t="s">
        <v>141</v>
      </c>
      <c r="Q8" s="1686"/>
      <c r="R8" s="1687"/>
      <c r="S8" s="1707" t="s">
        <v>168</v>
      </c>
      <c r="T8" s="1686"/>
      <c r="U8" s="1687"/>
      <c r="V8" s="1353" t="s">
        <v>78</v>
      </c>
      <c r="W8" s="1685" t="s">
        <v>142</v>
      </c>
      <c r="X8" s="1686"/>
      <c r="Y8" s="1687"/>
      <c r="Z8" s="1685" t="s">
        <v>143</v>
      </c>
      <c r="AA8" s="1698"/>
      <c r="AB8" s="1698"/>
      <c r="AC8" s="1686"/>
      <c r="AD8" s="1686"/>
      <c r="AE8" s="1686"/>
      <c r="AF8" s="1687"/>
      <c r="AG8" s="1685"/>
      <c r="AH8" s="1686"/>
      <c r="AI8" s="1687"/>
      <c r="AJ8" s="1685" t="s">
        <v>144</v>
      </c>
      <c r="AK8" s="1686"/>
      <c r="AL8" s="1687"/>
      <c r="AM8" s="1685" t="s">
        <v>145</v>
      </c>
      <c r="AN8" s="1686"/>
      <c r="AO8" s="1687"/>
      <c r="AP8" s="1699" t="s">
        <v>284</v>
      </c>
      <c r="AQ8" s="1700"/>
      <c r="AR8" s="1701"/>
      <c r="AS8" s="1685" t="s">
        <v>146</v>
      </c>
      <c r="AT8" s="1686"/>
      <c r="AU8" s="1687"/>
      <c r="AV8" s="1685" t="s">
        <v>147</v>
      </c>
      <c r="AW8" s="1686"/>
      <c r="AX8" s="1687"/>
      <c r="AY8" s="1691"/>
      <c r="AZ8" s="1691"/>
      <c r="BA8" s="1691"/>
      <c r="BB8" s="109"/>
      <c r="BC8" s="1689"/>
      <c r="BD8" s="1710"/>
      <c r="BE8" s="1689"/>
    </row>
    <row r="9" spans="1:57" s="1191" customFormat="1" thickBot="1">
      <c r="A9" s="1192"/>
      <c r="B9" s="1163"/>
      <c r="C9" s="1193"/>
      <c r="D9" s="1371"/>
      <c r="E9" s="1372"/>
      <c r="F9" s="1373"/>
      <c r="G9" s="1374"/>
      <c r="H9" s="1375"/>
      <c r="I9" s="1376" t="s">
        <v>137</v>
      </c>
      <c r="J9" s="1377" t="s">
        <v>118</v>
      </c>
      <c r="K9" s="1378" t="s">
        <v>149</v>
      </c>
      <c r="L9" s="1379" t="s">
        <v>150</v>
      </c>
      <c r="M9" s="1380" t="s">
        <v>151</v>
      </c>
      <c r="N9" s="1378" t="s">
        <v>149</v>
      </c>
      <c r="O9" s="1379" t="s">
        <v>150</v>
      </c>
      <c r="P9" s="1380" t="s">
        <v>152</v>
      </c>
      <c r="Q9" s="1378" t="s">
        <v>149</v>
      </c>
      <c r="R9" s="1379" t="s">
        <v>150</v>
      </c>
      <c r="S9" s="1380" t="s">
        <v>169</v>
      </c>
      <c r="T9" s="1378" t="s">
        <v>149</v>
      </c>
      <c r="U9" s="1379" t="s">
        <v>150</v>
      </c>
      <c r="V9" s="1381" t="s">
        <v>150</v>
      </c>
      <c r="W9" s="1380" t="s">
        <v>123</v>
      </c>
      <c r="X9" s="1378" t="s">
        <v>149</v>
      </c>
      <c r="Y9" s="1379" t="s">
        <v>150</v>
      </c>
      <c r="Z9" s="1380" t="s">
        <v>36</v>
      </c>
      <c r="AA9" s="1377" t="s">
        <v>37</v>
      </c>
      <c r="AB9" s="1377" t="s">
        <v>165</v>
      </c>
      <c r="AC9" s="1378" t="s">
        <v>153</v>
      </c>
      <c r="AD9" s="1378" t="s">
        <v>154</v>
      </c>
      <c r="AE9" s="1378" t="s">
        <v>166</v>
      </c>
      <c r="AF9" s="1379" t="s">
        <v>150</v>
      </c>
      <c r="AG9" s="1380" t="s">
        <v>123</v>
      </c>
      <c r="AH9" s="1378" t="s">
        <v>149</v>
      </c>
      <c r="AI9" s="1379" t="s">
        <v>150</v>
      </c>
      <c r="AJ9" s="1194" t="s">
        <v>155</v>
      </c>
      <c r="AK9" s="1195" t="s">
        <v>149</v>
      </c>
      <c r="AL9" s="1196" t="s">
        <v>150</v>
      </c>
      <c r="AM9" s="1194" t="s">
        <v>123</v>
      </c>
      <c r="AN9" s="1195" t="s">
        <v>149</v>
      </c>
      <c r="AO9" s="1196" t="s">
        <v>150</v>
      </c>
      <c r="AP9" s="1194" t="s">
        <v>123</v>
      </c>
      <c r="AQ9" s="1195" t="s">
        <v>149</v>
      </c>
      <c r="AR9" s="1196" t="s">
        <v>150</v>
      </c>
      <c r="AS9" s="1194" t="s">
        <v>123</v>
      </c>
      <c r="AT9" s="1195" t="s">
        <v>149</v>
      </c>
      <c r="AU9" s="1197" t="s">
        <v>150</v>
      </c>
      <c r="AV9" s="1194" t="s">
        <v>123</v>
      </c>
      <c r="AW9" s="1195" t="s">
        <v>149</v>
      </c>
      <c r="AX9" s="1196" t="s">
        <v>150</v>
      </c>
      <c r="AY9" s="1198"/>
      <c r="AZ9" s="1198"/>
      <c r="BA9" s="1198"/>
      <c r="BB9" s="109"/>
      <c r="BC9" s="1109" t="s">
        <v>156</v>
      </c>
      <c r="BD9" s="1109" t="s">
        <v>157</v>
      </c>
      <c r="BE9" s="1109" t="s">
        <v>158</v>
      </c>
    </row>
    <row r="10" spans="1:57">
      <c r="A10" s="425" t="s">
        <v>159</v>
      </c>
      <c r="B10" s="426"/>
      <c r="C10" s="427"/>
      <c r="D10" s="428"/>
      <c r="E10" s="429"/>
      <c r="F10" s="429"/>
      <c r="G10" s="430"/>
      <c r="H10" s="1121"/>
      <c r="I10" s="428"/>
      <c r="J10" s="431"/>
      <c r="K10" s="431"/>
      <c r="L10" s="1122"/>
      <c r="M10" s="428"/>
      <c r="N10" s="431"/>
      <c r="O10" s="1122"/>
      <c r="P10" s="428"/>
      <c r="Q10" s="1104"/>
      <c r="R10" s="1122"/>
      <c r="S10" s="428"/>
      <c r="T10" s="1104"/>
      <c r="U10" s="1122"/>
      <c r="V10" s="1123"/>
      <c r="W10" s="428"/>
      <c r="X10" s="1104"/>
      <c r="Y10" s="1122"/>
      <c r="Z10" s="428"/>
      <c r="AA10" s="431"/>
      <c r="AB10" s="431"/>
      <c r="AC10" s="431"/>
      <c r="AD10" s="431"/>
      <c r="AE10" s="431"/>
      <c r="AF10" s="1122"/>
      <c r="AG10" s="428"/>
      <c r="AH10" s="1104"/>
      <c r="AI10" s="1122"/>
      <c r="AJ10" s="428"/>
      <c r="AK10" s="1104"/>
      <c r="AL10" s="1124"/>
      <c r="AM10" s="428"/>
      <c r="AN10" s="1104"/>
      <c r="AO10" s="1124"/>
      <c r="AP10" s="428"/>
      <c r="AQ10" s="1104"/>
      <c r="AR10" s="1124"/>
      <c r="AS10" s="428"/>
      <c r="AT10" s="1104"/>
      <c r="AU10" s="1124"/>
      <c r="AV10" s="428"/>
      <c r="AW10" s="1104"/>
      <c r="AX10" s="1124"/>
      <c r="AY10" s="983"/>
      <c r="AZ10" s="983"/>
      <c r="BA10" s="1119"/>
      <c r="BB10" s="432"/>
      <c r="BC10" s="1110"/>
      <c r="BD10" s="1301"/>
      <c r="BE10" s="1110"/>
    </row>
    <row r="11" spans="1:57">
      <c r="A11" s="434" t="s">
        <v>275</v>
      </c>
      <c r="B11" s="467">
        <v>78413.666666666672</v>
      </c>
      <c r="C11" s="468">
        <v>1</v>
      </c>
      <c r="D11" s="469">
        <f>SUM(E11:G11)</f>
        <v>360694066</v>
      </c>
      <c r="E11" s="470">
        <v>360694066</v>
      </c>
      <c r="F11" s="470"/>
      <c r="G11" s="471"/>
      <c r="H11" s="1125">
        <f>D11/B11</f>
        <v>4599.8877661632114</v>
      </c>
      <c r="I11" s="469">
        <v>1</v>
      </c>
      <c r="J11" s="474">
        <f>B11</f>
        <v>78413.666666666672</v>
      </c>
      <c r="K11" s="1102">
        <f>'T4'!J26</f>
        <v>1.1017644</v>
      </c>
      <c r="L11" s="1126">
        <f>I11*J11*K11</f>
        <v>86393.386406799997</v>
      </c>
      <c r="M11" s="469">
        <f>E11</f>
        <v>360694066</v>
      </c>
      <c r="N11" s="1102">
        <f>'T4'!J29</f>
        <v>0</v>
      </c>
      <c r="O11" s="1126">
        <f>M11*N11</f>
        <v>0</v>
      </c>
      <c r="P11" s="469"/>
      <c r="Q11" s="1102"/>
      <c r="R11" s="1126">
        <f>P11*Q11</f>
        <v>0</v>
      </c>
      <c r="S11" s="469"/>
      <c r="T11" s="1102"/>
      <c r="U11" s="1126">
        <f>S11*T11</f>
        <v>0</v>
      </c>
      <c r="V11" s="1117">
        <f>SUM(L11,O11,R11,U11)</f>
        <v>86393.386406799997</v>
      </c>
      <c r="W11" s="469">
        <f>D11</f>
        <v>360694066</v>
      </c>
      <c r="X11" s="1102">
        <f>'T4'!J38</f>
        <v>2.0819999999999999E-4</v>
      </c>
      <c r="Y11" s="1126">
        <f>W11*X11</f>
        <v>75096.504541200004</v>
      </c>
      <c r="Z11" s="469">
        <v>14</v>
      </c>
      <c r="AA11" s="474">
        <v>0</v>
      </c>
      <c r="AB11" s="474">
        <v>0</v>
      </c>
      <c r="AC11" s="474">
        <f>'T4'!J41</f>
        <v>465</v>
      </c>
      <c r="AD11" s="474">
        <f>'T4'!J42</f>
        <v>96</v>
      </c>
      <c r="AE11" s="474">
        <f>'T4'!J43</f>
        <v>4.2</v>
      </c>
      <c r="AF11" s="1126">
        <f>(+Z11*AC11)+(AA11*AD11)+(AB11*AE11)</f>
        <v>6510</v>
      </c>
      <c r="AG11" s="469">
        <f>D11</f>
        <v>360694066</v>
      </c>
      <c r="AH11" s="1102">
        <f>'T4'!J46</f>
        <v>2.4479999999999999E-4</v>
      </c>
      <c r="AI11" s="1126">
        <f>AG11*AH11</f>
        <v>88297.907356800002</v>
      </c>
      <c r="AJ11" s="469">
        <v>10959255</v>
      </c>
      <c r="AK11" s="1102">
        <f>'T4'!J56</f>
        <v>1.7500000000000002E-2</v>
      </c>
      <c r="AL11" s="1127">
        <f>AJ11*AK11</f>
        <v>191786.96250000002</v>
      </c>
      <c r="AM11" s="469">
        <f>D11</f>
        <v>360694066</v>
      </c>
      <c r="AN11" s="1102">
        <f>'T4'!J51</f>
        <v>0</v>
      </c>
      <c r="AO11" s="1127">
        <f>AM11*AN11</f>
        <v>0</v>
      </c>
      <c r="AP11" s="469"/>
      <c r="AQ11" s="1102"/>
      <c r="AR11" s="1127">
        <f>AP11*AQ11</f>
        <v>0</v>
      </c>
      <c r="AS11" s="469">
        <f>D11</f>
        <v>360694066</v>
      </c>
      <c r="AT11" s="1102">
        <f>'T4'!J64</f>
        <v>2.0400000000000001E-5</v>
      </c>
      <c r="AU11" s="1127">
        <f>AS11*AT11</f>
        <v>7358.1589464000008</v>
      </c>
      <c r="AV11" s="469">
        <f>D11</f>
        <v>360694066</v>
      </c>
      <c r="AW11" s="1102">
        <f>'T4'!J66</f>
        <v>3.8E-6</v>
      </c>
      <c r="AX11" s="1127">
        <f>AV11*AW11</f>
        <v>1370.6374508000001</v>
      </c>
      <c r="AY11" s="984"/>
      <c r="AZ11" s="984"/>
      <c r="BA11" s="1119"/>
      <c r="BB11" s="432"/>
      <c r="BC11" s="1111">
        <f>SUM(V11,Y11,AF11,AI11,AL11,AO11,AU11,AX11,AR11)</f>
        <v>456813.557202</v>
      </c>
      <c r="BD11" s="1302"/>
      <c r="BE11" s="1111"/>
    </row>
    <row r="12" spans="1:57">
      <c r="A12" s="435"/>
      <c r="B12" s="436"/>
      <c r="C12" s="437"/>
      <c r="D12" s="438"/>
      <c r="E12" s="439"/>
      <c r="F12" s="439"/>
      <c r="G12" s="440"/>
      <c r="H12" s="1125"/>
      <c r="I12" s="438"/>
      <c r="J12" s="441"/>
      <c r="K12" s="441"/>
      <c r="L12" s="1126"/>
      <c r="M12" s="438"/>
      <c r="N12" s="441"/>
      <c r="O12" s="1126"/>
      <c r="P12" s="438"/>
      <c r="Q12" s="1105"/>
      <c r="R12" s="1126"/>
      <c r="S12" s="438"/>
      <c r="T12" s="1105"/>
      <c r="U12" s="1126"/>
      <c r="V12" s="1117"/>
      <c r="W12" s="438"/>
      <c r="X12" s="1105"/>
      <c r="Y12" s="1126"/>
      <c r="Z12" s="438"/>
      <c r="AA12" s="441"/>
      <c r="AB12" s="441"/>
      <c r="AC12" s="441"/>
      <c r="AD12" s="441"/>
      <c r="AE12" s="441"/>
      <c r="AF12" s="1126"/>
      <c r="AG12" s="438"/>
      <c r="AH12" s="1105"/>
      <c r="AI12" s="1126"/>
      <c r="AJ12" s="438"/>
      <c r="AK12" s="1105"/>
      <c r="AL12" s="1127"/>
      <c r="AM12" s="438"/>
      <c r="AN12" s="1105"/>
      <c r="AO12" s="1127"/>
      <c r="AP12" s="438"/>
      <c r="AQ12" s="1105"/>
      <c r="AR12" s="1127"/>
      <c r="AS12" s="438"/>
      <c r="AT12" s="1105"/>
      <c r="AU12" s="1127"/>
      <c r="AV12" s="438"/>
      <c r="AW12" s="1105"/>
      <c r="AX12" s="1127"/>
      <c r="AY12" s="983"/>
      <c r="AZ12" s="983"/>
      <c r="BA12" s="1119"/>
      <c r="BB12" s="432"/>
      <c r="BC12" s="1111"/>
      <c r="BD12" s="1302"/>
      <c r="BE12" s="1111"/>
    </row>
    <row r="13" spans="1:57">
      <c r="A13" s="434" t="s">
        <v>276</v>
      </c>
      <c r="B13" s="467"/>
      <c r="C13" s="468"/>
      <c r="D13" s="469">
        <f>SUM(E13:G13)</f>
        <v>0</v>
      </c>
      <c r="E13" s="470"/>
      <c r="F13" s="470"/>
      <c r="G13" s="471"/>
      <c r="H13" s="1125" t="e">
        <f>D13/B13</f>
        <v>#DIV/0!</v>
      </c>
      <c r="I13" s="469">
        <v>1</v>
      </c>
      <c r="J13" s="474"/>
      <c r="K13" s="1102"/>
      <c r="L13" s="1126">
        <f>I13*J13*K13</f>
        <v>0</v>
      </c>
      <c r="M13" s="469"/>
      <c r="N13" s="1102"/>
      <c r="O13" s="1126">
        <f>M13*N13</f>
        <v>0</v>
      </c>
      <c r="P13" s="469"/>
      <c r="Q13" s="1102"/>
      <c r="R13" s="1126">
        <f>P13*Q13</f>
        <v>0</v>
      </c>
      <c r="S13" s="469"/>
      <c r="T13" s="1102"/>
      <c r="U13" s="1126">
        <f>S13*T13</f>
        <v>0</v>
      </c>
      <c r="V13" s="1117">
        <f>SUM(L13,O13,R13,U13)</f>
        <v>0</v>
      </c>
      <c r="W13" s="469"/>
      <c r="X13" s="1102"/>
      <c r="Y13" s="1126">
        <f>W13*X13</f>
        <v>0</v>
      </c>
      <c r="Z13" s="469"/>
      <c r="AA13" s="474"/>
      <c r="AB13" s="474"/>
      <c r="AC13" s="474"/>
      <c r="AD13" s="474"/>
      <c r="AE13" s="474"/>
      <c r="AF13" s="1126">
        <f>(+Z13*AC13)+(AA13*AD13)+(AB13*AE13)</f>
        <v>0</v>
      </c>
      <c r="AG13" s="469"/>
      <c r="AH13" s="1102"/>
      <c r="AI13" s="1126">
        <f>AG13*AH13</f>
        <v>0</v>
      </c>
      <c r="AJ13" s="469"/>
      <c r="AK13" s="1102"/>
      <c r="AL13" s="1127">
        <f>AJ13*AK13</f>
        <v>0</v>
      </c>
      <c r="AM13" s="469"/>
      <c r="AN13" s="1102"/>
      <c r="AO13" s="1127">
        <f>AM13*AN13</f>
        <v>0</v>
      </c>
      <c r="AP13" s="469"/>
      <c r="AQ13" s="1102"/>
      <c r="AR13" s="1127">
        <f>AP13*AQ13</f>
        <v>0</v>
      </c>
      <c r="AS13" s="469"/>
      <c r="AT13" s="1102"/>
      <c r="AU13" s="1127">
        <f>AS13*AT13</f>
        <v>0</v>
      </c>
      <c r="AV13" s="469"/>
      <c r="AW13" s="1102"/>
      <c r="AX13" s="1127">
        <f>AV13*AW13</f>
        <v>0</v>
      </c>
      <c r="AY13" s="984"/>
      <c r="AZ13" s="984"/>
      <c r="BA13" s="1119"/>
      <c r="BB13" s="432"/>
      <c r="BC13" s="1111">
        <f>SUM(V13,Y13,AF13,AI13,AL13,AO13,AU13,AX13,AR13)</f>
        <v>0</v>
      </c>
      <c r="BD13" s="1302"/>
      <c r="BE13" s="1111"/>
    </row>
    <row r="14" spans="1:57">
      <c r="A14" s="434"/>
      <c r="B14" s="1117"/>
      <c r="C14" s="1128"/>
      <c r="D14" s="1129"/>
      <c r="E14" s="1130"/>
      <c r="F14" s="1130"/>
      <c r="G14" s="1128"/>
      <c r="H14" s="1131"/>
      <c r="I14" s="1132"/>
      <c r="J14" s="1133"/>
      <c r="K14" s="1133"/>
      <c r="L14" s="1126"/>
      <c r="M14" s="1132"/>
      <c r="N14" s="1133"/>
      <c r="O14" s="1126"/>
      <c r="P14" s="1132"/>
      <c r="Q14" s="1134"/>
      <c r="R14" s="1126"/>
      <c r="S14" s="1132"/>
      <c r="T14" s="1134"/>
      <c r="U14" s="1126"/>
      <c r="V14" s="1116"/>
      <c r="W14" s="1132"/>
      <c r="X14" s="1134"/>
      <c r="Y14" s="1126"/>
      <c r="Z14" s="1132"/>
      <c r="AA14" s="1135"/>
      <c r="AB14" s="1135"/>
      <c r="AC14" s="1133"/>
      <c r="AD14" s="1133"/>
      <c r="AE14" s="1135"/>
      <c r="AF14" s="1126"/>
      <c r="AG14" s="1132"/>
      <c r="AH14" s="1134"/>
      <c r="AI14" s="1128"/>
      <c r="AJ14" s="1136"/>
      <c r="AK14" s="1137"/>
      <c r="AL14" s="1138"/>
      <c r="AM14" s="1136"/>
      <c r="AN14" s="1137"/>
      <c r="AO14" s="1138"/>
      <c r="AP14" s="1136"/>
      <c r="AQ14" s="1137"/>
      <c r="AR14" s="1138"/>
      <c r="AS14" s="1136"/>
      <c r="AT14" s="1137"/>
      <c r="AU14" s="1127"/>
      <c r="AV14" s="1136"/>
      <c r="AW14" s="1137"/>
      <c r="AX14" s="1127"/>
      <c r="AY14" s="1119"/>
      <c r="AZ14" s="1119"/>
      <c r="BA14" s="1119"/>
      <c r="BB14" s="432"/>
      <c r="BC14" s="1112"/>
      <c r="BD14" s="1111"/>
      <c r="BE14" s="1111"/>
    </row>
    <row r="15" spans="1:57">
      <c r="A15" s="434" t="s">
        <v>337</v>
      </c>
      <c r="B15" s="504"/>
      <c r="C15" s="1354"/>
      <c r="D15" s="1355"/>
      <c r="E15" s="944"/>
      <c r="F15" s="944"/>
      <c r="G15" s="945"/>
      <c r="H15" s="1125"/>
      <c r="I15" s="1355"/>
      <c r="J15" s="1356"/>
      <c r="K15" s="1357"/>
      <c r="L15" s="1126"/>
      <c r="M15" s="1355"/>
      <c r="N15" s="1357"/>
      <c r="O15" s="1126"/>
      <c r="P15" s="1355"/>
      <c r="Q15" s="1357"/>
      <c r="R15" s="1126"/>
      <c r="S15" s="1355"/>
      <c r="T15" s="1357"/>
      <c r="U15" s="1126"/>
      <c r="V15" s="1120">
        <v>0</v>
      </c>
      <c r="W15" s="1355"/>
      <c r="X15" s="1357"/>
      <c r="Y15" s="1126"/>
      <c r="Z15" s="1355"/>
      <c r="AA15" s="1356"/>
      <c r="AB15" s="1356"/>
      <c r="AC15" s="1356"/>
      <c r="AD15" s="1356"/>
      <c r="AE15" s="1356"/>
      <c r="AF15" s="1126"/>
      <c r="AG15" s="1355"/>
      <c r="AH15" s="1357"/>
      <c r="AI15" s="1126"/>
      <c r="AJ15" s="1355"/>
      <c r="AK15" s="1357"/>
      <c r="AL15" s="1127"/>
      <c r="AM15" s="1355"/>
      <c r="AN15" s="1357"/>
      <c r="AO15" s="1127"/>
      <c r="AP15" s="1355"/>
      <c r="AQ15" s="1357"/>
      <c r="AR15" s="1127"/>
      <c r="AS15" s="1355"/>
      <c r="AT15" s="1357"/>
      <c r="AU15" s="1127"/>
      <c r="AV15" s="1355"/>
      <c r="AW15" s="1357"/>
      <c r="AX15" s="1127"/>
      <c r="AY15" s="984"/>
      <c r="AZ15" s="984"/>
      <c r="BA15" s="1119"/>
      <c r="BB15" s="432"/>
      <c r="BC15" s="1111">
        <f>+V15</f>
        <v>0</v>
      </c>
      <c r="BD15" s="1302"/>
      <c r="BE15" s="1111"/>
    </row>
    <row r="16" spans="1:57">
      <c r="A16" s="434"/>
      <c r="B16" s="1117"/>
      <c r="C16" s="1128"/>
      <c r="D16" s="1129"/>
      <c r="E16" s="1130"/>
      <c r="F16" s="1130"/>
      <c r="G16" s="1128"/>
      <c r="H16" s="1131"/>
      <c r="I16" s="1132"/>
      <c r="J16" s="1133"/>
      <c r="K16" s="1133"/>
      <c r="L16" s="1126"/>
      <c r="M16" s="1132"/>
      <c r="N16" s="1133"/>
      <c r="O16" s="1126"/>
      <c r="P16" s="1132"/>
      <c r="Q16" s="1134"/>
      <c r="R16" s="1126"/>
      <c r="S16" s="1132"/>
      <c r="T16" s="1134"/>
      <c r="U16" s="1126"/>
      <c r="V16" s="1116"/>
      <c r="W16" s="1132"/>
      <c r="X16" s="1134"/>
      <c r="Y16" s="1126"/>
      <c r="Z16" s="1132"/>
      <c r="AA16" s="1135"/>
      <c r="AB16" s="1135"/>
      <c r="AC16" s="1133"/>
      <c r="AD16" s="1133"/>
      <c r="AE16" s="1135"/>
      <c r="AF16" s="1126"/>
      <c r="AG16" s="1132"/>
      <c r="AH16" s="1134"/>
      <c r="AI16" s="1128"/>
      <c r="AJ16" s="1136"/>
      <c r="AK16" s="1137"/>
      <c r="AL16" s="1138"/>
      <c r="AM16" s="1136"/>
      <c r="AN16" s="1137"/>
      <c r="AO16" s="1138"/>
      <c r="AP16" s="1136"/>
      <c r="AQ16" s="1137"/>
      <c r="AR16" s="1138"/>
      <c r="AS16" s="1136"/>
      <c r="AT16" s="1137"/>
      <c r="AU16" s="1127"/>
      <c r="AV16" s="1136"/>
      <c r="AW16" s="1137"/>
      <c r="AX16" s="1127"/>
      <c r="AY16" s="1119"/>
      <c r="AZ16" s="1119"/>
      <c r="BA16" s="1119"/>
      <c r="BB16" s="432"/>
      <c r="BC16" s="1112"/>
      <c r="BD16" s="1111"/>
      <c r="BE16" s="1111"/>
    </row>
    <row r="17" spans="1:57" ht="15" thickBot="1">
      <c r="A17" s="421" t="s">
        <v>160</v>
      </c>
      <c r="B17" s="1118">
        <f>SUM(B13,B11)</f>
        <v>78413.666666666672</v>
      </c>
      <c r="C17" s="1139">
        <f t="shared" ref="C17:AX17" si="0">SUM(C13,C11)</f>
        <v>1</v>
      </c>
      <c r="D17" s="1140">
        <f t="shared" si="0"/>
        <v>360694066</v>
      </c>
      <c r="E17" s="1141">
        <f t="shared" si="0"/>
        <v>360694066</v>
      </c>
      <c r="F17" s="1142">
        <f t="shared" si="0"/>
        <v>0</v>
      </c>
      <c r="G17" s="1139">
        <f t="shared" si="0"/>
        <v>0</v>
      </c>
      <c r="H17" s="1143">
        <f>+D17/B17</f>
        <v>4599.8877661632114</v>
      </c>
      <c r="I17" s="1140">
        <f t="shared" si="0"/>
        <v>2</v>
      </c>
      <c r="J17" s="1141">
        <f t="shared" si="0"/>
        <v>78413.666666666672</v>
      </c>
      <c r="K17" s="1144"/>
      <c r="L17" s="1139">
        <f t="shared" si="0"/>
        <v>86393.386406799997</v>
      </c>
      <c r="M17" s="1140">
        <f t="shared" si="0"/>
        <v>360694066</v>
      </c>
      <c r="N17" s="1144"/>
      <c r="O17" s="1139">
        <f t="shared" si="0"/>
        <v>0</v>
      </c>
      <c r="P17" s="1140">
        <f t="shared" si="0"/>
        <v>0</v>
      </c>
      <c r="Q17" s="1144"/>
      <c r="R17" s="1139">
        <f t="shared" si="0"/>
        <v>0</v>
      </c>
      <c r="S17" s="1140">
        <f t="shared" si="0"/>
        <v>0</v>
      </c>
      <c r="T17" s="1144"/>
      <c r="U17" s="1139">
        <f t="shared" si="0"/>
        <v>0</v>
      </c>
      <c r="V17" s="1118">
        <f>SUM(V15,V13,V11)</f>
        <v>86393.386406799997</v>
      </c>
      <c r="W17" s="1140">
        <f t="shared" si="0"/>
        <v>360694066</v>
      </c>
      <c r="X17" s="1144"/>
      <c r="Y17" s="1139">
        <f>SUM(Y9,Y11,Y13)</f>
        <v>75096.504541200004</v>
      </c>
      <c r="Z17" s="1140">
        <f t="shared" si="0"/>
        <v>14</v>
      </c>
      <c r="AA17" s="1141">
        <f t="shared" si="0"/>
        <v>0</v>
      </c>
      <c r="AB17" s="1141">
        <f t="shared" si="0"/>
        <v>0</v>
      </c>
      <c r="AC17" s="1141"/>
      <c r="AD17" s="1141"/>
      <c r="AE17" s="1141"/>
      <c r="AF17" s="1139">
        <f t="shared" si="0"/>
        <v>6510</v>
      </c>
      <c r="AG17" s="1140">
        <f t="shared" si="0"/>
        <v>360694066</v>
      </c>
      <c r="AH17" s="1144"/>
      <c r="AI17" s="1139">
        <f t="shared" si="0"/>
        <v>88297.907356800002</v>
      </c>
      <c r="AJ17" s="1145">
        <f t="shared" si="0"/>
        <v>10959255</v>
      </c>
      <c r="AK17" s="1146"/>
      <c r="AL17" s="1147">
        <f t="shared" si="0"/>
        <v>191786.96250000002</v>
      </c>
      <c r="AM17" s="1145">
        <f t="shared" si="0"/>
        <v>360694066</v>
      </c>
      <c r="AN17" s="1146"/>
      <c r="AO17" s="1147">
        <f t="shared" si="0"/>
        <v>0</v>
      </c>
      <c r="AP17" s="1145">
        <f>SUM(AP13,AP11)</f>
        <v>0</v>
      </c>
      <c r="AQ17" s="1146"/>
      <c r="AR17" s="1147">
        <f>SUM(AR13,AR11)</f>
        <v>0</v>
      </c>
      <c r="AS17" s="1145">
        <f t="shared" si="0"/>
        <v>360694066</v>
      </c>
      <c r="AT17" s="1146"/>
      <c r="AU17" s="1147">
        <f t="shared" si="0"/>
        <v>7358.1589464000008</v>
      </c>
      <c r="AV17" s="1145">
        <f t="shared" si="0"/>
        <v>360694066</v>
      </c>
      <c r="AW17" s="1146"/>
      <c r="AX17" s="1147">
        <f t="shared" si="0"/>
        <v>1370.6374508000001</v>
      </c>
      <c r="AY17" s="1148"/>
      <c r="AZ17" s="1148"/>
      <c r="BA17" s="1148"/>
      <c r="BB17" s="443"/>
      <c r="BC17" s="1113">
        <f>SUM(BC15,BC13,BC11)</f>
        <v>456813.557202</v>
      </c>
      <c r="BD17" s="1303">
        <f>+'T3'!I81+'T3'!J81</f>
        <v>456803.01041975856</v>
      </c>
      <c r="BE17" s="1113">
        <f>BC17-BD17</f>
        <v>10.546782241435722</v>
      </c>
    </row>
    <row r="18" spans="1:57" hidden="1">
      <c r="A18" s="444" t="s">
        <v>287</v>
      </c>
      <c r="B18" s="426"/>
      <c r="C18" s="427"/>
      <c r="D18" s="428"/>
      <c r="E18" s="429"/>
      <c r="F18" s="429"/>
      <c r="G18" s="430"/>
      <c r="H18" s="1121"/>
      <c r="I18" s="428"/>
      <c r="J18" s="431"/>
      <c r="K18" s="431"/>
      <c r="L18" s="1122"/>
      <c r="M18" s="428"/>
      <c r="N18" s="431"/>
      <c r="O18" s="1122"/>
      <c r="P18" s="428"/>
      <c r="Q18" s="1104"/>
      <c r="R18" s="1122"/>
      <c r="S18" s="428"/>
      <c r="T18" s="1104"/>
      <c r="U18" s="1122"/>
      <c r="V18" s="1123"/>
      <c r="W18" s="428"/>
      <c r="X18" s="1104"/>
      <c r="Y18" s="1122"/>
      <c r="Z18" s="428"/>
      <c r="AA18" s="431"/>
      <c r="AB18" s="431"/>
      <c r="AC18" s="431"/>
      <c r="AD18" s="431"/>
      <c r="AE18" s="431"/>
      <c r="AF18" s="1122"/>
      <c r="AG18" s="428"/>
      <c r="AH18" s="1104"/>
      <c r="AI18" s="1122"/>
      <c r="AJ18" s="428"/>
      <c r="AK18" s="1104"/>
      <c r="AL18" s="1124"/>
      <c r="AM18" s="428"/>
      <c r="AN18" s="1104"/>
      <c r="AO18" s="1124"/>
      <c r="AP18" s="428"/>
      <c r="AQ18" s="1104"/>
      <c r="AR18" s="1124"/>
      <c r="AS18" s="428"/>
      <c r="AT18" s="1104"/>
      <c r="AU18" s="1124"/>
      <c r="AV18" s="428"/>
      <c r="AW18" s="1104"/>
      <c r="AX18" s="1124"/>
      <c r="AY18" s="983"/>
      <c r="AZ18" s="983"/>
      <c r="BA18" s="1119"/>
      <c r="BB18" s="432"/>
      <c r="BC18" s="1110"/>
      <c r="BD18" s="1301"/>
      <c r="BE18" s="1110"/>
    </row>
    <row r="19" spans="1:57" hidden="1">
      <c r="A19" s="445" t="s">
        <v>170</v>
      </c>
      <c r="B19" s="467"/>
      <c r="C19" s="472"/>
      <c r="D19" s="469"/>
      <c r="E19" s="470"/>
      <c r="F19" s="470"/>
      <c r="G19" s="471"/>
      <c r="H19" s="1125" t="e">
        <f>D19/B19</f>
        <v>#DIV/0!</v>
      </c>
      <c r="I19" s="469"/>
      <c r="J19" s="474"/>
      <c r="K19" s="1102"/>
      <c r="L19" s="1126">
        <f>I19*J19*K19</f>
        <v>0</v>
      </c>
      <c r="M19" s="469"/>
      <c r="N19" s="1102"/>
      <c r="O19" s="1126">
        <f>M19*N19</f>
        <v>0</v>
      </c>
      <c r="P19" s="469"/>
      <c r="Q19" s="1102"/>
      <c r="R19" s="1126">
        <f>P19*Q19</f>
        <v>0</v>
      </c>
      <c r="S19" s="469"/>
      <c r="T19" s="1102"/>
      <c r="U19" s="1126">
        <f>S19*T19</f>
        <v>0</v>
      </c>
      <c r="V19" s="1117">
        <f>SUM(L19,O19,R19,U19)</f>
        <v>0</v>
      </c>
      <c r="W19" s="469"/>
      <c r="X19" s="1102"/>
      <c r="Y19" s="1126">
        <f>W19*X19</f>
        <v>0</v>
      </c>
      <c r="Z19" s="469"/>
      <c r="AA19" s="474"/>
      <c r="AB19" s="474"/>
      <c r="AC19" s="474"/>
      <c r="AD19" s="474"/>
      <c r="AE19" s="474"/>
      <c r="AF19" s="1126">
        <f>(+Z19*AC19)+(AA19*AD19)+(AB19*AE19)</f>
        <v>0</v>
      </c>
      <c r="AG19" s="469"/>
      <c r="AH19" s="1102"/>
      <c r="AI19" s="1126">
        <f>AG19*AH19</f>
        <v>0</v>
      </c>
      <c r="AJ19" s="469"/>
      <c r="AK19" s="1102"/>
      <c r="AL19" s="1127">
        <f>AJ19*AK19</f>
        <v>0</v>
      </c>
      <c r="AM19" s="469"/>
      <c r="AN19" s="1102"/>
      <c r="AO19" s="1127">
        <f>AM19*AN19</f>
        <v>0</v>
      </c>
      <c r="AP19" s="469"/>
      <c r="AQ19" s="1102"/>
      <c r="AR19" s="1127">
        <f>AP19*AQ19</f>
        <v>0</v>
      </c>
      <c r="AS19" s="469"/>
      <c r="AT19" s="1102"/>
      <c r="AU19" s="1127">
        <f>AS19*AT19</f>
        <v>0</v>
      </c>
      <c r="AV19" s="469"/>
      <c r="AW19" s="1102"/>
      <c r="AX19" s="1127">
        <f>AV19*AW19</f>
        <v>0</v>
      </c>
      <c r="AY19" s="984"/>
      <c r="AZ19" s="984"/>
      <c r="BA19" s="1119"/>
      <c r="BB19" s="446"/>
      <c r="BC19" s="1111">
        <f>SUM(V19,Y19,AF19,AI19,AL19,AO19,AU19,AX19,AR19)</f>
        <v>0</v>
      </c>
      <c r="BD19" s="1302"/>
      <c r="BE19" s="1111"/>
    </row>
    <row r="20" spans="1:57" hidden="1">
      <c r="A20" s="445"/>
      <c r="B20" s="436"/>
      <c r="C20" s="437"/>
      <c r="D20" s="438"/>
      <c r="E20" s="439"/>
      <c r="F20" s="439"/>
      <c r="G20" s="440"/>
      <c r="H20" s="1125"/>
      <c r="I20" s="438"/>
      <c r="J20" s="441"/>
      <c r="K20" s="441"/>
      <c r="L20" s="1126"/>
      <c r="M20" s="438"/>
      <c r="N20" s="441"/>
      <c r="O20" s="1126"/>
      <c r="P20" s="438"/>
      <c r="Q20" s="1105"/>
      <c r="R20" s="1126"/>
      <c r="S20" s="438"/>
      <c r="T20" s="1105"/>
      <c r="U20" s="1126"/>
      <c r="V20" s="1117"/>
      <c r="W20" s="438"/>
      <c r="X20" s="1105"/>
      <c r="Y20" s="1126"/>
      <c r="Z20" s="438"/>
      <c r="AA20" s="441"/>
      <c r="AB20" s="441"/>
      <c r="AC20" s="441"/>
      <c r="AD20" s="441"/>
      <c r="AE20" s="441"/>
      <c r="AF20" s="1126"/>
      <c r="AG20" s="438"/>
      <c r="AH20" s="1105"/>
      <c r="AI20" s="1126"/>
      <c r="AJ20" s="438"/>
      <c r="AK20" s="1105"/>
      <c r="AL20" s="1127"/>
      <c r="AM20" s="438"/>
      <c r="AN20" s="1105"/>
      <c r="AO20" s="1127"/>
      <c r="AP20" s="438"/>
      <c r="AQ20" s="1105"/>
      <c r="AR20" s="1127"/>
      <c r="AS20" s="438"/>
      <c r="AT20" s="1105"/>
      <c r="AU20" s="1127"/>
      <c r="AV20" s="438"/>
      <c r="AW20" s="1105"/>
      <c r="AX20" s="1127"/>
      <c r="AY20" s="983"/>
      <c r="AZ20" s="983"/>
      <c r="BA20" s="1119"/>
      <c r="BB20" s="432"/>
      <c r="BC20" s="1111"/>
      <c r="BD20" s="1302"/>
      <c r="BE20" s="1111"/>
    </row>
    <row r="21" spans="1:57" hidden="1">
      <c r="A21" s="445" t="s">
        <v>111</v>
      </c>
      <c r="B21" s="467"/>
      <c r="C21" s="472"/>
      <c r="D21" s="469"/>
      <c r="E21" s="470"/>
      <c r="F21" s="470"/>
      <c r="G21" s="471"/>
      <c r="H21" s="1125" t="e">
        <f>D21/B21</f>
        <v>#DIV/0!</v>
      </c>
      <c r="I21" s="469"/>
      <c r="J21" s="474"/>
      <c r="K21" s="1102"/>
      <c r="L21" s="1126">
        <f>I21*J21*K21</f>
        <v>0</v>
      </c>
      <c r="M21" s="469"/>
      <c r="N21" s="1102"/>
      <c r="O21" s="1126">
        <f>M21*N21</f>
        <v>0</v>
      </c>
      <c r="P21" s="469"/>
      <c r="Q21" s="1102"/>
      <c r="R21" s="1126">
        <f>P21*Q21</f>
        <v>0</v>
      </c>
      <c r="S21" s="469"/>
      <c r="T21" s="1102"/>
      <c r="U21" s="1126">
        <f>S21*T21</f>
        <v>0</v>
      </c>
      <c r="V21" s="1117">
        <f>SUM(L21,O21,R21,U21)</f>
        <v>0</v>
      </c>
      <c r="W21" s="469"/>
      <c r="X21" s="1102"/>
      <c r="Y21" s="1126">
        <f>W21*X21</f>
        <v>0</v>
      </c>
      <c r="Z21" s="469"/>
      <c r="AA21" s="474"/>
      <c r="AB21" s="474"/>
      <c r="AC21" s="474"/>
      <c r="AD21" s="474"/>
      <c r="AE21" s="474"/>
      <c r="AF21" s="1126">
        <f>(+Z21*AC21)+(AA21*AD21)+(AB21*AE21)</f>
        <v>0</v>
      </c>
      <c r="AG21" s="469"/>
      <c r="AH21" s="1102"/>
      <c r="AI21" s="1126">
        <f>AG21*AH21</f>
        <v>0</v>
      </c>
      <c r="AJ21" s="469"/>
      <c r="AK21" s="1102"/>
      <c r="AL21" s="1127">
        <f>AJ21*AK21</f>
        <v>0</v>
      </c>
      <c r="AM21" s="469"/>
      <c r="AN21" s="1102"/>
      <c r="AO21" s="1127">
        <f>AM21*AN21</f>
        <v>0</v>
      </c>
      <c r="AP21" s="469"/>
      <c r="AQ21" s="1102"/>
      <c r="AR21" s="1127">
        <f>AP21*AQ21</f>
        <v>0</v>
      </c>
      <c r="AS21" s="469"/>
      <c r="AT21" s="1102"/>
      <c r="AU21" s="1127">
        <f>AS21*AT21</f>
        <v>0</v>
      </c>
      <c r="AV21" s="469"/>
      <c r="AW21" s="1102"/>
      <c r="AX21" s="1127">
        <f>AV21*AW21</f>
        <v>0</v>
      </c>
      <c r="AY21" s="984"/>
      <c r="AZ21" s="984"/>
      <c r="BA21" s="1119"/>
      <c r="BB21" s="446"/>
      <c r="BC21" s="1111">
        <f>SUM(V21,Y21,AF21,AI21,AL21,AO21,AU21,AX21,AR21)</f>
        <v>0</v>
      </c>
      <c r="BD21" s="1302"/>
      <c r="BE21" s="1111"/>
    </row>
    <row r="22" spans="1:57" hidden="1">
      <c r="A22" s="434"/>
      <c r="B22" s="1149"/>
      <c r="C22" s="1150"/>
      <c r="D22" s="1151"/>
      <c r="E22" s="1152"/>
      <c r="F22" s="1130"/>
      <c r="G22" s="1153"/>
      <c r="H22" s="1131"/>
      <c r="I22" s="1154"/>
      <c r="J22" s="1155"/>
      <c r="K22" s="1156"/>
      <c r="L22" s="1127"/>
      <c r="M22" s="1136"/>
      <c r="N22" s="1157"/>
      <c r="O22" s="1127"/>
      <c r="P22" s="1136"/>
      <c r="Q22" s="1137"/>
      <c r="R22" s="1127"/>
      <c r="S22" s="1136"/>
      <c r="T22" s="1137"/>
      <c r="U22" s="1127"/>
      <c r="V22" s="1111"/>
      <c r="W22" s="1136"/>
      <c r="X22" s="1137"/>
      <c r="Y22" s="1127"/>
      <c r="Z22" s="1136"/>
      <c r="AA22" s="1158"/>
      <c r="AB22" s="1158"/>
      <c r="AC22" s="1155"/>
      <c r="AD22" s="1155"/>
      <c r="AE22" s="1155"/>
      <c r="AF22" s="1127"/>
      <c r="AG22" s="1136"/>
      <c r="AH22" s="1137"/>
      <c r="AI22" s="1138"/>
      <c r="AJ22" s="1136"/>
      <c r="AK22" s="1137"/>
      <c r="AL22" s="1127"/>
      <c r="AM22" s="1136"/>
      <c r="AN22" s="1137"/>
      <c r="AO22" s="1127"/>
      <c r="AP22" s="1136"/>
      <c r="AQ22" s="1137"/>
      <c r="AR22" s="1127"/>
      <c r="AS22" s="1136"/>
      <c r="AT22" s="1137"/>
      <c r="AU22" s="1127"/>
      <c r="AV22" s="1136"/>
      <c r="AW22" s="1137"/>
      <c r="AX22" s="1127"/>
      <c r="AY22" s="1159"/>
      <c r="AZ22" s="1160"/>
      <c r="BA22" s="1119"/>
      <c r="BB22" s="416"/>
      <c r="BC22" s="1112"/>
      <c r="BD22" s="1111"/>
      <c r="BE22" s="1111"/>
    </row>
    <row r="23" spans="1:57" hidden="1">
      <c r="A23" s="434" t="s">
        <v>337</v>
      </c>
      <c r="B23" s="504"/>
      <c r="C23" s="1354"/>
      <c r="D23" s="1355"/>
      <c r="E23" s="944"/>
      <c r="F23" s="944"/>
      <c r="G23" s="945"/>
      <c r="H23" s="1125"/>
      <c r="I23" s="1355"/>
      <c r="J23" s="1356"/>
      <c r="K23" s="1357"/>
      <c r="L23" s="1126"/>
      <c r="M23" s="1355"/>
      <c r="N23" s="1357"/>
      <c r="O23" s="1126"/>
      <c r="P23" s="1355"/>
      <c r="Q23" s="1357"/>
      <c r="R23" s="1126"/>
      <c r="S23" s="1355"/>
      <c r="T23" s="1357"/>
      <c r="U23" s="1126"/>
      <c r="V23" s="1120"/>
      <c r="W23" s="1355"/>
      <c r="X23" s="1357"/>
      <c r="Y23" s="1126"/>
      <c r="Z23" s="1355"/>
      <c r="AA23" s="1356"/>
      <c r="AB23" s="1356"/>
      <c r="AC23" s="1356"/>
      <c r="AD23" s="1356"/>
      <c r="AE23" s="1356"/>
      <c r="AF23" s="1126"/>
      <c r="AG23" s="1355"/>
      <c r="AH23" s="1357"/>
      <c r="AI23" s="1126"/>
      <c r="AJ23" s="1355"/>
      <c r="AK23" s="1357"/>
      <c r="AL23" s="1127"/>
      <c r="AM23" s="1355"/>
      <c r="AN23" s="1357"/>
      <c r="AO23" s="1127"/>
      <c r="AP23" s="1355"/>
      <c r="AQ23" s="1357"/>
      <c r="AR23" s="1127"/>
      <c r="AS23" s="1355"/>
      <c r="AT23" s="1357"/>
      <c r="AU23" s="1127"/>
      <c r="AV23" s="1355"/>
      <c r="AW23" s="1357"/>
      <c r="AX23" s="1127"/>
      <c r="AY23" s="984"/>
      <c r="AZ23" s="984"/>
      <c r="BA23" s="1119"/>
      <c r="BB23" s="432"/>
      <c r="BC23" s="1111">
        <f>+V23</f>
        <v>0</v>
      </c>
      <c r="BD23" s="1302"/>
      <c r="BE23" s="1111"/>
    </row>
    <row r="24" spans="1:57" hidden="1">
      <c r="A24" s="434"/>
      <c r="B24" s="1117"/>
      <c r="C24" s="1128"/>
      <c r="D24" s="1129"/>
      <c r="E24" s="1130"/>
      <c r="F24" s="1130"/>
      <c r="G24" s="1128"/>
      <c r="H24" s="1131"/>
      <c r="I24" s="1132"/>
      <c r="J24" s="1133"/>
      <c r="K24" s="1133"/>
      <c r="L24" s="1126"/>
      <c r="M24" s="1132"/>
      <c r="N24" s="1133"/>
      <c r="O24" s="1126"/>
      <c r="P24" s="1132"/>
      <c r="Q24" s="1134"/>
      <c r="R24" s="1126"/>
      <c r="S24" s="1132"/>
      <c r="T24" s="1134"/>
      <c r="U24" s="1126"/>
      <c r="V24" s="1116"/>
      <c r="W24" s="1132"/>
      <c r="X24" s="1134"/>
      <c r="Y24" s="1126"/>
      <c r="Z24" s="1132"/>
      <c r="AA24" s="1135"/>
      <c r="AB24" s="1135"/>
      <c r="AC24" s="1133"/>
      <c r="AD24" s="1133"/>
      <c r="AE24" s="1135"/>
      <c r="AF24" s="1126"/>
      <c r="AG24" s="1132"/>
      <c r="AH24" s="1134"/>
      <c r="AI24" s="1128"/>
      <c r="AJ24" s="1136"/>
      <c r="AK24" s="1137"/>
      <c r="AL24" s="1138"/>
      <c r="AM24" s="1136"/>
      <c r="AN24" s="1137"/>
      <c r="AO24" s="1138"/>
      <c r="AP24" s="1136"/>
      <c r="AQ24" s="1137"/>
      <c r="AR24" s="1138"/>
      <c r="AS24" s="1136"/>
      <c r="AT24" s="1137"/>
      <c r="AU24" s="1127"/>
      <c r="AV24" s="1136"/>
      <c r="AW24" s="1137"/>
      <c r="AX24" s="1127"/>
      <c r="AY24" s="1119"/>
      <c r="AZ24" s="1119"/>
      <c r="BA24" s="1119"/>
      <c r="BB24" s="432"/>
      <c r="BC24" s="1112"/>
      <c r="BD24" s="1111"/>
      <c r="BE24" s="1111"/>
    </row>
    <row r="25" spans="1:57" ht="15" hidden="1" thickBot="1">
      <c r="A25" s="421" t="s">
        <v>162</v>
      </c>
      <c r="B25" s="1118">
        <f t="shared" ref="B25:G25" si="1">SUM(B19,B21)</f>
        <v>0</v>
      </c>
      <c r="C25" s="1139">
        <f t="shared" si="1"/>
        <v>0</v>
      </c>
      <c r="D25" s="1140">
        <f t="shared" si="1"/>
        <v>0</v>
      </c>
      <c r="E25" s="1141">
        <f t="shared" si="1"/>
        <v>0</v>
      </c>
      <c r="F25" s="1142">
        <f t="shared" si="1"/>
        <v>0</v>
      </c>
      <c r="G25" s="1139">
        <f t="shared" si="1"/>
        <v>0</v>
      </c>
      <c r="H25" s="1143" t="e">
        <f>+D25/B25</f>
        <v>#DIV/0!</v>
      </c>
      <c r="I25" s="1140">
        <f>SUM(I19,I21)</f>
        <v>0</v>
      </c>
      <c r="J25" s="1141">
        <f>SUM(J19,J21)</f>
        <v>0</v>
      </c>
      <c r="K25" s="1144"/>
      <c r="L25" s="1139">
        <f>SUM(L19,L21)</f>
        <v>0</v>
      </c>
      <c r="M25" s="1140">
        <f>SUM(M19,M21)</f>
        <v>0</v>
      </c>
      <c r="N25" s="1144"/>
      <c r="O25" s="1139">
        <f>SUM(O19,O21)</f>
        <v>0</v>
      </c>
      <c r="P25" s="1140">
        <f>SUM(P19,P21)</f>
        <v>0</v>
      </c>
      <c r="Q25" s="1144"/>
      <c r="R25" s="1139">
        <f>SUM(R19,R21)</f>
        <v>0</v>
      </c>
      <c r="S25" s="1140">
        <f>SUM(S19,S21)</f>
        <v>0</v>
      </c>
      <c r="T25" s="1144"/>
      <c r="U25" s="1139">
        <f>SUM(U19,U21)</f>
        <v>0</v>
      </c>
      <c r="V25" s="1118">
        <f>SUM(V23,V21,V19)</f>
        <v>0</v>
      </c>
      <c r="W25" s="1140">
        <f>SUM(W19,W21)</f>
        <v>0</v>
      </c>
      <c r="X25" s="1144"/>
      <c r="Y25" s="1139">
        <f>SUM(Y19,Y21)</f>
        <v>0</v>
      </c>
      <c r="Z25" s="1140">
        <f>SUM(Z19,Z21)</f>
        <v>0</v>
      </c>
      <c r="AA25" s="1141">
        <f>SUM(AA19,AA21)</f>
        <v>0</v>
      </c>
      <c r="AB25" s="1141">
        <f>SUM(AB19,AB21)</f>
        <v>0</v>
      </c>
      <c r="AC25" s="1141"/>
      <c r="AD25" s="1141"/>
      <c r="AE25" s="1141"/>
      <c r="AF25" s="1139">
        <f>SUM(AF19,AF21)</f>
        <v>0</v>
      </c>
      <c r="AG25" s="1140">
        <f>SUM(AG19,AG21)</f>
        <v>0</v>
      </c>
      <c r="AH25" s="1144"/>
      <c r="AI25" s="1139">
        <f>SUM(AI19,AI21)</f>
        <v>0</v>
      </c>
      <c r="AJ25" s="1145">
        <f>SUM(AJ19,AJ21)</f>
        <v>0</v>
      </c>
      <c r="AK25" s="1146"/>
      <c r="AL25" s="1147">
        <f>SUM(AL19,AL21)</f>
        <v>0</v>
      </c>
      <c r="AM25" s="1145">
        <f>SUM(AM19,AM21)</f>
        <v>0</v>
      </c>
      <c r="AN25" s="1146"/>
      <c r="AO25" s="1147">
        <f>SUM(AO19,AO21)</f>
        <v>0</v>
      </c>
      <c r="AP25" s="1145">
        <f>SUM(AP19,AP21)</f>
        <v>0</v>
      </c>
      <c r="AQ25" s="1146"/>
      <c r="AR25" s="1147">
        <f>SUM(AR19,AR21)</f>
        <v>0</v>
      </c>
      <c r="AS25" s="1145">
        <f>SUM(AS19,AS21)</f>
        <v>0</v>
      </c>
      <c r="AT25" s="1146"/>
      <c r="AU25" s="1147">
        <f>SUM(AU19,AU21)</f>
        <v>0</v>
      </c>
      <c r="AV25" s="1145">
        <f>SUM(AV19,AV21)</f>
        <v>0</v>
      </c>
      <c r="AW25" s="1146"/>
      <c r="AX25" s="1147">
        <f>SUM(AX19,AX21)</f>
        <v>0</v>
      </c>
      <c r="AY25" s="1148"/>
      <c r="AZ25" s="1148"/>
      <c r="BA25" s="1148"/>
      <c r="BB25" s="443"/>
      <c r="BC25" s="1113">
        <f>SUM(BC19,BC21,BC23)</f>
        <v>0</v>
      </c>
      <c r="BD25" s="1303">
        <f>+'T3'!N81+'T3'!O81</f>
        <v>0</v>
      </c>
      <c r="BE25" s="1113">
        <f>BC25-BD25</f>
        <v>0</v>
      </c>
    </row>
    <row r="26" spans="1:57">
      <c r="A26" s="444" t="s">
        <v>161</v>
      </c>
      <c r="B26" s="426"/>
      <c r="C26" s="427"/>
      <c r="D26" s="428"/>
      <c r="E26" s="429"/>
      <c r="F26" s="429"/>
      <c r="G26" s="430"/>
      <c r="H26" s="1121"/>
      <c r="I26" s="428"/>
      <c r="J26" s="431"/>
      <c r="K26" s="431"/>
      <c r="L26" s="1122"/>
      <c r="M26" s="428"/>
      <c r="N26" s="431"/>
      <c r="O26" s="1122"/>
      <c r="P26" s="428"/>
      <c r="Q26" s="1104"/>
      <c r="R26" s="1122"/>
      <c r="S26" s="428"/>
      <c r="T26" s="1104"/>
      <c r="U26" s="1122"/>
      <c r="V26" s="1123"/>
      <c r="W26" s="428"/>
      <c r="X26" s="1104"/>
      <c r="Y26" s="1122"/>
      <c r="Z26" s="428"/>
      <c r="AA26" s="431"/>
      <c r="AB26" s="431"/>
      <c r="AC26" s="431"/>
      <c r="AD26" s="431"/>
      <c r="AE26" s="431"/>
      <c r="AF26" s="1122"/>
      <c r="AG26" s="428"/>
      <c r="AH26" s="1104"/>
      <c r="AI26" s="1122"/>
      <c r="AJ26" s="428"/>
      <c r="AK26" s="1104"/>
      <c r="AL26" s="1124"/>
      <c r="AM26" s="428"/>
      <c r="AN26" s="1104"/>
      <c r="AO26" s="1124"/>
      <c r="AP26" s="428"/>
      <c r="AQ26" s="1104"/>
      <c r="AR26" s="1124"/>
      <c r="AS26" s="428"/>
      <c r="AT26" s="1104"/>
      <c r="AU26" s="1124"/>
      <c r="AV26" s="428"/>
      <c r="AW26" s="1104"/>
      <c r="AX26" s="1124"/>
      <c r="AY26" s="983"/>
      <c r="AZ26" s="983"/>
      <c r="BA26" s="1119"/>
      <c r="BB26" s="432"/>
      <c r="BC26" s="1110"/>
      <c r="BD26" s="1301"/>
      <c r="BE26" s="1110"/>
    </row>
    <row r="27" spans="1:57">
      <c r="A27" s="445" t="s">
        <v>170</v>
      </c>
      <c r="B27" s="467">
        <v>608124.8125</v>
      </c>
      <c r="C27" s="472">
        <v>1</v>
      </c>
      <c r="D27" s="469">
        <f>SUM(E27:G27)</f>
        <v>1796108815</v>
      </c>
      <c r="E27" s="470">
        <v>1796102900</v>
      </c>
      <c r="F27" s="470"/>
      <c r="G27" s="471">
        <v>5915</v>
      </c>
      <c r="H27" s="1125">
        <f>D27/B27</f>
        <v>2953.5200308900403</v>
      </c>
      <c r="I27" s="469">
        <v>1</v>
      </c>
      <c r="J27" s="474">
        <f>B27</f>
        <v>608124.8125</v>
      </c>
      <c r="K27" s="1102">
        <f>'T4'!R26</f>
        <v>28.504131600000001</v>
      </c>
      <c r="L27" s="1126">
        <f>I27*J27*K27</f>
        <v>17334069.684725326</v>
      </c>
      <c r="M27" s="469">
        <f>E27</f>
        <v>1796102900</v>
      </c>
      <c r="N27" s="1102">
        <f>'T4'!R29</f>
        <v>1.9039999999999999E-4</v>
      </c>
      <c r="O27" s="1126">
        <f>M27*N27</f>
        <v>341977.99215999997</v>
      </c>
      <c r="P27" s="1549"/>
      <c r="Q27" s="1550"/>
      <c r="R27" s="1546"/>
      <c r="S27" s="1567">
        <f>G27</f>
        <v>5915</v>
      </c>
      <c r="T27" s="1572">
        <f>'T4'!R29</f>
        <v>1.9039999999999999E-4</v>
      </c>
      <c r="U27" s="1126">
        <f>S27*T27</f>
        <v>1.1262159999999999</v>
      </c>
      <c r="V27" s="1117">
        <f>SUM(L27,O27,R27,U27)</f>
        <v>17676048.803101327</v>
      </c>
      <c r="W27" s="469">
        <f>D27</f>
        <v>1796108815</v>
      </c>
      <c r="X27" s="1102">
        <f>'T4'!R38</f>
        <v>2.0819999999999999E-4</v>
      </c>
      <c r="Y27" s="1126">
        <f>W27*X27</f>
        <v>373949.85528299998</v>
      </c>
      <c r="Z27" s="1567">
        <v>1978</v>
      </c>
      <c r="AA27" s="474">
        <v>1781</v>
      </c>
      <c r="AB27" s="474"/>
      <c r="AC27" s="474">
        <f>'T4'!J41</f>
        <v>465</v>
      </c>
      <c r="AD27" s="474">
        <f>'T4'!J42</f>
        <v>96</v>
      </c>
      <c r="AE27" s="474"/>
      <c r="AF27" s="1126">
        <f>(+Z27*AC27)+(AA27*AD27)+(AB27*AE27)</f>
        <v>1090746</v>
      </c>
      <c r="AG27" s="469">
        <f>E27+F27+(G27/4)</f>
        <v>1796104378.75</v>
      </c>
      <c r="AH27" s="1102">
        <f>'T4'!R46</f>
        <v>6.8701999999999999E-3</v>
      </c>
      <c r="AI27" s="1126">
        <f>AG27*AH27</f>
        <v>12339596.30288825</v>
      </c>
      <c r="AJ27" s="469">
        <v>50913887</v>
      </c>
      <c r="AK27" s="1102">
        <f>'T4'!R56</f>
        <v>1.7500000000000002E-2</v>
      </c>
      <c r="AL27" s="1127">
        <f>AJ27*AK27</f>
        <v>890993.02250000008</v>
      </c>
      <c r="AM27" s="469">
        <f>D27</f>
        <v>1796108815</v>
      </c>
      <c r="AN27" s="1102">
        <f>'T4'!R51</f>
        <v>4.8690000000000002E-4</v>
      </c>
      <c r="AO27" s="1127">
        <f>AM27*AN27</f>
        <v>874525.38202350005</v>
      </c>
      <c r="AP27" s="469"/>
      <c r="AQ27" s="1102"/>
      <c r="AR27" s="1127">
        <f>AP27*AQ27</f>
        <v>0</v>
      </c>
      <c r="AS27" s="469">
        <f>D27</f>
        <v>1796108815</v>
      </c>
      <c r="AT27" s="1102">
        <f>'T4'!R64</f>
        <v>5.731E-4</v>
      </c>
      <c r="AU27" s="1127">
        <f>AS27*AT27</f>
        <v>1029349.9618765</v>
      </c>
      <c r="AV27" s="469">
        <f>D27</f>
        <v>1796108815</v>
      </c>
      <c r="AW27" s="1102">
        <f>'T4'!R66</f>
        <v>1.063E-4</v>
      </c>
      <c r="AX27" s="1127">
        <f>AV27*AW27</f>
        <v>190926.3670345</v>
      </c>
      <c r="AY27" s="984"/>
      <c r="AZ27" s="984"/>
      <c r="BA27" s="1119"/>
      <c r="BB27" s="446"/>
      <c r="BC27" s="1111">
        <f>SUM(V27,Y27,AF27,AI27,AL27,AO27,AU27,AX27,AR27)</f>
        <v>34466135.694707073</v>
      </c>
      <c r="BD27" s="1302"/>
      <c r="BE27" s="1111"/>
    </row>
    <row r="28" spans="1:57">
      <c r="A28" s="1435"/>
      <c r="B28" s="436"/>
      <c r="C28" s="437"/>
      <c r="D28" s="438"/>
      <c r="E28" s="439"/>
      <c r="F28" s="439"/>
      <c r="G28" s="440"/>
      <c r="H28" s="1125"/>
      <c r="I28" s="438"/>
      <c r="J28" s="441"/>
      <c r="K28" s="441"/>
      <c r="L28" s="1126"/>
      <c r="M28" s="438"/>
      <c r="N28" s="441"/>
      <c r="O28" s="1126"/>
      <c r="P28" s="1551"/>
      <c r="Q28" s="1552"/>
      <c r="R28" s="1546"/>
      <c r="S28" s="1551"/>
      <c r="T28" s="1552"/>
      <c r="U28" s="1546"/>
      <c r="V28" s="1117"/>
      <c r="W28" s="438"/>
      <c r="X28" s="1105"/>
      <c r="Y28" s="1126"/>
      <c r="Z28" s="438"/>
      <c r="AA28" s="441"/>
      <c r="AB28" s="441"/>
      <c r="AC28" s="441"/>
      <c r="AD28" s="441"/>
      <c r="AE28" s="441"/>
      <c r="AF28" s="1126"/>
      <c r="AG28" s="438"/>
      <c r="AH28" s="1105"/>
      <c r="AI28" s="1126"/>
      <c r="AJ28" s="438"/>
      <c r="AK28" s="1105"/>
      <c r="AL28" s="1127"/>
      <c r="AM28" s="438"/>
      <c r="AN28" s="1105"/>
      <c r="AO28" s="1127"/>
      <c r="AP28" s="438"/>
      <c r="AQ28" s="1105"/>
      <c r="AR28" s="1127"/>
      <c r="AS28" s="438"/>
      <c r="AT28" s="1105"/>
      <c r="AU28" s="1127"/>
      <c r="AV28" s="438"/>
      <c r="AW28" s="1105"/>
      <c r="AX28" s="1127"/>
      <c r="AY28" s="983"/>
      <c r="AZ28" s="983"/>
      <c r="BA28" s="1119"/>
      <c r="BB28" s="432"/>
      <c r="BC28" s="1111"/>
      <c r="BD28" s="1302"/>
      <c r="BE28" s="1111"/>
    </row>
    <row r="29" spans="1:57">
      <c r="A29" s="1435" t="s">
        <v>276</v>
      </c>
      <c r="B29" s="467">
        <v>235.5</v>
      </c>
      <c r="C29" s="472">
        <v>1</v>
      </c>
      <c r="D29" s="469">
        <f>SUM(E29:G29)</f>
        <v>33009</v>
      </c>
      <c r="E29" s="470">
        <v>33009</v>
      </c>
      <c r="F29" s="470"/>
      <c r="G29" s="471"/>
      <c r="H29" s="1125">
        <f>D29/B29</f>
        <v>140.16560509554139</v>
      </c>
      <c r="I29" s="469">
        <v>1</v>
      </c>
      <c r="J29" s="474">
        <f>B29</f>
        <v>235.5</v>
      </c>
      <c r="K29" s="1102">
        <f>'T4'!R26</f>
        <v>28.504131600000001</v>
      </c>
      <c r="L29" s="1126">
        <f>I29*J29*K29</f>
        <v>6712.7229918000003</v>
      </c>
      <c r="M29" s="469">
        <f>E29</f>
        <v>33009</v>
      </c>
      <c r="N29" s="1102">
        <f>'T4'!S29</f>
        <v>1.9039999999999999E-4</v>
      </c>
      <c r="O29" s="1126">
        <f>M29*N29</f>
        <v>6.2849135999999994</v>
      </c>
      <c r="P29" s="1549"/>
      <c r="Q29" s="1550"/>
      <c r="R29" s="1546"/>
      <c r="S29" s="1549"/>
      <c r="T29" s="1550"/>
      <c r="U29" s="1546"/>
      <c r="V29" s="1117">
        <f>SUM(L29,O29,R29,U29)</f>
        <v>6719.0079054000007</v>
      </c>
      <c r="W29" s="469">
        <f>D29</f>
        <v>33009</v>
      </c>
      <c r="X29" s="1102">
        <f>'T4'!S38</f>
        <v>2.0819999999999999E-4</v>
      </c>
      <c r="Y29" s="1126">
        <f>W29*X29</f>
        <v>6.8724737999999999</v>
      </c>
      <c r="Z29" s="469"/>
      <c r="AA29" s="474"/>
      <c r="AB29" s="474"/>
      <c r="AC29" s="474"/>
      <c r="AD29" s="474"/>
      <c r="AE29" s="474"/>
      <c r="AF29" s="1126"/>
      <c r="AG29" s="469">
        <f>D29</f>
        <v>33009</v>
      </c>
      <c r="AH29" s="1102">
        <f>'T4'!S46</f>
        <v>6.8701999999999999E-3</v>
      </c>
      <c r="AI29" s="1126">
        <f>AG29*AH29</f>
        <v>226.77843179999999</v>
      </c>
      <c r="AJ29" s="469"/>
      <c r="AK29" s="1102"/>
      <c r="AL29" s="1127"/>
      <c r="AM29" s="469">
        <f>D29</f>
        <v>33009</v>
      </c>
      <c r="AN29" s="1102">
        <f>'T4'!S51</f>
        <v>4.8690000000000002E-4</v>
      </c>
      <c r="AO29" s="1127">
        <f>AM29*AN29</f>
        <v>16.072082099999999</v>
      </c>
      <c r="AP29" s="469"/>
      <c r="AQ29" s="1102"/>
      <c r="AR29" s="1127"/>
      <c r="AS29" s="469">
        <f>D29</f>
        <v>33009</v>
      </c>
      <c r="AT29" s="1102">
        <f>'T4'!S64</f>
        <v>5.731E-4</v>
      </c>
      <c r="AU29" s="1127">
        <f>AS29*AT29</f>
        <v>18.917457899999999</v>
      </c>
      <c r="AV29" s="469">
        <f>D29</f>
        <v>33009</v>
      </c>
      <c r="AW29" s="1102">
        <f>'T4'!S66</f>
        <v>1.063E-4</v>
      </c>
      <c r="AX29" s="1127">
        <f>AV29*AW29</f>
        <v>3.5088566999999999</v>
      </c>
      <c r="AY29" s="983"/>
      <c r="AZ29" s="983"/>
      <c r="BA29" s="1119"/>
      <c r="BB29" s="432"/>
      <c r="BC29" s="1111">
        <f>SUM(V29,Y29,AF29,AI29,AL29,AO29,AU29,AX29,AR29)</f>
        <v>6991.1572077000019</v>
      </c>
      <c r="BD29" s="1302"/>
      <c r="BE29" s="1111"/>
    </row>
    <row r="30" spans="1:57">
      <c r="A30" s="1435"/>
      <c r="B30" s="436"/>
      <c r="C30" s="437"/>
      <c r="D30" s="438"/>
      <c r="E30" s="439"/>
      <c r="F30" s="439"/>
      <c r="G30" s="440"/>
      <c r="H30" s="1125"/>
      <c r="I30" s="438"/>
      <c r="J30" s="441"/>
      <c r="K30" s="441"/>
      <c r="L30" s="1126"/>
      <c r="M30" s="438"/>
      <c r="N30" s="441"/>
      <c r="O30" s="1126"/>
      <c r="P30" s="1551"/>
      <c r="Q30" s="1552"/>
      <c r="R30" s="1546"/>
      <c r="S30" s="1551"/>
      <c r="T30" s="1552"/>
      <c r="U30" s="1546"/>
      <c r="V30" s="1117"/>
      <c r="W30" s="438"/>
      <c r="X30" s="1105"/>
      <c r="Y30" s="1126"/>
      <c r="Z30" s="438"/>
      <c r="AA30" s="441"/>
      <c r="AB30" s="441"/>
      <c r="AC30" s="441"/>
      <c r="AD30" s="441"/>
      <c r="AE30" s="441"/>
      <c r="AF30" s="1126"/>
      <c r="AG30" s="438"/>
      <c r="AH30" s="1105"/>
      <c r="AI30" s="1126"/>
      <c r="AJ30" s="438"/>
      <c r="AK30" s="1105"/>
      <c r="AL30" s="1127"/>
      <c r="AM30" s="438"/>
      <c r="AN30" s="1105"/>
      <c r="AO30" s="1127"/>
      <c r="AP30" s="438"/>
      <c r="AQ30" s="1105"/>
      <c r="AR30" s="1127"/>
      <c r="AS30" s="438"/>
      <c r="AT30" s="1105"/>
      <c r="AU30" s="1127"/>
      <c r="AV30" s="438"/>
      <c r="AW30" s="1105"/>
      <c r="AX30" s="1127"/>
      <c r="AY30" s="983"/>
      <c r="AZ30" s="983"/>
      <c r="BA30" s="1119"/>
      <c r="BB30" s="432"/>
      <c r="BC30" s="1111"/>
      <c r="BD30" s="1302"/>
      <c r="BE30" s="1111"/>
    </row>
    <row r="31" spans="1:57">
      <c r="A31" s="445" t="s">
        <v>111</v>
      </c>
      <c r="B31" s="467"/>
      <c r="C31" s="472">
        <v>1</v>
      </c>
      <c r="D31" s="469">
        <f>SUM(E31:G31)</f>
        <v>60560791</v>
      </c>
      <c r="E31" s="470">
        <v>3804382</v>
      </c>
      <c r="F31" s="470">
        <v>7326385</v>
      </c>
      <c r="G31" s="471">
        <v>49430024</v>
      </c>
      <c r="H31" s="1125" t="e">
        <f>D31/B31</f>
        <v>#DIV/0!</v>
      </c>
      <c r="I31" s="469"/>
      <c r="J31" s="474"/>
      <c r="K31" s="1102"/>
      <c r="L31" s="1126">
        <f>I31*J31*K31</f>
        <v>0</v>
      </c>
      <c r="M31" s="469">
        <f>E31</f>
        <v>3804382</v>
      </c>
      <c r="N31" s="1102">
        <f>'T4'!T34</f>
        <v>1.6465799999999999E-2</v>
      </c>
      <c r="O31" s="1126">
        <f>M31*N31</f>
        <v>62642.193135599999</v>
      </c>
      <c r="P31" s="469">
        <f>F31</f>
        <v>7326385</v>
      </c>
      <c r="Q31" s="1102">
        <f>'T4'!U35</f>
        <v>9.0562000000000004E-3</v>
      </c>
      <c r="R31" s="1126">
        <f>P31*Q31</f>
        <v>66349.207837000009</v>
      </c>
      <c r="S31" s="469">
        <f>G31</f>
        <v>49430024</v>
      </c>
      <c r="T31" s="1102">
        <f>Q31</f>
        <v>9.0562000000000004E-3</v>
      </c>
      <c r="U31" s="1126">
        <f>S31*T31</f>
        <v>447648.1833488</v>
      </c>
      <c r="V31" s="1117">
        <f>SUM(L31,O31,R31,U31)</f>
        <v>576639.58432140003</v>
      </c>
      <c r="W31" s="469">
        <f>D31</f>
        <v>60560791</v>
      </c>
      <c r="X31" s="1102">
        <f>'T4'!T38</f>
        <v>2.0819999999999999E-4</v>
      </c>
      <c r="Y31" s="1126">
        <f>W31*X31</f>
        <v>12608.7566862</v>
      </c>
      <c r="Z31" s="469"/>
      <c r="AA31" s="474"/>
      <c r="AB31" s="474">
        <v>0</v>
      </c>
      <c r="AC31" s="474"/>
      <c r="AD31" s="474"/>
      <c r="AE31" s="474">
        <f>'T4'!J43</f>
        <v>4.2</v>
      </c>
      <c r="AF31" s="1126">
        <f>(+Z31*AC31)+(AA31*AD31)+(AB31*AE31)</f>
        <v>0</v>
      </c>
      <c r="AG31" s="469">
        <f>E31+F31+(G31/4)</f>
        <v>23488273</v>
      </c>
      <c r="AH31" s="1102">
        <f>'T4'!T46</f>
        <v>6.8701999999999999E-3</v>
      </c>
      <c r="AI31" s="1126">
        <f>AG31*AH31</f>
        <v>161369.1331646</v>
      </c>
      <c r="AJ31" s="469"/>
      <c r="AK31" s="1102"/>
      <c r="AL31" s="1127">
        <f>AJ31*AK31</f>
        <v>0</v>
      </c>
      <c r="AM31" s="469">
        <f>D31</f>
        <v>60560791</v>
      </c>
      <c r="AN31" s="1102">
        <f>'T4'!T51</f>
        <v>4.8690000000000002E-4</v>
      </c>
      <c r="AO31" s="1127">
        <f>AM31*AN31</f>
        <v>29487.049137900001</v>
      </c>
      <c r="AP31" s="469"/>
      <c r="AQ31" s="1102"/>
      <c r="AR31" s="1127">
        <f>AP31*AQ31</f>
        <v>0</v>
      </c>
      <c r="AS31" s="469">
        <f>D31</f>
        <v>60560791</v>
      </c>
      <c r="AT31" s="1102">
        <f>'T4'!T64</f>
        <v>5.731E-4</v>
      </c>
      <c r="AU31" s="1127">
        <f>AS31*AT31</f>
        <v>34707.389322100003</v>
      </c>
      <c r="AV31" s="469">
        <f>D31</f>
        <v>60560791</v>
      </c>
      <c r="AW31" s="1102">
        <f>'T4'!T66</f>
        <v>1.063E-4</v>
      </c>
      <c r="AX31" s="1127">
        <f>AV31*AW31</f>
        <v>6437.6120832999995</v>
      </c>
      <c r="AY31" s="984"/>
      <c r="AZ31" s="984"/>
      <c r="BA31" s="1119"/>
      <c r="BB31" s="446"/>
      <c r="BC31" s="1111">
        <f>SUM(V31,Y31,AF31,AI31,AL31,AO31,AU31,AX31,AR31)</f>
        <v>821249.52471550007</v>
      </c>
      <c r="BD31" s="1302"/>
      <c r="BE31" s="1111"/>
    </row>
    <row r="32" spans="1:57">
      <c r="A32" s="434"/>
      <c r="B32" s="1149"/>
      <c r="C32" s="1150"/>
      <c r="D32" s="1151"/>
      <c r="E32" s="1152"/>
      <c r="F32" s="1130"/>
      <c r="G32" s="1153"/>
      <c r="H32" s="1131"/>
      <c r="I32" s="1154"/>
      <c r="J32" s="1155"/>
      <c r="K32" s="1156"/>
      <c r="L32" s="1127"/>
      <c r="M32" s="1136"/>
      <c r="N32" s="1157"/>
      <c r="O32" s="1127"/>
      <c r="P32" s="1136"/>
      <c r="Q32" s="1137"/>
      <c r="R32" s="1127"/>
      <c r="S32" s="1136"/>
      <c r="T32" s="1137"/>
      <c r="U32" s="1127"/>
      <c r="V32" s="1111"/>
      <c r="W32" s="1136"/>
      <c r="X32" s="1137"/>
      <c r="Y32" s="1127"/>
      <c r="Z32" s="1136"/>
      <c r="AA32" s="1158"/>
      <c r="AB32" s="1158"/>
      <c r="AC32" s="1155"/>
      <c r="AD32" s="1155"/>
      <c r="AE32" s="1155"/>
      <c r="AF32" s="1127"/>
      <c r="AG32" s="1136"/>
      <c r="AH32" s="1137"/>
      <c r="AI32" s="1138"/>
      <c r="AJ32" s="1136"/>
      <c r="AK32" s="1137"/>
      <c r="AL32" s="1127"/>
      <c r="AM32" s="1136"/>
      <c r="AN32" s="1137"/>
      <c r="AO32" s="1127"/>
      <c r="AP32" s="1136"/>
      <c r="AQ32" s="1137"/>
      <c r="AR32" s="1127"/>
      <c r="AS32" s="1136"/>
      <c r="AT32" s="1137"/>
      <c r="AU32" s="1127"/>
      <c r="AV32" s="1136"/>
      <c r="AW32" s="1137"/>
      <c r="AX32" s="1127"/>
      <c r="AY32" s="1159"/>
      <c r="AZ32" s="1160"/>
      <c r="BA32" s="1119"/>
      <c r="BB32" s="416"/>
      <c r="BC32" s="1112"/>
      <c r="BD32" s="1111"/>
      <c r="BE32" s="1111"/>
    </row>
    <row r="33" spans="1:57">
      <c r="A33" s="434" t="s">
        <v>337</v>
      </c>
      <c r="B33" s="504"/>
      <c r="C33" s="1354"/>
      <c r="D33" s="1355"/>
      <c r="E33" s="944"/>
      <c r="F33" s="944"/>
      <c r="G33" s="945"/>
      <c r="H33" s="1125"/>
      <c r="I33" s="1355"/>
      <c r="J33" s="1356"/>
      <c r="K33" s="1357"/>
      <c r="L33" s="1126"/>
      <c r="M33" s="1355"/>
      <c r="N33" s="1357"/>
      <c r="O33" s="1126"/>
      <c r="P33" s="1355"/>
      <c r="Q33" s="1357"/>
      <c r="R33" s="1126"/>
      <c r="S33" s="1355"/>
      <c r="T33" s="1357"/>
      <c r="U33" s="1126"/>
      <c r="V33" s="1117">
        <v>-580712.93969390099</v>
      </c>
      <c r="W33" s="1355"/>
      <c r="X33" s="1357"/>
      <c r="Y33" s="1126"/>
      <c r="Z33" s="1355"/>
      <c r="AA33" s="1356"/>
      <c r="AB33" s="1356"/>
      <c r="AC33" s="1356"/>
      <c r="AD33" s="1356"/>
      <c r="AE33" s="1356"/>
      <c r="AF33" s="1126"/>
      <c r="AG33" s="1355"/>
      <c r="AH33" s="1357"/>
      <c r="AI33" s="1126"/>
      <c r="AJ33" s="1355"/>
      <c r="AK33" s="1357"/>
      <c r="AL33" s="1127"/>
      <c r="AM33" s="1355"/>
      <c r="AN33" s="1357"/>
      <c r="AO33" s="1127"/>
      <c r="AP33" s="1355"/>
      <c r="AQ33" s="1357"/>
      <c r="AR33" s="1127"/>
      <c r="AS33" s="1355"/>
      <c r="AT33" s="1357"/>
      <c r="AU33" s="1127"/>
      <c r="AV33" s="1355"/>
      <c r="AW33" s="1357"/>
      <c r="AX33" s="1127"/>
      <c r="AY33" s="984"/>
      <c r="AZ33" s="984"/>
      <c r="BA33" s="1119"/>
      <c r="BB33" s="432"/>
      <c r="BC33" s="1111">
        <f>+V33</f>
        <v>-580712.93969390099</v>
      </c>
      <c r="BD33" s="1302"/>
      <c r="BE33" s="1111"/>
    </row>
    <row r="34" spans="1:57">
      <c r="A34" s="434"/>
      <c r="B34" s="1117"/>
      <c r="C34" s="1128"/>
      <c r="D34" s="1129"/>
      <c r="E34" s="1130"/>
      <c r="F34" s="1130"/>
      <c r="G34" s="1128"/>
      <c r="H34" s="1131"/>
      <c r="I34" s="1132"/>
      <c r="J34" s="1133"/>
      <c r="K34" s="1133"/>
      <c r="L34" s="1126"/>
      <c r="M34" s="1132"/>
      <c r="N34" s="1133"/>
      <c r="O34" s="1126"/>
      <c r="P34" s="1132"/>
      <c r="Q34" s="1134"/>
      <c r="R34" s="1126"/>
      <c r="S34" s="1132"/>
      <c r="T34" s="1134"/>
      <c r="U34" s="1126"/>
      <c r="V34" s="1116"/>
      <c r="W34" s="1132"/>
      <c r="X34" s="1134"/>
      <c r="Y34" s="1126"/>
      <c r="Z34" s="1132"/>
      <c r="AA34" s="1135"/>
      <c r="AB34" s="1135"/>
      <c r="AC34" s="1133"/>
      <c r="AD34" s="1133"/>
      <c r="AE34" s="1135"/>
      <c r="AF34" s="1126"/>
      <c r="AG34" s="1132"/>
      <c r="AH34" s="1134"/>
      <c r="AI34" s="1128"/>
      <c r="AJ34" s="1136"/>
      <c r="AK34" s="1137"/>
      <c r="AL34" s="1138"/>
      <c r="AM34" s="1136"/>
      <c r="AN34" s="1137"/>
      <c r="AO34" s="1138"/>
      <c r="AP34" s="1136"/>
      <c r="AQ34" s="1137"/>
      <c r="AR34" s="1138"/>
      <c r="AS34" s="1136"/>
      <c r="AT34" s="1137"/>
      <c r="AU34" s="1127"/>
      <c r="AV34" s="1136"/>
      <c r="AW34" s="1137"/>
      <c r="AX34" s="1127"/>
      <c r="AY34" s="1119"/>
      <c r="AZ34" s="1119"/>
      <c r="BA34" s="1119"/>
      <c r="BB34" s="432"/>
      <c r="BC34" s="1112"/>
      <c r="BD34" s="1111"/>
      <c r="BE34" s="1111"/>
    </row>
    <row r="35" spans="1:57" ht="15" thickBot="1">
      <c r="A35" s="421" t="s">
        <v>163</v>
      </c>
      <c r="B35" s="1118">
        <f>SUM(B27,B29)</f>
        <v>608360.3125</v>
      </c>
      <c r="C35" s="1139">
        <f>SUM(C27,C31)</f>
        <v>2</v>
      </c>
      <c r="D35" s="1140">
        <f>SUM(D27,D29,D31)</f>
        <v>1856702615</v>
      </c>
      <c r="E35" s="1141">
        <f>SUM(E27,E29,E31)</f>
        <v>1799940291</v>
      </c>
      <c r="F35" s="1142">
        <f>SUM(F27,F29,F31)</f>
        <v>7326385</v>
      </c>
      <c r="G35" s="1139">
        <f>SUM(G27,G29,G31)</f>
        <v>49435939</v>
      </c>
      <c r="H35" s="1143">
        <f>+D35/B35</f>
        <v>3051.9785345136233</v>
      </c>
      <c r="I35" s="1140">
        <f>SUM(I27,I31)</f>
        <v>1</v>
      </c>
      <c r="J35" s="1141">
        <f>SUM(J27,J29,J31)</f>
        <v>608360.3125</v>
      </c>
      <c r="K35" s="1144"/>
      <c r="L35" s="1139">
        <f>SUM(L27,L29,L31)</f>
        <v>17340782.407717127</v>
      </c>
      <c r="M35" s="1140">
        <f>SUM(M27,M29,M31)</f>
        <v>1799940291</v>
      </c>
      <c r="N35" s="1144"/>
      <c r="O35" s="1139">
        <f>SUM(O27,O29,O31)</f>
        <v>404626.47020919999</v>
      </c>
      <c r="P35" s="1140">
        <f>SUM(P27,P31)</f>
        <v>7326385</v>
      </c>
      <c r="Q35" s="1144"/>
      <c r="R35" s="1139">
        <f>SUM(R27,R31)</f>
        <v>66349.207837000009</v>
      </c>
      <c r="S35" s="1140">
        <f>SUM(S27,S31)</f>
        <v>49435939</v>
      </c>
      <c r="T35" s="1144"/>
      <c r="U35" s="1139">
        <f>SUM(U27,U31)</f>
        <v>447649.3095648</v>
      </c>
      <c r="V35" s="1118">
        <f>SUM(V33,V31,V27,V29)</f>
        <v>17678694.455634229</v>
      </c>
      <c r="W35" s="1140">
        <f>SUM(W27,W29,W31)</f>
        <v>1856702615</v>
      </c>
      <c r="X35" s="1144"/>
      <c r="Y35" s="1139">
        <f>SUM(Y27,Y29,Y31)</f>
        <v>386565.48444299994</v>
      </c>
      <c r="Z35" s="1140">
        <f>SUM(Z27,Z31)</f>
        <v>1978</v>
      </c>
      <c r="AA35" s="1141">
        <f>SUM(AA27,AA31)</f>
        <v>1781</v>
      </c>
      <c r="AB35" s="1141">
        <f>SUM(AB27,AB31)</f>
        <v>0</v>
      </c>
      <c r="AC35" s="1141"/>
      <c r="AD35" s="1141"/>
      <c r="AE35" s="1141"/>
      <c r="AF35" s="1139">
        <f>SUM(AF27,AF31)</f>
        <v>1090746</v>
      </c>
      <c r="AG35" s="1140">
        <f>SUM(AG27,AG29,AG31)</f>
        <v>1819625660.75</v>
      </c>
      <c r="AH35" s="1144"/>
      <c r="AI35" s="1139">
        <f>SUM(AI27,AI29,AI31)</f>
        <v>12501192.214484649</v>
      </c>
      <c r="AJ35" s="1145">
        <f>SUM(AJ27,AJ31)</f>
        <v>50913887</v>
      </c>
      <c r="AK35" s="1146"/>
      <c r="AL35" s="1147">
        <f>SUM(AL27,AL31)</f>
        <v>890993.02250000008</v>
      </c>
      <c r="AM35" s="1145">
        <f>SUM(AM27,AM29,AM31)</f>
        <v>1856702615</v>
      </c>
      <c r="AN35" s="1146"/>
      <c r="AO35" s="1147">
        <f>SUM(AO27,AO29,AO31)</f>
        <v>904028.50324350002</v>
      </c>
      <c r="AP35" s="1145">
        <f>SUM(AP27,AP31)</f>
        <v>0</v>
      </c>
      <c r="AQ35" s="1146"/>
      <c r="AR35" s="1147">
        <f>SUM(AR27,AR31)</f>
        <v>0</v>
      </c>
      <c r="AS35" s="1145">
        <f>SUM(AS27,AS29,AS31)</f>
        <v>1856702615</v>
      </c>
      <c r="AT35" s="1146"/>
      <c r="AU35" s="1147">
        <f>SUM(AU27,AU29,AU31)</f>
        <v>1064076.2686565001</v>
      </c>
      <c r="AV35" s="1145">
        <f>SUM(AV27,AV29,AV31)</f>
        <v>1856702615</v>
      </c>
      <c r="AW35" s="1146"/>
      <c r="AX35" s="1147">
        <f>SUM(AX27,AX29,AX31)</f>
        <v>197367.48797449999</v>
      </c>
      <c r="AY35" s="1148"/>
      <c r="AZ35" s="1148"/>
      <c r="BA35" s="1148"/>
      <c r="BB35" s="443"/>
      <c r="BC35" s="1113">
        <f>SUM(BC33,BC31,BC27,BC29)</f>
        <v>34713663.436936371</v>
      </c>
      <c r="BD35" s="1303">
        <f>+'T3'!S81+'T3'!T81</f>
        <v>34713624.275343284</v>
      </c>
      <c r="BE35" s="1113">
        <f>BC35-BD35</f>
        <v>39.161593087017536</v>
      </c>
    </row>
    <row r="36" spans="1:57">
      <c r="A36" s="444" t="s">
        <v>74</v>
      </c>
      <c r="B36" s="426"/>
      <c r="C36" s="427"/>
      <c r="D36" s="428"/>
      <c r="E36" s="429"/>
      <c r="F36" s="429"/>
      <c r="G36" s="430"/>
      <c r="H36" s="1121"/>
      <c r="I36" s="428"/>
      <c r="J36" s="431"/>
      <c r="K36" s="431"/>
      <c r="L36" s="1122"/>
      <c r="M36" s="428"/>
      <c r="N36" s="431"/>
      <c r="O36" s="1122"/>
      <c r="P36" s="428"/>
      <c r="Q36" s="1104"/>
      <c r="R36" s="1122"/>
      <c r="S36" s="428"/>
      <c r="T36" s="1104"/>
      <c r="U36" s="1122"/>
      <c r="V36" s="1123"/>
      <c r="W36" s="428"/>
      <c r="X36" s="1104"/>
      <c r="Y36" s="1122"/>
      <c r="Z36" s="428"/>
      <c r="AA36" s="431"/>
      <c r="AB36" s="431"/>
      <c r="AC36" s="431"/>
      <c r="AD36" s="431"/>
      <c r="AE36" s="431"/>
      <c r="AF36" s="1122"/>
      <c r="AG36" s="428"/>
      <c r="AH36" s="1104"/>
      <c r="AI36" s="1122"/>
      <c r="AJ36" s="428"/>
      <c r="AK36" s="1104"/>
      <c r="AL36" s="1124"/>
      <c r="AM36" s="428"/>
      <c r="AN36" s="1104"/>
      <c r="AO36" s="1124"/>
      <c r="AP36" s="428"/>
      <c r="AQ36" s="1104"/>
      <c r="AR36" s="1124"/>
      <c r="AS36" s="428"/>
      <c r="AT36" s="1104"/>
      <c r="AU36" s="1124"/>
      <c r="AV36" s="428"/>
      <c r="AW36" s="1104"/>
      <c r="AX36" s="1124"/>
      <c r="AY36" s="983"/>
      <c r="AZ36" s="983"/>
      <c r="BA36" s="1119"/>
      <c r="BB36" s="416"/>
      <c r="BC36" s="1110"/>
      <c r="BD36" s="1301"/>
      <c r="BE36" s="1110"/>
    </row>
    <row r="37" spans="1:57">
      <c r="A37" s="445" t="s">
        <v>170</v>
      </c>
      <c r="B37" s="467">
        <v>14197.25</v>
      </c>
      <c r="C37" s="472">
        <v>1</v>
      </c>
      <c r="D37" s="469">
        <f>SUM(E37:G37)</f>
        <v>30120336</v>
      </c>
      <c r="E37" s="470">
        <v>30120336</v>
      </c>
      <c r="F37" s="470"/>
      <c r="G37" s="471"/>
      <c r="H37" s="1125">
        <f>D37/B37</f>
        <v>2121.5612882776595</v>
      </c>
      <c r="I37" s="469">
        <v>1</v>
      </c>
      <c r="J37" s="474">
        <f>B37</f>
        <v>14197.25</v>
      </c>
      <c r="K37" s="1102">
        <f>'T4'!W26</f>
        <v>21.060550800000001</v>
      </c>
      <c r="L37" s="1126">
        <f>I37*J37*K37</f>
        <v>299001.90484530001</v>
      </c>
      <c r="M37" s="469">
        <f>E37</f>
        <v>30120336</v>
      </c>
      <c r="N37" s="1102">
        <f>'T4'!W29</f>
        <v>2.8969999999999998E-3</v>
      </c>
      <c r="O37" s="1126">
        <f>M37*N37</f>
        <v>87258.613391999999</v>
      </c>
      <c r="P37" s="469"/>
      <c r="Q37" s="1102"/>
      <c r="R37" s="1126"/>
      <c r="S37" s="469"/>
      <c r="T37" s="1102"/>
      <c r="U37" s="1126"/>
      <c r="V37" s="1117">
        <f>SUM(L37,O37,R37,U37)</f>
        <v>386260.51823729998</v>
      </c>
      <c r="W37" s="469">
        <f>D37</f>
        <v>30120336</v>
      </c>
      <c r="X37" s="1102">
        <f>'T4'!W38</f>
        <v>2.0819999999999999E-4</v>
      </c>
      <c r="Y37" s="1126">
        <f>W37*X37</f>
        <v>6271.0539552</v>
      </c>
      <c r="Z37" s="469">
        <v>212</v>
      </c>
      <c r="AA37" s="474">
        <v>36</v>
      </c>
      <c r="AB37" s="474"/>
      <c r="AC37" s="474">
        <f>'T4'!J41</f>
        <v>465</v>
      </c>
      <c r="AD37" s="474">
        <f>'T4'!J42</f>
        <v>96</v>
      </c>
      <c r="AE37" s="474"/>
      <c r="AF37" s="1126">
        <f>(+Z37*AC37)+(AA37*AD37)+(AB37*AE37)</f>
        <v>102036</v>
      </c>
      <c r="AG37" s="469">
        <f>D37</f>
        <v>30120336</v>
      </c>
      <c r="AH37" s="1102">
        <f>'T4'!W46</f>
        <v>1.2991900000000001E-2</v>
      </c>
      <c r="AI37" s="1126">
        <f>AG37*AH37</f>
        <v>391320.39327840001</v>
      </c>
      <c r="AJ37" s="469">
        <v>1389984</v>
      </c>
      <c r="AK37" s="1102">
        <f>'T4'!W56</f>
        <v>1.7500000000000002E-2</v>
      </c>
      <c r="AL37" s="1127">
        <f>AJ37*AK37</f>
        <v>24324.720000000001</v>
      </c>
      <c r="AM37" s="469">
        <f>D37</f>
        <v>30120336</v>
      </c>
      <c r="AN37" s="1102">
        <f>'T4'!W51</f>
        <v>1.5483999999999999E-3</v>
      </c>
      <c r="AO37" s="1127">
        <f>AM37*AN37</f>
        <v>46638.328262399998</v>
      </c>
      <c r="AP37" s="469"/>
      <c r="AQ37" s="1102"/>
      <c r="AR37" s="1127">
        <f>AP37*AQ37</f>
        <v>0</v>
      </c>
      <c r="AS37" s="469">
        <f>D37</f>
        <v>30120336</v>
      </c>
      <c r="AT37" s="1102">
        <f>'T4'!W64</f>
        <v>9.923E-4</v>
      </c>
      <c r="AU37" s="1127">
        <f>AS37*AT37</f>
        <v>29888.4094128</v>
      </c>
      <c r="AV37" s="469">
        <f>D37</f>
        <v>30120336</v>
      </c>
      <c r="AW37" s="1102">
        <f>'T4'!W66</f>
        <v>1.841E-4</v>
      </c>
      <c r="AX37" s="1127">
        <f>AV37*AW37</f>
        <v>5545.1538576000003</v>
      </c>
      <c r="AY37" s="984"/>
      <c r="AZ37" s="984"/>
      <c r="BA37" s="1119"/>
      <c r="BB37" s="446"/>
      <c r="BC37" s="1111">
        <f>SUM(V37,Y37,AF37,AI37,AL37,AO37,AU37,AX37,AR37)</f>
        <v>992284.57700369996</v>
      </c>
      <c r="BD37" s="1302"/>
      <c r="BE37" s="1111"/>
    </row>
    <row r="38" spans="1:57">
      <c r="A38" s="445"/>
      <c r="B38" s="436"/>
      <c r="C38" s="437"/>
      <c r="D38" s="438"/>
      <c r="E38" s="439"/>
      <c r="F38" s="439"/>
      <c r="G38" s="440"/>
      <c r="H38" s="1125"/>
      <c r="I38" s="438"/>
      <c r="J38" s="441"/>
      <c r="K38" s="441"/>
      <c r="L38" s="1126"/>
      <c r="M38" s="438"/>
      <c r="N38" s="441"/>
      <c r="O38" s="1126"/>
      <c r="P38" s="438"/>
      <c r="Q38" s="1105"/>
      <c r="R38" s="1126"/>
      <c r="S38" s="438"/>
      <c r="T38" s="1105"/>
      <c r="U38" s="1126"/>
      <c r="V38" s="1117"/>
      <c r="W38" s="438"/>
      <c r="X38" s="1105"/>
      <c r="Y38" s="1126"/>
      <c r="Z38" s="438"/>
      <c r="AA38" s="441"/>
      <c r="AB38" s="441"/>
      <c r="AC38" s="441"/>
      <c r="AD38" s="441"/>
      <c r="AE38" s="441"/>
      <c r="AF38" s="1126"/>
      <c r="AG38" s="438"/>
      <c r="AH38" s="1105"/>
      <c r="AI38" s="1126"/>
      <c r="AJ38" s="438"/>
      <c r="AK38" s="1105"/>
      <c r="AL38" s="1127"/>
      <c r="AM38" s="438"/>
      <c r="AN38" s="1105"/>
      <c r="AO38" s="1127"/>
      <c r="AP38" s="438"/>
      <c r="AQ38" s="1105"/>
      <c r="AR38" s="1127"/>
      <c r="AS38" s="438"/>
      <c r="AT38" s="1105"/>
      <c r="AU38" s="1127"/>
      <c r="AV38" s="438"/>
      <c r="AW38" s="1105"/>
      <c r="AX38" s="1127"/>
      <c r="AY38" s="983"/>
      <c r="AZ38" s="983"/>
      <c r="BA38" s="1119"/>
      <c r="BB38" s="432"/>
      <c r="BC38" s="1111"/>
      <c r="BD38" s="1302"/>
      <c r="BE38" s="1111"/>
    </row>
    <row r="39" spans="1:57">
      <c r="A39" s="1435" t="s">
        <v>276</v>
      </c>
      <c r="B39" s="467">
        <v>14.5</v>
      </c>
      <c r="C39" s="472">
        <v>1</v>
      </c>
      <c r="D39" s="469">
        <f>SUM(E39:G39)</f>
        <v>1354</v>
      </c>
      <c r="E39" s="470">
        <v>1354</v>
      </c>
      <c r="F39" s="470"/>
      <c r="G39" s="471"/>
      <c r="H39" s="1125"/>
      <c r="I39" s="469">
        <v>1</v>
      </c>
      <c r="J39" s="474">
        <f>B39</f>
        <v>14.5</v>
      </c>
      <c r="K39" s="1102">
        <f>'T4'!W26</f>
        <v>21.060550800000001</v>
      </c>
      <c r="L39" s="1126">
        <f>I39*J39*K39</f>
        <v>305.37798660000004</v>
      </c>
      <c r="M39" s="469">
        <f>E39</f>
        <v>1354</v>
      </c>
      <c r="N39" s="1102">
        <f>N37</f>
        <v>2.8969999999999998E-3</v>
      </c>
      <c r="O39" s="1126">
        <f>M39*N39</f>
        <v>3.9225379999999999</v>
      </c>
      <c r="P39" s="469"/>
      <c r="Q39" s="1102"/>
      <c r="R39" s="1126"/>
      <c r="S39" s="469"/>
      <c r="T39" s="1102"/>
      <c r="U39" s="1126"/>
      <c r="V39" s="1117">
        <f>SUM(L39,O39,R39,U39)</f>
        <v>309.30052460000002</v>
      </c>
      <c r="W39" s="469">
        <f>D39</f>
        <v>1354</v>
      </c>
      <c r="X39" s="1102">
        <f>X37</f>
        <v>2.0819999999999999E-4</v>
      </c>
      <c r="Y39" s="1126">
        <f>W39*X39</f>
        <v>0.28190280000000001</v>
      </c>
      <c r="Z39" s="469"/>
      <c r="AA39" s="474"/>
      <c r="AB39" s="474"/>
      <c r="AC39" s="474"/>
      <c r="AD39" s="474"/>
      <c r="AE39" s="474"/>
      <c r="AF39" s="1126"/>
      <c r="AG39" s="469">
        <f>D39</f>
        <v>1354</v>
      </c>
      <c r="AH39" s="1102">
        <f>AH37</f>
        <v>1.2991900000000001E-2</v>
      </c>
      <c r="AI39" s="1126">
        <f>AG39*AH39</f>
        <v>17.591032600000002</v>
      </c>
      <c r="AJ39" s="469"/>
      <c r="AK39" s="1102"/>
      <c r="AL39" s="1127"/>
      <c r="AM39" s="469">
        <f>D39</f>
        <v>1354</v>
      </c>
      <c r="AN39" s="1102">
        <f>AN37</f>
        <v>1.5483999999999999E-3</v>
      </c>
      <c r="AO39" s="1127">
        <f>AM39*AN39</f>
        <v>2.0965335999999999</v>
      </c>
      <c r="AP39" s="469"/>
      <c r="AQ39" s="1102"/>
      <c r="AR39" s="1127"/>
      <c r="AS39" s="469">
        <f>D39</f>
        <v>1354</v>
      </c>
      <c r="AT39" s="1102">
        <f>AT37</f>
        <v>9.923E-4</v>
      </c>
      <c r="AU39" s="1127">
        <f>AS39*AT39</f>
        <v>1.3435741999999999</v>
      </c>
      <c r="AV39" s="469">
        <f>D39</f>
        <v>1354</v>
      </c>
      <c r="AW39" s="1102">
        <f>AW37</f>
        <v>1.841E-4</v>
      </c>
      <c r="AX39" s="1127">
        <f>AV39*AW39</f>
        <v>0.2492714</v>
      </c>
      <c r="AY39" s="983"/>
      <c r="AZ39" s="983"/>
      <c r="BA39" s="1119"/>
      <c r="BB39" s="432"/>
      <c r="BC39" s="1111">
        <f>SUM(V39,Y39,AF39,AI39,AL39,AO39,AU39,AX39,AR39)</f>
        <v>330.8628392</v>
      </c>
      <c r="BD39" s="1302"/>
      <c r="BE39" s="1111"/>
    </row>
    <row r="40" spans="1:57">
      <c r="A40" s="445"/>
      <c r="B40" s="436"/>
      <c r="C40" s="437"/>
      <c r="D40" s="438"/>
      <c r="E40" s="439"/>
      <c r="F40" s="439"/>
      <c r="G40" s="440"/>
      <c r="H40" s="1125"/>
      <c r="I40" s="438"/>
      <c r="J40" s="441"/>
      <c r="K40" s="441"/>
      <c r="L40" s="1126"/>
      <c r="M40" s="438"/>
      <c r="N40" s="441"/>
      <c r="O40" s="1126"/>
      <c r="P40" s="438"/>
      <c r="Q40" s="1105"/>
      <c r="R40" s="1126"/>
      <c r="S40" s="438"/>
      <c r="T40" s="1105"/>
      <c r="U40" s="1126"/>
      <c r="V40" s="1117"/>
      <c r="W40" s="438"/>
      <c r="X40" s="1105"/>
      <c r="Y40" s="1126"/>
      <c r="Z40" s="438"/>
      <c r="AA40" s="441"/>
      <c r="AB40" s="441"/>
      <c r="AC40" s="441"/>
      <c r="AD40" s="441"/>
      <c r="AE40" s="441"/>
      <c r="AF40" s="1126"/>
      <c r="AG40" s="438"/>
      <c r="AH40" s="1105"/>
      <c r="AI40" s="1126"/>
      <c r="AJ40" s="438"/>
      <c r="AK40" s="1105"/>
      <c r="AL40" s="1127"/>
      <c r="AM40" s="438"/>
      <c r="AN40" s="1105"/>
      <c r="AO40" s="1127"/>
      <c r="AP40" s="438"/>
      <c r="AQ40" s="1105"/>
      <c r="AR40" s="1127"/>
      <c r="AS40" s="438"/>
      <c r="AT40" s="1105"/>
      <c r="AU40" s="1127"/>
      <c r="AV40" s="438"/>
      <c r="AW40" s="1105"/>
      <c r="AX40" s="1127"/>
      <c r="AY40" s="983"/>
      <c r="AZ40" s="983"/>
      <c r="BA40" s="1119"/>
      <c r="BB40" s="432"/>
      <c r="BC40" s="1111"/>
      <c r="BD40" s="1302"/>
      <c r="BE40" s="1111"/>
    </row>
    <row r="41" spans="1:57">
      <c r="A41" s="445" t="s">
        <v>111</v>
      </c>
      <c r="B41" s="467"/>
      <c r="C41" s="472"/>
      <c r="D41" s="469">
        <f>SUM(E41:G41)</f>
        <v>3954832</v>
      </c>
      <c r="E41" s="470">
        <v>57330</v>
      </c>
      <c r="F41" s="470">
        <v>252180</v>
      </c>
      <c r="G41" s="471">
        <v>3645322</v>
      </c>
      <c r="H41" s="1125" t="e">
        <f>D41/B41</f>
        <v>#DIV/0!</v>
      </c>
      <c r="I41" s="469"/>
      <c r="J41" s="474"/>
      <c r="K41" s="1102"/>
      <c r="L41" s="1126">
        <f>I41*J41*K41</f>
        <v>0</v>
      </c>
      <c r="M41" s="469">
        <f>E41</f>
        <v>57330</v>
      </c>
      <c r="N41" s="1102">
        <f>'T4'!X34</f>
        <v>2.26331E-2</v>
      </c>
      <c r="O41" s="1126">
        <f>M41*N41</f>
        <v>1297.555623</v>
      </c>
      <c r="P41" s="469">
        <f>F41</f>
        <v>252180</v>
      </c>
      <c r="Q41" s="1102">
        <f>'T4'!X35</f>
        <v>1.24482E-2</v>
      </c>
      <c r="R41" s="1126">
        <f>P41*Q41</f>
        <v>3139.1870759999997</v>
      </c>
      <c r="S41" s="469">
        <f>G41</f>
        <v>3645322</v>
      </c>
      <c r="T41" s="1102">
        <f>Q41</f>
        <v>1.24482E-2</v>
      </c>
      <c r="U41" s="1126">
        <f>S41*T41</f>
        <v>45377.697320399995</v>
      </c>
      <c r="V41" s="1117">
        <f>SUM(L41,O41,R41,U41)</f>
        <v>49814.440019399997</v>
      </c>
      <c r="W41" s="469">
        <f>D41</f>
        <v>3954832</v>
      </c>
      <c r="X41" s="1102">
        <f>'T4'!X38</f>
        <v>2.0819999999999999E-4</v>
      </c>
      <c r="Y41" s="1126">
        <f>W41*X41</f>
        <v>823.39602239999999</v>
      </c>
      <c r="Z41" s="469"/>
      <c r="AA41" s="474"/>
      <c r="AB41" s="474">
        <v>0</v>
      </c>
      <c r="AC41" s="474"/>
      <c r="AD41" s="474"/>
      <c r="AE41" s="474">
        <f>'T4'!J43</f>
        <v>4.2</v>
      </c>
      <c r="AF41" s="1126">
        <f>(+Z41*AC41)+(AA41*AD41)+(AB41*AE41)</f>
        <v>0</v>
      </c>
      <c r="AG41" s="469">
        <f>E41+F41+(G41/4)</f>
        <v>1220840.5</v>
      </c>
      <c r="AH41" s="1102">
        <f>'T4'!X46</f>
        <v>1.2991900000000001E-2</v>
      </c>
      <c r="AI41" s="1126">
        <f>AG41*AH41</f>
        <v>15861.037691950001</v>
      </c>
      <c r="AJ41" s="469"/>
      <c r="AK41" s="1102"/>
      <c r="AL41" s="1127">
        <f>AJ41*AK41</f>
        <v>0</v>
      </c>
      <c r="AM41" s="469">
        <f>D41</f>
        <v>3954832</v>
      </c>
      <c r="AN41" s="1102">
        <f>'T4'!X51</f>
        <v>1.5483999999999999E-3</v>
      </c>
      <c r="AO41" s="1127">
        <f>AM41*AN41</f>
        <v>6123.6618687999999</v>
      </c>
      <c r="AP41" s="469"/>
      <c r="AQ41" s="1102"/>
      <c r="AR41" s="1127">
        <f>AP41*AQ41</f>
        <v>0</v>
      </c>
      <c r="AS41" s="469">
        <f>D41</f>
        <v>3954832</v>
      </c>
      <c r="AT41" s="1102">
        <f>'T4'!X64</f>
        <v>9.923E-4</v>
      </c>
      <c r="AU41" s="1127">
        <f>AS41*AT41</f>
        <v>3924.3797936000001</v>
      </c>
      <c r="AV41" s="469">
        <f>+D41</f>
        <v>3954832</v>
      </c>
      <c r="AW41" s="1102">
        <f>'T4'!X66</f>
        <v>1.841E-4</v>
      </c>
      <c r="AX41" s="1127">
        <f>AV41*AW41</f>
        <v>728.08457120000003</v>
      </c>
      <c r="AY41" s="984"/>
      <c r="AZ41" s="984"/>
      <c r="BA41" s="1119"/>
      <c r="BB41" s="446"/>
      <c r="BC41" s="1111">
        <f>SUM(V41,Y41,AF41,AI41,AL41,AO41,AU41,AX41,AR41)</f>
        <v>77274.999967349999</v>
      </c>
      <c r="BD41" s="1302"/>
      <c r="BE41" s="1111"/>
    </row>
    <row r="42" spans="1:57">
      <c r="A42" s="434"/>
      <c r="B42" s="1149"/>
      <c r="C42" s="1150"/>
      <c r="D42" s="1151"/>
      <c r="E42" s="1152"/>
      <c r="F42" s="1130"/>
      <c r="G42" s="1153"/>
      <c r="H42" s="1131"/>
      <c r="I42" s="1154"/>
      <c r="J42" s="1155"/>
      <c r="K42" s="1156"/>
      <c r="L42" s="1127"/>
      <c r="M42" s="1136"/>
      <c r="N42" s="1157"/>
      <c r="O42" s="1127"/>
      <c r="P42" s="1136"/>
      <c r="Q42" s="1137"/>
      <c r="R42" s="1127"/>
      <c r="S42" s="1136"/>
      <c r="T42" s="1137"/>
      <c r="U42" s="1127"/>
      <c r="V42" s="1111"/>
      <c r="W42" s="1136"/>
      <c r="X42" s="1137"/>
      <c r="Y42" s="1127"/>
      <c r="Z42" s="1136"/>
      <c r="AA42" s="1158"/>
      <c r="AB42" s="1158"/>
      <c r="AC42" s="1155"/>
      <c r="AD42" s="1155"/>
      <c r="AE42" s="1155"/>
      <c r="AF42" s="1127"/>
      <c r="AG42" s="1136"/>
      <c r="AH42" s="1137"/>
      <c r="AI42" s="1138"/>
      <c r="AJ42" s="1136"/>
      <c r="AK42" s="1137"/>
      <c r="AL42" s="1127"/>
      <c r="AM42" s="1136"/>
      <c r="AN42" s="1137"/>
      <c r="AO42" s="1127"/>
      <c r="AP42" s="1136"/>
      <c r="AQ42" s="1137"/>
      <c r="AR42" s="1127"/>
      <c r="AS42" s="1136"/>
      <c r="AT42" s="1137"/>
      <c r="AU42" s="1127"/>
      <c r="AV42" s="1136"/>
      <c r="AW42" s="1137"/>
      <c r="AX42" s="1127"/>
      <c r="AY42" s="1159"/>
      <c r="AZ42" s="1160"/>
      <c r="BA42" s="1119"/>
      <c r="BB42" s="416"/>
      <c r="BC42" s="1112"/>
      <c r="BD42" s="1111"/>
      <c r="BE42" s="1111"/>
    </row>
    <row r="43" spans="1:57">
      <c r="A43" s="434" t="s">
        <v>337</v>
      </c>
      <c r="B43" s="504"/>
      <c r="C43" s="1354"/>
      <c r="D43" s="1355"/>
      <c r="E43" s="944"/>
      <c r="F43" s="944"/>
      <c r="G43" s="945"/>
      <c r="H43" s="1125"/>
      <c r="I43" s="1355"/>
      <c r="J43" s="1356"/>
      <c r="K43" s="1357"/>
      <c r="L43" s="1126"/>
      <c r="M43" s="1355"/>
      <c r="N43" s="1357"/>
      <c r="O43" s="1126"/>
      <c r="P43" s="1355"/>
      <c r="Q43" s="1357"/>
      <c r="R43" s="1126"/>
      <c r="S43" s="1355"/>
      <c r="T43" s="1357"/>
      <c r="U43" s="1126"/>
      <c r="V43" s="1120">
        <v>-7162.9374547969728</v>
      </c>
      <c r="W43" s="1355"/>
      <c r="X43" s="1357"/>
      <c r="Y43" s="1126"/>
      <c r="Z43" s="1355"/>
      <c r="AA43" s="1356"/>
      <c r="AB43" s="1356"/>
      <c r="AC43" s="1356"/>
      <c r="AD43" s="1356"/>
      <c r="AE43" s="1356"/>
      <c r="AF43" s="1126"/>
      <c r="AG43" s="1355"/>
      <c r="AH43" s="1357"/>
      <c r="AI43" s="1126"/>
      <c r="AJ43" s="1355"/>
      <c r="AK43" s="1357"/>
      <c r="AL43" s="1127"/>
      <c r="AM43" s="1355"/>
      <c r="AN43" s="1357"/>
      <c r="AO43" s="1127"/>
      <c r="AP43" s="1355"/>
      <c r="AQ43" s="1357"/>
      <c r="AR43" s="1127"/>
      <c r="AS43" s="1355"/>
      <c r="AT43" s="1357"/>
      <c r="AU43" s="1127"/>
      <c r="AV43" s="1355"/>
      <c r="AW43" s="1357"/>
      <c r="AX43" s="1127"/>
      <c r="AY43" s="984"/>
      <c r="AZ43" s="984"/>
      <c r="BA43" s="1119"/>
      <c r="BB43" s="432"/>
      <c r="BC43" s="1111">
        <f>+V43</f>
        <v>-7162.9374547969728</v>
      </c>
      <c r="BD43" s="1302"/>
      <c r="BE43" s="1111"/>
    </row>
    <row r="44" spans="1:57">
      <c r="A44" s="434"/>
      <c r="B44" s="1117"/>
      <c r="C44" s="1128"/>
      <c r="D44" s="1129"/>
      <c r="E44" s="1130"/>
      <c r="F44" s="1130"/>
      <c r="G44" s="1128"/>
      <c r="H44" s="1131"/>
      <c r="I44" s="1132"/>
      <c r="J44" s="1133"/>
      <c r="K44" s="1133"/>
      <c r="L44" s="1126"/>
      <c r="M44" s="1132"/>
      <c r="N44" s="1133"/>
      <c r="O44" s="1126"/>
      <c r="P44" s="1132"/>
      <c r="Q44" s="1134"/>
      <c r="R44" s="1126"/>
      <c r="S44" s="1132"/>
      <c r="T44" s="1134"/>
      <c r="U44" s="1126"/>
      <c r="V44" s="1116"/>
      <c r="W44" s="1132"/>
      <c r="X44" s="1134"/>
      <c r="Y44" s="1126"/>
      <c r="Z44" s="1132"/>
      <c r="AA44" s="1135"/>
      <c r="AB44" s="1135"/>
      <c r="AC44" s="1133"/>
      <c r="AD44" s="1133"/>
      <c r="AE44" s="1135"/>
      <c r="AF44" s="1126"/>
      <c r="AG44" s="1132"/>
      <c r="AH44" s="1134"/>
      <c r="AI44" s="1128"/>
      <c r="AJ44" s="1136"/>
      <c r="AK44" s="1137"/>
      <c r="AL44" s="1138"/>
      <c r="AM44" s="1136"/>
      <c r="AN44" s="1137"/>
      <c r="AO44" s="1138"/>
      <c r="AP44" s="1136"/>
      <c r="AQ44" s="1137"/>
      <c r="AR44" s="1138"/>
      <c r="AS44" s="1136"/>
      <c r="AT44" s="1137"/>
      <c r="AU44" s="1127"/>
      <c r="AV44" s="1136"/>
      <c r="AW44" s="1137"/>
      <c r="AX44" s="1127"/>
      <c r="AY44" s="1119"/>
      <c r="AZ44" s="1119"/>
      <c r="BA44" s="1119"/>
      <c r="BB44" s="432"/>
      <c r="BC44" s="1112"/>
      <c r="BD44" s="1111"/>
      <c r="BE44" s="1111"/>
    </row>
    <row r="45" spans="1:57" ht="15" thickBot="1">
      <c r="A45" s="421" t="s">
        <v>171</v>
      </c>
      <c r="B45" s="1118">
        <f>SUM(B37,B39)</f>
        <v>14211.75</v>
      </c>
      <c r="C45" s="1139">
        <f>SUM(C37,C41)</f>
        <v>1</v>
      </c>
      <c r="D45" s="1140">
        <f>SUM(D37,D39,D41)</f>
        <v>34076522</v>
      </c>
      <c r="E45" s="1141">
        <f>SUM(E37,E41)</f>
        <v>30177666</v>
      </c>
      <c r="F45" s="1142">
        <f>SUM(F37,F41)</f>
        <v>252180</v>
      </c>
      <c r="G45" s="1139">
        <f>SUM(G37,G41)</f>
        <v>3645322</v>
      </c>
      <c r="H45" s="1143">
        <f>+D45/B45</f>
        <v>2397.7709993491303</v>
      </c>
      <c r="I45" s="1140">
        <f>SUM(I37,I41)</f>
        <v>1</v>
      </c>
      <c r="J45" s="1141">
        <f>SUM(J37,J41)</f>
        <v>14197.25</v>
      </c>
      <c r="K45" s="1144"/>
      <c r="L45" s="1139">
        <f>SUM(L37,L39,L41)</f>
        <v>299307.2828319</v>
      </c>
      <c r="M45" s="1140">
        <f>SUM(M37,M39,M41)</f>
        <v>30179020</v>
      </c>
      <c r="N45" s="1144"/>
      <c r="O45" s="1139">
        <f>SUM(O37,O39,O41)</f>
        <v>88560.091552999991</v>
      </c>
      <c r="P45" s="1140">
        <f>SUM(P37,P41)</f>
        <v>252180</v>
      </c>
      <c r="Q45" s="1144"/>
      <c r="R45" s="1139">
        <f>SUM(R37,R41)</f>
        <v>3139.1870759999997</v>
      </c>
      <c r="S45" s="1140">
        <f>SUM(S37,S41)</f>
        <v>3645322</v>
      </c>
      <c r="T45" s="1144"/>
      <c r="U45" s="1139">
        <f>SUM(U37,U41)</f>
        <v>45377.697320399995</v>
      </c>
      <c r="V45" s="1118">
        <f>SUM(V43,V41,V37,V39)</f>
        <v>429221.32132650301</v>
      </c>
      <c r="W45" s="1140">
        <f>SUM(W37,W39,W41)</f>
        <v>34076522</v>
      </c>
      <c r="X45" s="1144"/>
      <c r="Y45" s="1139">
        <f>SUM(Y37,Y39,Y41)</f>
        <v>7094.7318804000006</v>
      </c>
      <c r="Z45" s="1140">
        <f>SUM(Z37,Z41)</f>
        <v>212</v>
      </c>
      <c r="AA45" s="1141">
        <f>SUM(AA37,AA41)</f>
        <v>36</v>
      </c>
      <c r="AB45" s="1141">
        <f>SUM(AB37,AB41)</f>
        <v>0</v>
      </c>
      <c r="AC45" s="1141"/>
      <c r="AD45" s="1141"/>
      <c r="AE45" s="1141"/>
      <c r="AF45" s="1139">
        <f>SUM(AF37,AF41)</f>
        <v>102036</v>
      </c>
      <c r="AG45" s="1140">
        <f>SUM(AG37,AG39,AG41)</f>
        <v>31342530.5</v>
      </c>
      <c r="AH45" s="1144"/>
      <c r="AI45" s="1139">
        <f>SUM(AI37,AI39,AI41)</f>
        <v>407199.02200294996</v>
      </c>
      <c r="AJ45" s="1145">
        <f>SUM(AJ37,AJ41)</f>
        <v>1389984</v>
      </c>
      <c r="AK45" s="1146"/>
      <c r="AL45" s="1147">
        <f>SUM(AL37,AL41)</f>
        <v>24324.720000000001</v>
      </c>
      <c r="AM45" s="1145">
        <f>SUM(AM37,AM41)</f>
        <v>34075168</v>
      </c>
      <c r="AN45" s="1146"/>
      <c r="AO45" s="1147">
        <f>SUM(AO37,AO39,AO41)</f>
        <v>52764.086664800001</v>
      </c>
      <c r="AP45" s="1145">
        <f>SUM(AP37,AP41)</f>
        <v>0</v>
      </c>
      <c r="AQ45" s="1146"/>
      <c r="AR45" s="1147">
        <f>SUM(AR37,AR41)</f>
        <v>0</v>
      </c>
      <c r="AS45" s="1145">
        <f>SUM(AS37,AS39,AS41)</f>
        <v>34076522</v>
      </c>
      <c r="AT45" s="1146"/>
      <c r="AU45" s="1147">
        <f>SUM(AU37,AU39,AU41)</f>
        <v>33814.132780599997</v>
      </c>
      <c r="AV45" s="1145">
        <f>SUM(AV37,AV39,AV41)</f>
        <v>34076522</v>
      </c>
      <c r="AW45" s="1146"/>
      <c r="AX45" s="1147">
        <f>SUM(AX37,AX39,AX41)</f>
        <v>6273.4877002000003</v>
      </c>
      <c r="AY45" s="1148"/>
      <c r="AZ45" s="1148"/>
      <c r="BA45" s="1148"/>
      <c r="BB45" s="447"/>
      <c r="BC45" s="1113">
        <f>SUM(BC43,BC41,BC37,BC39)</f>
        <v>1062727.5023554531</v>
      </c>
      <c r="BD45" s="1304">
        <f>+'T3'!X81+'T3'!Y81</f>
        <v>1062731.1175045716</v>
      </c>
      <c r="BE45" s="1113">
        <f>BC45-BD45</f>
        <v>-3.6151491184718907</v>
      </c>
    </row>
    <row r="46" spans="1:57" ht="15" thickBot="1">
      <c r="A46" s="448"/>
      <c r="B46" s="909"/>
      <c r="C46" s="909"/>
      <c r="D46" s="909"/>
      <c r="E46" s="909"/>
      <c r="F46" s="909"/>
      <c r="G46" s="909"/>
      <c r="H46" s="909"/>
      <c r="I46" s="909"/>
      <c r="J46" s="1119"/>
      <c r="K46" s="909"/>
      <c r="L46" s="909"/>
      <c r="M46" s="1119"/>
      <c r="N46" s="909"/>
      <c r="O46" s="909"/>
      <c r="P46" s="1119"/>
      <c r="Q46" s="909"/>
      <c r="R46" s="909"/>
      <c r="S46" s="1119"/>
      <c r="T46" s="909"/>
      <c r="U46" s="909"/>
      <c r="V46" s="909"/>
      <c r="W46" s="1119"/>
      <c r="X46" s="909"/>
      <c r="Y46" s="909"/>
      <c r="Z46" s="1119"/>
      <c r="AA46" s="1119"/>
      <c r="AB46" s="1119"/>
      <c r="AC46" s="909"/>
      <c r="AD46" s="909"/>
      <c r="AE46" s="909"/>
      <c r="AF46" s="909"/>
      <c r="AG46" s="1119"/>
      <c r="AH46" s="909"/>
      <c r="AI46" s="909"/>
      <c r="AJ46" s="1119"/>
      <c r="AK46" s="909"/>
      <c r="AL46" s="909"/>
      <c r="AM46" s="1119"/>
      <c r="AN46" s="909"/>
      <c r="AO46" s="909"/>
      <c r="AP46" s="1119"/>
      <c r="AQ46" s="909"/>
      <c r="AR46" s="909"/>
      <c r="AS46" s="1119"/>
      <c r="AT46" s="909"/>
      <c r="AU46" s="909"/>
      <c r="AV46" s="1119"/>
      <c r="AW46" s="909"/>
      <c r="AX46" s="909"/>
      <c r="AY46" s="909"/>
      <c r="AZ46" s="909"/>
      <c r="BA46" s="909"/>
      <c r="BB46" s="416"/>
      <c r="BC46" s="909"/>
      <c r="BD46" s="909"/>
      <c r="BE46" s="909"/>
    </row>
    <row r="47" spans="1:57" s="1191" customFormat="1" ht="48.75" customHeight="1" thickBot="1">
      <c r="A47" s="961"/>
      <c r="B47" s="961"/>
      <c r="C47" s="961"/>
      <c r="D47" s="961"/>
      <c r="E47" s="961"/>
      <c r="F47" s="961"/>
      <c r="G47" s="961"/>
      <c r="H47" s="961"/>
      <c r="I47" s="1708" t="s">
        <v>130</v>
      </c>
      <c r="J47" s="1683"/>
      <c r="K47" s="1683"/>
      <c r="L47" s="1683"/>
      <c r="M47" s="1683"/>
      <c r="N47" s="1683"/>
      <c r="O47" s="1683"/>
      <c r="P47" s="1683"/>
      <c r="Q47" s="1683"/>
      <c r="R47" s="1683"/>
      <c r="S47" s="1683"/>
      <c r="T47" s="1683"/>
      <c r="U47" s="1683"/>
      <c r="V47" s="1684"/>
      <c r="W47" s="1682" t="s">
        <v>131</v>
      </c>
      <c r="X47" s="1683"/>
      <c r="Y47" s="1684"/>
      <c r="Z47" s="1682" t="s">
        <v>132</v>
      </c>
      <c r="AA47" s="1702"/>
      <c r="AB47" s="1702"/>
      <c r="AC47" s="1702"/>
      <c r="AD47" s="1702"/>
      <c r="AE47" s="1702"/>
      <c r="AF47" s="1703"/>
      <c r="AG47" s="1682" t="s">
        <v>133</v>
      </c>
      <c r="AH47" s="1702"/>
      <c r="AI47" s="1703"/>
      <c r="AJ47" s="1682" t="s">
        <v>134</v>
      </c>
      <c r="AK47" s="1683"/>
      <c r="AL47" s="1684"/>
      <c r="AM47" s="1682" t="s">
        <v>134</v>
      </c>
      <c r="AN47" s="1683"/>
      <c r="AO47" s="1684"/>
      <c r="AP47" s="1682" t="s">
        <v>134</v>
      </c>
      <c r="AQ47" s="1683"/>
      <c r="AR47" s="1684"/>
      <c r="AS47" s="1682" t="s">
        <v>135</v>
      </c>
      <c r="AT47" s="1683"/>
      <c r="AU47" s="1684"/>
      <c r="AV47" s="1682" t="s">
        <v>135</v>
      </c>
      <c r="AW47" s="1683"/>
      <c r="AX47" s="1684"/>
      <c r="AY47" s="1692" t="s">
        <v>293</v>
      </c>
      <c r="AZ47" s="1693"/>
      <c r="BA47" s="1694"/>
      <c r="BB47" s="1200"/>
      <c r="BC47" s="1688" t="s">
        <v>148</v>
      </c>
      <c r="BD47" s="1709" t="s">
        <v>346</v>
      </c>
      <c r="BE47" s="1108" t="s">
        <v>136</v>
      </c>
    </row>
    <row r="48" spans="1:57" s="1191" customFormat="1" ht="27.75" customHeight="1" thickBot="1">
      <c r="A48" s="1190"/>
      <c r="B48" s="1353" t="s">
        <v>118</v>
      </c>
      <c r="C48" s="1370" t="s">
        <v>167</v>
      </c>
      <c r="D48" s="1368" t="s">
        <v>302</v>
      </c>
      <c r="E48" s="1369" t="s">
        <v>138</v>
      </c>
      <c r="F48" s="1369" t="s">
        <v>139</v>
      </c>
      <c r="G48" s="1370" t="s">
        <v>169</v>
      </c>
      <c r="H48" s="1353" t="s">
        <v>172</v>
      </c>
      <c r="I48" s="1707" t="s">
        <v>140</v>
      </c>
      <c r="J48" s="1686"/>
      <c r="K48" s="1686"/>
      <c r="L48" s="1687"/>
      <c r="M48" s="1707" t="s">
        <v>164</v>
      </c>
      <c r="N48" s="1686"/>
      <c r="O48" s="1687"/>
      <c r="P48" s="1707" t="s">
        <v>141</v>
      </c>
      <c r="Q48" s="1686"/>
      <c r="R48" s="1687"/>
      <c r="S48" s="1707" t="s">
        <v>168</v>
      </c>
      <c r="T48" s="1686"/>
      <c r="U48" s="1687"/>
      <c r="V48" s="1353" t="s">
        <v>78</v>
      </c>
      <c r="W48" s="1685" t="s">
        <v>142</v>
      </c>
      <c r="X48" s="1686"/>
      <c r="Y48" s="1687"/>
      <c r="Z48" s="1685" t="s">
        <v>143</v>
      </c>
      <c r="AA48" s="1698"/>
      <c r="AB48" s="1698"/>
      <c r="AC48" s="1686"/>
      <c r="AD48" s="1686"/>
      <c r="AE48" s="1686"/>
      <c r="AF48" s="1687"/>
      <c r="AG48" s="1685"/>
      <c r="AH48" s="1686"/>
      <c r="AI48" s="1687"/>
      <c r="AJ48" s="1685" t="s">
        <v>144</v>
      </c>
      <c r="AK48" s="1686"/>
      <c r="AL48" s="1687"/>
      <c r="AM48" s="1685" t="s">
        <v>145</v>
      </c>
      <c r="AN48" s="1686"/>
      <c r="AO48" s="1687"/>
      <c r="AP48" s="1699" t="s">
        <v>284</v>
      </c>
      <c r="AQ48" s="1700"/>
      <c r="AR48" s="1701"/>
      <c r="AS48" s="1685" t="s">
        <v>146</v>
      </c>
      <c r="AT48" s="1686"/>
      <c r="AU48" s="1687"/>
      <c r="AV48" s="1685" t="s">
        <v>147</v>
      </c>
      <c r="AW48" s="1686"/>
      <c r="AX48" s="1687"/>
      <c r="AY48" s="1695"/>
      <c r="AZ48" s="1696"/>
      <c r="BA48" s="1697"/>
      <c r="BB48" s="109"/>
      <c r="BC48" s="1689"/>
      <c r="BD48" s="1710"/>
      <c r="BE48" s="1109"/>
    </row>
    <row r="49" spans="1:57" s="1191" customFormat="1" ht="15.75" customHeight="1" thickBot="1">
      <c r="A49" s="1192"/>
      <c r="B49" s="1375"/>
      <c r="C49" s="1374"/>
      <c r="D49" s="1371"/>
      <c r="E49" s="1372"/>
      <c r="F49" s="1373"/>
      <c r="G49" s="1374"/>
      <c r="H49" s="1375"/>
      <c r="I49" s="1376" t="s">
        <v>137</v>
      </c>
      <c r="J49" s="1377" t="s">
        <v>118</v>
      </c>
      <c r="K49" s="1378" t="s">
        <v>149</v>
      </c>
      <c r="L49" s="1379" t="s">
        <v>150</v>
      </c>
      <c r="M49" s="1380" t="s">
        <v>151</v>
      </c>
      <c r="N49" s="1378" t="s">
        <v>149</v>
      </c>
      <c r="O49" s="1379" t="s">
        <v>150</v>
      </c>
      <c r="P49" s="1380" t="s">
        <v>152</v>
      </c>
      <c r="Q49" s="1378" t="s">
        <v>149</v>
      </c>
      <c r="R49" s="1379" t="s">
        <v>150</v>
      </c>
      <c r="S49" s="1380" t="s">
        <v>169</v>
      </c>
      <c r="T49" s="1378" t="s">
        <v>149</v>
      </c>
      <c r="U49" s="1379" t="s">
        <v>150</v>
      </c>
      <c r="V49" s="1381" t="s">
        <v>150</v>
      </c>
      <c r="W49" s="1380" t="s">
        <v>123</v>
      </c>
      <c r="X49" s="1378" t="s">
        <v>149</v>
      </c>
      <c r="Y49" s="1379" t="s">
        <v>150</v>
      </c>
      <c r="Z49" s="1380" t="s">
        <v>36</v>
      </c>
      <c r="AA49" s="1377" t="s">
        <v>37</v>
      </c>
      <c r="AB49" s="1377" t="s">
        <v>165</v>
      </c>
      <c r="AC49" s="1378" t="s">
        <v>153</v>
      </c>
      <c r="AD49" s="1378" t="s">
        <v>154</v>
      </c>
      <c r="AE49" s="1378" t="s">
        <v>166</v>
      </c>
      <c r="AF49" s="1379" t="s">
        <v>150</v>
      </c>
      <c r="AG49" s="1380" t="s">
        <v>123</v>
      </c>
      <c r="AH49" s="1378" t="s">
        <v>149</v>
      </c>
      <c r="AI49" s="1379" t="s">
        <v>150</v>
      </c>
      <c r="AJ49" s="1194" t="s">
        <v>155</v>
      </c>
      <c r="AK49" s="1195" t="s">
        <v>149</v>
      </c>
      <c r="AL49" s="1196" t="s">
        <v>150</v>
      </c>
      <c r="AM49" s="1194" t="s">
        <v>123</v>
      </c>
      <c r="AN49" s="1195" t="s">
        <v>149</v>
      </c>
      <c r="AO49" s="1196" t="s">
        <v>150</v>
      </c>
      <c r="AP49" s="1194" t="s">
        <v>123</v>
      </c>
      <c r="AQ49" s="1195" t="s">
        <v>149</v>
      </c>
      <c r="AR49" s="1196" t="s">
        <v>150</v>
      </c>
      <c r="AS49" s="1194" t="s">
        <v>123</v>
      </c>
      <c r="AT49" s="1195" t="s">
        <v>149</v>
      </c>
      <c r="AU49" s="1197" t="s">
        <v>150</v>
      </c>
      <c r="AV49" s="1194" t="s">
        <v>123</v>
      </c>
      <c r="AW49" s="1195" t="s">
        <v>149</v>
      </c>
      <c r="AX49" s="1196" t="s">
        <v>150</v>
      </c>
      <c r="AY49" s="418" t="s">
        <v>118</v>
      </c>
      <c r="AZ49" s="419" t="s">
        <v>149</v>
      </c>
      <c r="BA49" s="420" t="s">
        <v>150</v>
      </c>
      <c r="BB49" s="109"/>
      <c r="BC49" s="1109" t="s">
        <v>156</v>
      </c>
      <c r="BD49" s="1109" t="s">
        <v>157</v>
      </c>
      <c r="BE49" s="1109" t="s">
        <v>158</v>
      </c>
    </row>
    <row r="50" spans="1:57">
      <c r="A50" s="425" t="s">
        <v>75</v>
      </c>
      <c r="B50" s="1114"/>
      <c r="C50" s="1164"/>
      <c r="D50" s="1165"/>
      <c r="E50" s="1166"/>
      <c r="F50" s="1166"/>
      <c r="G50" s="1167"/>
      <c r="H50" s="1121"/>
      <c r="I50" s="1168"/>
      <c r="J50" s="1169"/>
      <c r="K50" s="1166"/>
      <c r="L50" s="1164"/>
      <c r="M50" s="1170"/>
      <c r="N50" s="1166"/>
      <c r="O50" s="1164"/>
      <c r="P50" s="1170"/>
      <c r="Q50" s="1171"/>
      <c r="R50" s="1164"/>
      <c r="S50" s="1170"/>
      <c r="T50" s="1171"/>
      <c r="U50" s="1164"/>
      <c r="V50" s="1114"/>
      <c r="W50" s="1170"/>
      <c r="X50" s="1171"/>
      <c r="Y50" s="1164"/>
      <c r="Z50" s="1170"/>
      <c r="AA50" s="1169"/>
      <c r="AB50" s="1169"/>
      <c r="AC50" s="1169"/>
      <c r="AD50" s="1169"/>
      <c r="AE50" s="1169"/>
      <c r="AF50" s="1164"/>
      <c r="AG50" s="1170"/>
      <c r="AH50" s="1171"/>
      <c r="AI50" s="1164"/>
      <c r="AJ50" s="1170"/>
      <c r="AK50" s="1171"/>
      <c r="AL50" s="1164"/>
      <c r="AM50" s="1170"/>
      <c r="AN50" s="1171"/>
      <c r="AO50" s="1164"/>
      <c r="AP50" s="1170"/>
      <c r="AQ50" s="1171"/>
      <c r="AR50" s="1164"/>
      <c r="AS50" s="1170"/>
      <c r="AT50" s="1171"/>
      <c r="AU50" s="1164"/>
      <c r="AV50" s="1170"/>
      <c r="AW50" s="1171"/>
      <c r="AX50" s="1164"/>
      <c r="AY50" s="1358"/>
      <c r="AZ50" s="1359"/>
      <c r="BA50" s="1360"/>
      <c r="BB50" s="449"/>
      <c r="BC50" s="1114"/>
      <c r="BD50" s="1115"/>
      <c r="BE50" s="1115"/>
    </row>
    <row r="51" spans="1:57">
      <c r="A51" s="434" t="s">
        <v>170</v>
      </c>
      <c r="B51" s="467">
        <v>49838.833333333336</v>
      </c>
      <c r="C51" s="467">
        <v>1</v>
      </c>
      <c r="D51" s="469">
        <f>SUM(E51:G51)</f>
        <v>104908298</v>
      </c>
      <c r="E51" s="470">
        <v>104908298</v>
      </c>
      <c r="F51" s="470"/>
      <c r="G51" s="471"/>
      <c r="H51" s="1125">
        <f>D51/B51</f>
        <v>2104.9509184605045</v>
      </c>
      <c r="I51" s="475">
        <v>1</v>
      </c>
      <c r="J51" s="470">
        <f>B51</f>
        <v>49838.833333333336</v>
      </c>
      <c r="K51" s="1103">
        <f>'T4'!$Z$26</f>
        <v>93.0598296</v>
      </c>
      <c r="L51" s="1126">
        <f>I51*J51*K51</f>
        <v>4637993.3374628006</v>
      </c>
      <c r="M51" s="475">
        <f>E51</f>
        <v>104908298</v>
      </c>
      <c r="N51" s="1103">
        <f>'T4'!Z29</f>
        <v>5.5349999999999996E-4</v>
      </c>
      <c r="O51" s="1126">
        <f>M51*N51</f>
        <v>58066.742942999997</v>
      </c>
      <c r="P51" s="1544"/>
      <c r="Q51" s="1545"/>
      <c r="R51" s="1546"/>
      <c r="S51" s="1544"/>
      <c r="T51" s="1545"/>
      <c r="U51" s="1126"/>
      <c r="V51" s="1117">
        <f>SUM(L51,O51,R51,U51)</f>
        <v>4696060.0804058006</v>
      </c>
      <c r="W51" s="475">
        <f>D51</f>
        <v>104908298</v>
      </c>
      <c r="X51" s="1103">
        <f>'T4'!Z38</f>
        <v>2.0819999999999999E-4</v>
      </c>
      <c r="Y51" s="1126">
        <f>W51*X51</f>
        <v>21841.9076436</v>
      </c>
      <c r="Z51" s="475">
        <v>681</v>
      </c>
      <c r="AA51" s="470">
        <v>674</v>
      </c>
      <c r="AB51" s="470"/>
      <c r="AC51" s="474">
        <f>'T4'!J41</f>
        <v>465</v>
      </c>
      <c r="AD51" s="474">
        <f>'T4'!J42</f>
        <v>96</v>
      </c>
      <c r="AE51" s="470"/>
      <c r="AF51" s="1126">
        <f>(+Z51*AC51)+(AA51*AD51)+(AB51*AE51)</f>
        <v>381369</v>
      </c>
      <c r="AG51" s="475">
        <f>D51</f>
        <v>104908298</v>
      </c>
      <c r="AH51" s="1103">
        <f>'T4'!Z46</f>
        <v>4.5334399999999997E-2</v>
      </c>
      <c r="AI51" s="1126">
        <f>AG51*AH51</f>
        <v>4755954.7448511999</v>
      </c>
      <c r="AJ51" s="475">
        <v>4884644</v>
      </c>
      <c r="AK51" s="1103">
        <f>'T4'!Z56</f>
        <v>1.7500000000000002E-2</v>
      </c>
      <c r="AL51" s="1126">
        <f>AJ51*AK51</f>
        <v>85481.27</v>
      </c>
      <c r="AM51" s="475">
        <f>D51</f>
        <v>104908298</v>
      </c>
      <c r="AN51" s="1103">
        <f>'T4'!Z51</f>
        <v>1.7907000000000001E-3</v>
      </c>
      <c r="AO51" s="1126">
        <f>AM51*AN51</f>
        <v>187859.28922860001</v>
      </c>
      <c r="AP51" s="475"/>
      <c r="AQ51" s="1103"/>
      <c r="AR51" s="1126">
        <f>AP51*AQ51</f>
        <v>0</v>
      </c>
      <c r="AS51" s="475">
        <f>D51</f>
        <v>104908298</v>
      </c>
      <c r="AT51" s="1103">
        <f>'T4'!Z64</f>
        <v>2.418E-3</v>
      </c>
      <c r="AU51" s="1126">
        <f>AS51*AT51</f>
        <v>253668.26456400001</v>
      </c>
      <c r="AV51" s="475">
        <f>+D51</f>
        <v>104908298</v>
      </c>
      <c r="AW51" s="1103">
        <f>'T4'!Z66</f>
        <v>4.4860000000000001E-4</v>
      </c>
      <c r="AX51" s="1126">
        <f>AV51*AW51</f>
        <v>47061.862482800003</v>
      </c>
      <c r="AY51" s="1358"/>
      <c r="AZ51" s="1359"/>
      <c r="BA51" s="1360"/>
      <c r="BB51" s="450"/>
      <c r="BC51" s="1116">
        <f>SUM(V51,Y51,AF51,AI51,AL51,AO51,AU51,AX51,AR51)</f>
        <v>10429296.419175999</v>
      </c>
      <c r="BD51" s="440"/>
      <c r="BE51" s="1116"/>
    </row>
    <row r="52" spans="1:57">
      <c r="A52" s="451"/>
      <c r="B52" s="1172"/>
      <c r="C52" s="1173"/>
      <c r="D52" s="438"/>
      <c r="E52" s="439"/>
      <c r="F52" s="439"/>
      <c r="G52" s="440"/>
      <c r="H52" s="1175"/>
      <c r="I52" s="1132"/>
      <c r="J52" s="1133"/>
      <c r="K52" s="1133"/>
      <c r="L52" s="1126"/>
      <c r="M52" s="1132"/>
      <c r="N52" s="1133"/>
      <c r="O52" s="1126"/>
      <c r="P52" s="1547"/>
      <c r="Q52" s="1548"/>
      <c r="R52" s="1546"/>
      <c r="S52" s="1547"/>
      <c r="T52" s="1548"/>
      <c r="U52" s="1126"/>
      <c r="V52" s="1116"/>
      <c r="W52" s="1132"/>
      <c r="X52" s="1134"/>
      <c r="Y52" s="1126"/>
      <c r="Z52" s="1132"/>
      <c r="AA52" s="1133"/>
      <c r="AB52" s="1133"/>
      <c r="AC52" s="1133"/>
      <c r="AD52" s="1133"/>
      <c r="AE52" s="1133"/>
      <c r="AF52" s="1126"/>
      <c r="AG52" s="1132"/>
      <c r="AH52" s="1134"/>
      <c r="AI52" s="1126"/>
      <c r="AJ52" s="1132"/>
      <c r="AK52" s="1134"/>
      <c r="AL52" s="1126"/>
      <c r="AM52" s="1132"/>
      <c r="AN52" s="1134"/>
      <c r="AO52" s="1126"/>
      <c r="AP52" s="1132"/>
      <c r="AQ52" s="1134"/>
      <c r="AR52" s="1126"/>
      <c r="AS52" s="1132"/>
      <c r="AT52" s="1134"/>
      <c r="AU52" s="1126"/>
      <c r="AV52" s="1132"/>
      <c r="AW52" s="1134"/>
      <c r="AX52" s="1126"/>
      <c r="AY52" s="1358"/>
      <c r="AZ52" s="1359"/>
      <c r="BA52" s="1360"/>
      <c r="BB52" s="452"/>
      <c r="BC52" s="1117"/>
      <c r="BD52" s="1116"/>
      <c r="BE52" s="1116"/>
    </row>
    <row r="53" spans="1:57">
      <c r="A53" s="1435" t="s">
        <v>276</v>
      </c>
      <c r="B53" s="467">
        <v>19.916666666666668</v>
      </c>
      <c r="C53" s="467">
        <v>1</v>
      </c>
      <c r="D53" s="469">
        <f>SUM(E53:G53)</f>
        <v>63113</v>
      </c>
      <c r="E53" s="470">
        <v>63113</v>
      </c>
      <c r="F53" s="470"/>
      <c r="G53" s="471"/>
      <c r="H53" s="1175"/>
      <c r="I53" s="475">
        <v>1</v>
      </c>
      <c r="J53" s="470">
        <f>B53</f>
        <v>19.916666666666668</v>
      </c>
      <c r="K53" s="1103">
        <f>'T4'!$Z$26</f>
        <v>93.0598296</v>
      </c>
      <c r="L53" s="1126">
        <f>I53*J53*K53</f>
        <v>1853.4416062</v>
      </c>
      <c r="M53" s="475">
        <f>E53</f>
        <v>63113</v>
      </c>
      <c r="N53" s="1102">
        <f>N51</f>
        <v>5.5349999999999996E-4</v>
      </c>
      <c r="O53" s="1126">
        <f>M53*N53</f>
        <v>34.933045499999999</v>
      </c>
      <c r="P53" s="1549"/>
      <c r="Q53" s="1550"/>
      <c r="R53" s="1546"/>
      <c r="S53" s="1549"/>
      <c r="T53" s="1550"/>
      <c r="U53" s="1126"/>
      <c r="V53" s="1117">
        <f>SUM(L53,O53,R53,U53)</f>
        <v>1888.3746517</v>
      </c>
      <c r="W53" s="475">
        <f>D53</f>
        <v>63113</v>
      </c>
      <c r="X53" s="1102">
        <f>X51</f>
        <v>2.0819999999999999E-4</v>
      </c>
      <c r="Y53" s="1126">
        <f>W53*X53</f>
        <v>13.1401266</v>
      </c>
      <c r="Z53" s="469"/>
      <c r="AA53" s="474"/>
      <c r="AB53" s="474"/>
      <c r="AC53" s="474"/>
      <c r="AD53" s="474"/>
      <c r="AE53" s="474"/>
      <c r="AF53" s="1126"/>
      <c r="AG53" s="475">
        <f>D53</f>
        <v>63113</v>
      </c>
      <c r="AH53" s="1102">
        <f>AH51</f>
        <v>4.5334399999999997E-2</v>
      </c>
      <c r="AI53" s="1126">
        <f>AG53*AH53</f>
        <v>2861.1899871999999</v>
      </c>
      <c r="AJ53" s="469"/>
      <c r="AK53" s="1102"/>
      <c r="AL53" s="1127"/>
      <c r="AM53" s="475">
        <f>D53</f>
        <v>63113</v>
      </c>
      <c r="AN53" s="1102">
        <f>AN51</f>
        <v>1.7907000000000001E-3</v>
      </c>
      <c r="AO53" s="1127">
        <f>AM53*AN53</f>
        <v>113.0164491</v>
      </c>
      <c r="AP53" s="469"/>
      <c r="AQ53" s="1102"/>
      <c r="AR53" s="1127"/>
      <c r="AS53" s="469">
        <f>D53</f>
        <v>63113</v>
      </c>
      <c r="AT53" s="1102">
        <f>AT51</f>
        <v>2.418E-3</v>
      </c>
      <c r="AU53" s="1127">
        <f>AS53*AT53</f>
        <v>152.60723400000001</v>
      </c>
      <c r="AV53" s="469">
        <f>D53</f>
        <v>63113</v>
      </c>
      <c r="AW53" s="1102">
        <f>AW51</f>
        <v>4.4860000000000001E-4</v>
      </c>
      <c r="AX53" s="1127">
        <f>AV53*AW53</f>
        <v>28.3124918</v>
      </c>
      <c r="AY53" s="1358"/>
      <c r="AZ53" s="1359"/>
      <c r="BA53" s="1360"/>
      <c r="BB53" s="452"/>
      <c r="BC53" s="1111">
        <f>SUM(V53,Y53,AF53,AI53,AL53,AO53,AU53,AX53,AR53)</f>
        <v>5056.6409403999996</v>
      </c>
      <c r="BD53" s="112"/>
      <c r="BE53" s="1116"/>
    </row>
    <row r="54" spans="1:57">
      <c r="A54" s="451"/>
      <c r="B54" s="1172"/>
      <c r="C54" s="1173"/>
      <c r="D54" s="438"/>
      <c r="E54" s="439"/>
      <c r="F54" s="439"/>
      <c r="G54" s="440"/>
      <c r="H54" s="1175"/>
      <c r="I54" s="1132"/>
      <c r="J54" s="1133"/>
      <c r="K54" s="1133"/>
      <c r="L54" s="1126"/>
      <c r="M54" s="1132"/>
      <c r="N54" s="1133"/>
      <c r="O54" s="1126"/>
      <c r="P54" s="1132"/>
      <c r="Q54" s="1176"/>
      <c r="R54" s="1126"/>
      <c r="S54" s="1132"/>
      <c r="T54" s="1176"/>
      <c r="U54" s="1126"/>
      <c r="V54" s="1116"/>
      <c r="W54" s="1132"/>
      <c r="X54" s="1134"/>
      <c r="Y54" s="1126"/>
      <c r="Z54" s="1132"/>
      <c r="AA54" s="1133"/>
      <c r="AB54" s="1133"/>
      <c r="AC54" s="1133"/>
      <c r="AD54" s="1133"/>
      <c r="AE54" s="1133"/>
      <c r="AF54" s="1126"/>
      <c r="AG54" s="1132"/>
      <c r="AH54" s="1134"/>
      <c r="AI54" s="1126"/>
      <c r="AJ54" s="1132"/>
      <c r="AK54" s="1134"/>
      <c r="AL54" s="1126"/>
      <c r="AM54" s="1132"/>
      <c r="AN54" s="1134"/>
      <c r="AO54" s="1126"/>
      <c r="AP54" s="1132"/>
      <c r="AQ54" s="1134"/>
      <c r="AR54" s="1126"/>
      <c r="AS54" s="1132"/>
      <c r="AT54" s="1134"/>
      <c r="AU54" s="1126"/>
      <c r="AV54" s="1132"/>
      <c r="AW54" s="1134"/>
      <c r="AX54" s="1126"/>
      <c r="AY54" s="1358"/>
      <c r="AZ54" s="1359"/>
      <c r="BA54" s="1360"/>
      <c r="BB54" s="452"/>
      <c r="BC54" s="1117"/>
      <c r="BD54" s="112"/>
      <c r="BE54" s="1116"/>
    </row>
    <row r="55" spans="1:57">
      <c r="A55" s="434" t="s">
        <v>111</v>
      </c>
      <c r="B55" s="467"/>
      <c r="C55" s="467">
        <v>1</v>
      </c>
      <c r="D55" s="469">
        <f>SUM(E55:G55)</f>
        <v>1799226913.8166816</v>
      </c>
      <c r="E55" s="470">
        <v>1115798184.4915106</v>
      </c>
      <c r="F55" s="470">
        <v>615846157.30025458</v>
      </c>
      <c r="G55" s="471">
        <v>67582572.024916485</v>
      </c>
      <c r="H55" s="1125" t="e">
        <f>D55/B55</f>
        <v>#DIV/0!</v>
      </c>
      <c r="I55" s="475"/>
      <c r="J55" s="470"/>
      <c r="K55" s="1103"/>
      <c r="L55" s="1126">
        <f>I55*J55*K55</f>
        <v>0</v>
      </c>
      <c r="M55" s="475">
        <f>E55</f>
        <v>1115798184.4915106</v>
      </c>
      <c r="N55" s="1103">
        <f>'T4'!AK34</f>
        <v>5.4077100000000003E-2</v>
      </c>
      <c r="O55" s="1126">
        <f>M55*N55</f>
        <v>60339130.002565876</v>
      </c>
      <c r="P55" s="475">
        <f>+F55</f>
        <v>615846157.30025458</v>
      </c>
      <c r="Q55" s="1103">
        <f>'T4'!AK35</f>
        <v>3.2446200000000001E-2</v>
      </c>
      <c r="R55" s="1126">
        <f>P55*Q55</f>
        <v>19981867.58899552</v>
      </c>
      <c r="S55" s="475">
        <f>+G55</f>
        <v>67582572.024916485</v>
      </c>
      <c r="T55" s="1103">
        <f>'T4'!AK36</f>
        <v>2.1630799999999999E-2</v>
      </c>
      <c r="U55" s="1126">
        <f>S55*T55</f>
        <v>1461865.0989565635</v>
      </c>
      <c r="V55" s="1117">
        <f>SUM(L55,O55,R55,U55)</f>
        <v>81782862.690517962</v>
      </c>
      <c r="W55" s="475">
        <f>D55</f>
        <v>1799226913.8166816</v>
      </c>
      <c r="X55" s="1103">
        <f>X51</f>
        <v>2.0819999999999999E-4</v>
      </c>
      <c r="Y55" s="1126">
        <f>W55*X55</f>
        <v>374599.04345663311</v>
      </c>
      <c r="Z55" s="475"/>
      <c r="AA55" s="470"/>
      <c r="AB55" s="470">
        <v>416415</v>
      </c>
      <c r="AC55" s="474"/>
      <c r="AD55" s="474"/>
      <c r="AE55" s="474">
        <f>'T4'!J43</f>
        <v>4.2</v>
      </c>
      <c r="AF55" s="1126">
        <f>(+Z55*AC55)+(AA55*AD55)+(AB55*AE55)</f>
        <v>1748943</v>
      </c>
      <c r="AG55" s="475">
        <f>E55+F55+(G55/4)</f>
        <v>1748539984.7979944</v>
      </c>
      <c r="AH55" s="1103">
        <f>'T4'!AK46</f>
        <v>4.5334399999999997E-2</v>
      </c>
      <c r="AI55" s="1126">
        <f>AG55*AH55</f>
        <v>79269011.08682619</v>
      </c>
      <c r="AJ55" s="475"/>
      <c r="AK55" s="1103"/>
      <c r="AL55" s="1126">
        <f>AJ55*AK55</f>
        <v>0</v>
      </c>
      <c r="AM55" s="475">
        <f>D55</f>
        <v>1799226913.8166816</v>
      </c>
      <c r="AN55" s="1103">
        <f>'T4'!AK51</f>
        <v>1.7907000000000001E-3</v>
      </c>
      <c r="AO55" s="1126">
        <f>AM55*AN55</f>
        <v>3221875.6345715318</v>
      </c>
      <c r="AP55" s="475"/>
      <c r="AQ55" s="1103"/>
      <c r="AR55" s="1126">
        <f>AP55*AQ55</f>
        <v>0</v>
      </c>
      <c r="AS55" s="475">
        <f>D55</f>
        <v>1799226913.8166816</v>
      </c>
      <c r="AT55" s="1103">
        <f>'T4'!AK64</f>
        <v>2.418E-3</v>
      </c>
      <c r="AU55" s="1126">
        <f>AS55*AT55</f>
        <v>4350530.6776087359</v>
      </c>
      <c r="AV55" s="475">
        <f>+D55</f>
        <v>1799226913.8166816</v>
      </c>
      <c r="AW55" s="1103">
        <f>+'T4'!AK66</f>
        <v>4.4860000000000001E-4</v>
      </c>
      <c r="AX55" s="1126">
        <f>AV55*AW55</f>
        <v>807133.19353816344</v>
      </c>
      <c r="AY55" s="1358"/>
      <c r="AZ55" s="1359"/>
      <c r="BA55" s="1360"/>
      <c r="BB55" s="450"/>
      <c r="BC55" s="1116">
        <f>SUM(V55,Y55,AF55,AI55,AL55,AO55,AU55,AX55,AR55)</f>
        <v>171554955.32651919</v>
      </c>
      <c r="BD55" s="440"/>
      <c r="BE55" s="1116"/>
    </row>
    <row r="56" spans="1:57">
      <c r="A56" s="451"/>
      <c r="B56" s="1172"/>
      <c r="C56" s="1173"/>
      <c r="D56" s="1174"/>
      <c r="E56" s="1135"/>
      <c r="F56" s="1135"/>
      <c r="G56" s="112"/>
      <c r="H56" s="1125"/>
      <c r="I56" s="1132"/>
      <c r="J56" s="1133"/>
      <c r="K56" s="1133"/>
      <c r="L56" s="1126"/>
      <c r="M56" s="1132"/>
      <c r="N56" s="1133"/>
      <c r="O56" s="1126"/>
      <c r="P56" s="1132"/>
      <c r="Q56" s="1134"/>
      <c r="R56" s="1126"/>
      <c r="S56" s="1132"/>
      <c r="T56" s="1134"/>
      <c r="U56" s="1126"/>
      <c r="V56" s="1116"/>
      <c r="W56" s="1132"/>
      <c r="X56" s="1134"/>
      <c r="Y56" s="1126"/>
      <c r="Z56" s="1132"/>
      <c r="AA56" s="1133"/>
      <c r="AB56" s="1133"/>
      <c r="AC56" s="1133"/>
      <c r="AD56" s="1133"/>
      <c r="AE56" s="1133"/>
      <c r="AF56" s="1126"/>
      <c r="AG56" s="1132"/>
      <c r="AH56" s="1134"/>
      <c r="AI56" s="1126"/>
      <c r="AJ56" s="1132"/>
      <c r="AK56" s="1134"/>
      <c r="AL56" s="1126"/>
      <c r="AM56" s="1132"/>
      <c r="AN56" s="1134"/>
      <c r="AO56" s="1126"/>
      <c r="AP56" s="1132"/>
      <c r="AQ56" s="1134"/>
      <c r="AR56" s="1126"/>
      <c r="AS56" s="1132"/>
      <c r="AT56" s="1134"/>
      <c r="AU56" s="1126"/>
      <c r="AV56" s="1132"/>
      <c r="AW56" s="1134"/>
      <c r="AX56" s="1126"/>
      <c r="AY56" s="1358"/>
      <c r="AZ56" s="1359"/>
      <c r="BA56" s="1360"/>
      <c r="BB56" s="452"/>
      <c r="BC56" s="1117"/>
      <c r="BD56" s="1116"/>
      <c r="BE56" s="1116"/>
    </row>
    <row r="57" spans="1:57">
      <c r="A57" s="434" t="s">
        <v>337</v>
      </c>
      <c r="B57" s="504"/>
      <c r="C57" s="1354"/>
      <c r="D57" s="1355"/>
      <c r="E57" s="944"/>
      <c r="F57" s="944"/>
      <c r="G57" s="945"/>
      <c r="H57" s="1125"/>
      <c r="I57" s="1355"/>
      <c r="J57" s="1356"/>
      <c r="K57" s="1357"/>
      <c r="L57" s="1126"/>
      <c r="M57" s="1355"/>
      <c r="N57" s="1357"/>
      <c r="O57" s="1126"/>
      <c r="P57" s="1355"/>
      <c r="Q57" s="1357"/>
      <c r="R57" s="1126"/>
      <c r="S57" s="1355"/>
      <c r="T57" s="1357"/>
      <c r="U57" s="1126"/>
      <c r="V57" s="1120">
        <v>-1792776.2043192238</v>
      </c>
      <c r="W57" s="1355"/>
      <c r="X57" s="1357"/>
      <c r="Y57" s="1126"/>
      <c r="Z57" s="1355"/>
      <c r="AA57" s="1356"/>
      <c r="AB57" s="1356"/>
      <c r="AC57" s="1356"/>
      <c r="AD57" s="1356"/>
      <c r="AE57" s="1356"/>
      <c r="AF57" s="1126"/>
      <c r="AG57" s="1355"/>
      <c r="AH57" s="1357"/>
      <c r="AI57" s="1126"/>
      <c r="AJ57" s="1355"/>
      <c r="AK57" s="1357"/>
      <c r="AL57" s="1127"/>
      <c r="AM57" s="1355"/>
      <c r="AN57" s="1357"/>
      <c r="AO57" s="1127"/>
      <c r="AP57" s="1355"/>
      <c r="AQ57" s="1357"/>
      <c r="AR57" s="1127"/>
      <c r="AS57" s="1355"/>
      <c r="AT57" s="1357"/>
      <c r="AU57" s="1127"/>
      <c r="AV57" s="1355"/>
      <c r="AW57" s="1357"/>
      <c r="AX57" s="1127"/>
      <c r="AY57" s="984"/>
      <c r="AZ57" s="984"/>
      <c r="BA57" s="1360"/>
      <c r="BB57" s="432"/>
      <c r="BC57" s="1111">
        <f>+V57</f>
        <v>-1792776.2043192238</v>
      </c>
      <c r="BD57" s="1302"/>
      <c r="BE57" s="1111"/>
    </row>
    <row r="58" spans="1:57">
      <c r="A58" s="434"/>
      <c r="B58" s="1117"/>
      <c r="C58" s="1128"/>
      <c r="D58" s="1129"/>
      <c r="E58" s="1130"/>
      <c r="F58" s="1130"/>
      <c r="G58" s="1128"/>
      <c r="H58" s="1131"/>
      <c r="I58" s="1132"/>
      <c r="J58" s="1133"/>
      <c r="K58" s="1133"/>
      <c r="L58" s="1126"/>
      <c r="M58" s="1132"/>
      <c r="N58" s="1133"/>
      <c r="O58" s="1126"/>
      <c r="P58" s="1132"/>
      <c r="Q58" s="1134"/>
      <c r="R58" s="1126"/>
      <c r="S58" s="1132"/>
      <c r="T58" s="1134"/>
      <c r="U58" s="1126"/>
      <c r="V58" s="1116"/>
      <c r="W58" s="1132"/>
      <c r="X58" s="1134"/>
      <c r="Y58" s="1126"/>
      <c r="Z58" s="1132"/>
      <c r="AA58" s="1135"/>
      <c r="AB58" s="1135"/>
      <c r="AC58" s="1133"/>
      <c r="AD58" s="1133"/>
      <c r="AE58" s="1135"/>
      <c r="AF58" s="1126"/>
      <c r="AG58" s="1132"/>
      <c r="AH58" s="1134"/>
      <c r="AI58" s="1128"/>
      <c r="AJ58" s="1136"/>
      <c r="AK58" s="1137"/>
      <c r="AL58" s="1138"/>
      <c r="AM58" s="1136"/>
      <c r="AN58" s="1137"/>
      <c r="AO58" s="1138"/>
      <c r="AP58" s="1136"/>
      <c r="AQ58" s="1137"/>
      <c r="AR58" s="1138"/>
      <c r="AS58" s="1136"/>
      <c r="AT58" s="1137"/>
      <c r="AU58" s="1127"/>
      <c r="AV58" s="1136"/>
      <c r="AW58" s="1137"/>
      <c r="AX58" s="1127"/>
      <c r="AY58" s="1119"/>
      <c r="AZ58" s="1119"/>
      <c r="BA58" s="1360"/>
      <c r="BB58" s="432"/>
      <c r="BC58" s="1112"/>
      <c r="BD58" s="1111"/>
      <c r="BE58" s="1111"/>
    </row>
    <row r="59" spans="1:57" ht="15" thickBot="1">
      <c r="A59" s="421" t="s">
        <v>218</v>
      </c>
      <c r="B59" s="1118">
        <f>SUM(B53,B51)</f>
        <v>49858.75</v>
      </c>
      <c r="C59" s="1139">
        <f>SUM(C55,C51)</f>
        <v>2</v>
      </c>
      <c r="D59" s="1140">
        <f>SUM(D51,D53,D55)</f>
        <v>1904198324.8166816</v>
      </c>
      <c r="E59" s="1141">
        <f>SUM(E55,E51)</f>
        <v>1220706482.4915106</v>
      </c>
      <c r="F59" s="1142">
        <f>SUM(F55,F51)</f>
        <v>615846157.30025458</v>
      </c>
      <c r="G59" s="1178">
        <f>SUM(G55,G51)</f>
        <v>67582572.024916485</v>
      </c>
      <c r="H59" s="1143">
        <f>+D59/B59</f>
        <v>38191.858496586487</v>
      </c>
      <c r="I59" s="1140">
        <f>SUM(I55,I51)</f>
        <v>1</v>
      </c>
      <c r="J59" s="1141">
        <f>SUM(J55,J51)</f>
        <v>49838.833333333336</v>
      </c>
      <c r="K59" s="1144"/>
      <c r="L59" s="1139">
        <f>SUM(L51,L53,L55)</f>
        <v>4639846.7790690009</v>
      </c>
      <c r="M59" s="1140">
        <f>SUM(M51,M53,M55)</f>
        <v>1220769595.4915106</v>
      </c>
      <c r="N59" s="1144"/>
      <c r="O59" s="1139">
        <f>SUM(O51,O53,O55)</f>
        <v>60397231.678554378</v>
      </c>
      <c r="P59" s="1140">
        <f>SUM(P55,P51)</f>
        <v>615846157.30025458</v>
      </c>
      <c r="Q59" s="1144"/>
      <c r="R59" s="1139">
        <f>SUM(R55,R51)</f>
        <v>19981867.58899552</v>
      </c>
      <c r="S59" s="1140">
        <f>SUM(S55,S51)</f>
        <v>67582572.024916485</v>
      </c>
      <c r="T59" s="1144"/>
      <c r="U59" s="1139">
        <f>SUM(U55,U51)</f>
        <v>1461865.0989565635</v>
      </c>
      <c r="V59" s="1118">
        <f>SUM(V57,V55,V51,V53)</f>
        <v>84688034.94125624</v>
      </c>
      <c r="W59" s="1140">
        <f>SUM(W51,W53,W55)</f>
        <v>1904198324.8166816</v>
      </c>
      <c r="X59" s="1144"/>
      <c r="Y59" s="1139">
        <f>SUM(Y51,Y53,Y55)</f>
        <v>396454.09122683312</v>
      </c>
      <c r="Z59" s="1140">
        <f>SUM(Z55,Z51)</f>
        <v>681</v>
      </c>
      <c r="AA59" s="1141">
        <f>SUM(AA55,AA51)</f>
        <v>674</v>
      </c>
      <c r="AB59" s="1141">
        <f>SUM(AB55,AB51)</f>
        <v>416415</v>
      </c>
      <c r="AC59" s="1141"/>
      <c r="AD59" s="1141"/>
      <c r="AE59" s="1141"/>
      <c r="AF59" s="1139">
        <f>SUM(AF55,AF51)</f>
        <v>2130312</v>
      </c>
      <c r="AG59" s="1140">
        <f>SUM(AG51,AG53,AG55)</f>
        <v>1853511395.7979944</v>
      </c>
      <c r="AH59" s="1144"/>
      <c r="AI59" s="1139">
        <f>SUM(AI51,AI53,AI55)</f>
        <v>84027827.02166459</v>
      </c>
      <c r="AJ59" s="1140">
        <f>SUM(AJ55,AJ51)</f>
        <v>4884644</v>
      </c>
      <c r="AK59" s="1144"/>
      <c r="AL59" s="1139">
        <f>SUM(AL55,AL51)</f>
        <v>85481.27</v>
      </c>
      <c r="AM59" s="1140">
        <f>SUM(AM55,AM51)</f>
        <v>1904135211.8166816</v>
      </c>
      <c r="AN59" s="1144"/>
      <c r="AO59" s="1139">
        <f>SUM(AO51,AO53,AO55)</f>
        <v>3409847.9402492316</v>
      </c>
      <c r="AP59" s="1140">
        <f>SUM(AP55,AP51)</f>
        <v>0</v>
      </c>
      <c r="AQ59" s="1144"/>
      <c r="AR59" s="1139">
        <f>SUM(AR55,AR51)</f>
        <v>0</v>
      </c>
      <c r="AS59" s="1145">
        <f>SUM(AS51,AS53,AS55)</f>
        <v>1904198324.8166816</v>
      </c>
      <c r="AT59" s="1144"/>
      <c r="AU59" s="1139">
        <f>SUM(AU51,AU53,AU55)</f>
        <v>4604351.5494067362</v>
      </c>
      <c r="AV59" s="1145">
        <f>SUM(AV51,AV53,AV55)</f>
        <v>1904198324.8166816</v>
      </c>
      <c r="AW59" s="1144"/>
      <c r="AX59" s="1139">
        <f>SUM(AX51,AX53,AX55)</f>
        <v>854223.36851276341</v>
      </c>
      <c r="AY59" s="1361"/>
      <c r="AZ59" s="1362"/>
      <c r="BA59" s="1363"/>
      <c r="BB59" s="453"/>
      <c r="BC59" s="1118">
        <f>SUM(BC57,BC55,BC51,BC53)</f>
        <v>180196532.18231636</v>
      </c>
      <c r="BD59" s="1304">
        <f>+'T3'!AC81+'T3'!AD81</f>
        <v>180196354.28733176</v>
      </c>
      <c r="BE59" s="1118">
        <f>BC59-BD59</f>
        <v>177.89498460292816</v>
      </c>
    </row>
    <row r="60" spans="1:57">
      <c r="A60" s="425" t="s">
        <v>291</v>
      </c>
      <c r="B60" s="1114"/>
      <c r="C60" s="1164"/>
      <c r="D60" s="1165"/>
      <c r="E60" s="1166"/>
      <c r="F60" s="1166"/>
      <c r="G60" s="1167"/>
      <c r="H60" s="1121"/>
      <c r="I60" s="1168"/>
      <c r="J60" s="1169"/>
      <c r="K60" s="1166"/>
      <c r="L60" s="1164"/>
      <c r="M60" s="1170"/>
      <c r="N60" s="1171"/>
      <c r="O60" s="1164"/>
      <c r="P60" s="1170"/>
      <c r="Q60" s="1171"/>
      <c r="R60" s="1164"/>
      <c r="S60" s="1170"/>
      <c r="T60" s="1171"/>
      <c r="U60" s="1164"/>
      <c r="V60" s="1114"/>
      <c r="W60" s="1170"/>
      <c r="X60" s="1171"/>
      <c r="Y60" s="1164"/>
      <c r="Z60" s="1170"/>
      <c r="AA60" s="1169"/>
      <c r="AB60" s="1169"/>
      <c r="AC60" s="1169"/>
      <c r="AD60" s="1169"/>
      <c r="AE60" s="1169"/>
      <c r="AF60" s="1164"/>
      <c r="AG60" s="1170"/>
      <c r="AH60" s="1171"/>
      <c r="AI60" s="1164"/>
      <c r="AJ60" s="1170"/>
      <c r="AK60" s="1171"/>
      <c r="AL60" s="1164"/>
      <c r="AM60" s="1170"/>
      <c r="AN60" s="1171"/>
      <c r="AO60" s="1164"/>
      <c r="AP60" s="1170"/>
      <c r="AQ60" s="1171"/>
      <c r="AR60" s="1164"/>
      <c r="AS60" s="1170"/>
      <c r="AT60" s="1171"/>
      <c r="AU60" s="1164"/>
      <c r="AV60" s="1170"/>
      <c r="AW60" s="1171"/>
      <c r="AX60" s="1164"/>
      <c r="AY60" s="1168"/>
      <c r="AZ60" s="1166"/>
      <c r="BA60" s="1164"/>
      <c r="BB60" s="449"/>
      <c r="BC60" s="1114"/>
      <c r="BD60" s="1115"/>
      <c r="BE60" s="1115"/>
    </row>
    <row r="61" spans="1:57">
      <c r="A61" s="434" t="s">
        <v>303</v>
      </c>
      <c r="B61" s="504"/>
      <c r="C61" s="504"/>
      <c r="D61" s="943"/>
      <c r="E61" s="944"/>
      <c r="F61" s="944"/>
      <c r="G61" s="945"/>
      <c r="H61" s="1125"/>
      <c r="I61" s="946"/>
      <c r="J61" s="944"/>
      <c r="K61" s="1106"/>
      <c r="L61" s="1126"/>
      <c r="M61" s="946"/>
      <c r="N61" s="1106"/>
      <c r="O61" s="1126"/>
      <c r="P61" s="946"/>
      <c r="Q61" s="1106"/>
      <c r="R61" s="1126"/>
      <c r="S61" s="946"/>
      <c r="T61" s="1106"/>
      <c r="U61" s="1126"/>
      <c r="V61" s="1532"/>
      <c r="W61" s="946"/>
      <c r="X61" s="1106"/>
      <c r="Y61" s="1126"/>
      <c r="Z61" s="946"/>
      <c r="AA61" s="944"/>
      <c r="AB61" s="944"/>
      <c r="AC61" s="944"/>
      <c r="AD61" s="944"/>
      <c r="AE61" s="944"/>
      <c r="AF61" s="1126"/>
      <c r="AG61" s="946"/>
      <c r="AH61" s="1106"/>
      <c r="AI61" s="1126"/>
      <c r="AJ61" s="946"/>
      <c r="AK61" s="1106"/>
      <c r="AL61" s="1126"/>
      <c r="AM61" s="946"/>
      <c r="AN61" s="1106"/>
      <c r="AO61" s="1126"/>
      <c r="AP61" s="946"/>
      <c r="AQ61" s="1106"/>
      <c r="AR61" s="1126"/>
      <c r="AS61" s="946"/>
      <c r="AT61" s="1106"/>
      <c r="AU61" s="1126"/>
      <c r="AV61" s="946"/>
      <c r="AW61" s="1106"/>
      <c r="AX61" s="1126"/>
      <c r="AY61" s="475"/>
      <c r="AZ61" s="470"/>
      <c r="BA61" s="1126">
        <f>AY61*AZ61</f>
        <v>0</v>
      </c>
      <c r="BB61" s="450"/>
      <c r="BC61" s="1116">
        <f>BA61</f>
        <v>0</v>
      </c>
      <c r="BD61" s="440"/>
      <c r="BE61" s="1116"/>
    </row>
    <row r="62" spans="1:57">
      <c r="A62" s="434" t="s">
        <v>304</v>
      </c>
      <c r="B62" s="504"/>
      <c r="C62" s="1364"/>
      <c r="D62" s="943"/>
      <c r="E62" s="944"/>
      <c r="F62" s="944"/>
      <c r="G62" s="945"/>
      <c r="H62" s="1125"/>
      <c r="I62" s="946"/>
      <c r="J62" s="944"/>
      <c r="K62" s="1106"/>
      <c r="L62" s="1126"/>
      <c r="M62" s="946"/>
      <c r="N62" s="1106"/>
      <c r="O62" s="1126"/>
      <c r="P62" s="946"/>
      <c r="Q62" s="1106"/>
      <c r="R62" s="1126"/>
      <c r="S62" s="946"/>
      <c r="T62" s="1106"/>
      <c r="U62" s="1126"/>
      <c r="V62" s="1532"/>
      <c r="W62" s="946"/>
      <c r="X62" s="1106"/>
      <c r="Y62" s="1126"/>
      <c r="Z62" s="946"/>
      <c r="AA62" s="944"/>
      <c r="AB62" s="944"/>
      <c r="AC62" s="944"/>
      <c r="AD62" s="944"/>
      <c r="AE62" s="944"/>
      <c r="AF62" s="1126"/>
      <c r="AG62" s="946"/>
      <c r="AH62" s="1106"/>
      <c r="AI62" s="1126"/>
      <c r="AJ62" s="946"/>
      <c r="AK62" s="1106"/>
      <c r="AL62" s="1126"/>
      <c r="AM62" s="946"/>
      <c r="AN62" s="1106"/>
      <c r="AO62" s="1126"/>
      <c r="AP62" s="946"/>
      <c r="AQ62" s="1106"/>
      <c r="AR62" s="1126"/>
      <c r="AS62" s="946"/>
      <c r="AT62" s="1106"/>
      <c r="AU62" s="1126"/>
      <c r="AV62" s="946"/>
      <c r="AW62" s="1106"/>
      <c r="AX62" s="1126"/>
      <c r="AY62" s="475">
        <v>130.43876769904196</v>
      </c>
      <c r="AZ62" s="470">
        <v>62.35</v>
      </c>
      <c r="BA62" s="1126">
        <f>AY62*AZ62</f>
        <v>8132.8571660352663</v>
      </c>
      <c r="BB62" s="450"/>
      <c r="BC62" s="1116">
        <f>BA62</f>
        <v>8132.8571660352663</v>
      </c>
      <c r="BD62" s="440"/>
      <c r="BE62" s="1116"/>
    </row>
    <row r="63" spans="1:57">
      <c r="A63" s="434" t="s">
        <v>305</v>
      </c>
      <c r="B63" s="504"/>
      <c r="C63" s="1364"/>
      <c r="D63" s="943"/>
      <c r="E63" s="944"/>
      <c r="F63" s="944"/>
      <c r="G63" s="945"/>
      <c r="H63" s="1125"/>
      <c r="I63" s="946"/>
      <c r="J63" s="944"/>
      <c r="K63" s="1106"/>
      <c r="L63" s="1126"/>
      <c r="M63" s="946"/>
      <c r="N63" s="1106"/>
      <c r="O63" s="1126"/>
      <c r="P63" s="946"/>
      <c r="Q63" s="1106"/>
      <c r="R63" s="1126"/>
      <c r="S63" s="946"/>
      <c r="T63" s="1106"/>
      <c r="U63" s="1126"/>
      <c r="V63" s="1532"/>
      <c r="W63" s="946"/>
      <c r="X63" s="1106"/>
      <c r="Y63" s="1126"/>
      <c r="Z63" s="946"/>
      <c r="AA63" s="944"/>
      <c r="AB63" s="944"/>
      <c r="AC63" s="944"/>
      <c r="AD63" s="944"/>
      <c r="AE63" s="944"/>
      <c r="AF63" s="1126"/>
      <c r="AG63" s="946"/>
      <c r="AH63" s="1106"/>
      <c r="AI63" s="1126"/>
      <c r="AJ63" s="946"/>
      <c r="AK63" s="1106"/>
      <c r="AL63" s="1126"/>
      <c r="AM63" s="946"/>
      <c r="AN63" s="1106"/>
      <c r="AO63" s="1126"/>
      <c r="AP63" s="946"/>
      <c r="AQ63" s="1106"/>
      <c r="AR63" s="1126"/>
      <c r="AS63" s="946"/>
      <c r="AT63" s="1106"/>
      <c r="AU63" s="1126"/>
      <c r="AV63" s="946"/>
      <c r="AW63" s="1106"/>
      <c r="AX63" s="1126"/>
      <c r="AY63" s="475"/>
      <c r="AZ63" s="470"/>
      <c r="BA63" s="1126">
        <f>AY63*AZ63</f>
        <v>0</v>
      </c>
      <c r="BB63" s="450"/>
      <c r="BC63" s="1116">
        <f>BA63</f>
        <v>0</v>
      </c>
      <c r="BD63" s="440"/>
      <c r="BE63" s="1116"/>
    </row>
    <row r="64" spans="1:57">
      <c r="A64" s="434" t="s">
        <v>306</v>
      </c>
      <c r="B64" s="504"/>
      <c r="C64" s="1364"/>
      <c r="D64" s="943"/>
      <c r="E64" s="944"/>
      <c r="F64" s="944"/>
      <c r="G64" s="945"/>
      <c r="H64" s="1125"/>
      <c r="I64" s="946"/>
      <c r="J64" s="944"/>
      <c r="K64" s="1106"/>
      <c r="L64" s="1126"/>
      <c r="M64" s="946"/>
      <c r="N64" s="1106"/>
      <c r="O64" s="1126"/>
      <c r="P64" s="946"/>
      <c r="Q64" s="1106"/>
      <c r="R64" s="1126"/>
      <c r="S64" s="946"/>
      <c r="T64" s="1106"/>
      <c r="U64" s="1126"/>
      <c r="V64" s="1532"/>
      <c r="W64" s="946"/>
      <c r="X64" s="1106"/>
      <c r="Y64" s="1126"/>
      <c r="Z64" s="946"/>
      <c r="AA64" s="944"/>
      <c r="AB64" s="944"/>
      <c r="AC64" s="944"/>
      <c r="AD64" s="944"/>
      <c r="AE64" s="944"/>
      <c r="AF64" s="1126"/>
      <c r="AG64" s="946"/>
      <c r="AH64" s="1106"/>
      <c r="AI64" s="1126"/>
      <c r="AJ64" s="946"/>
      <c r="AK64" s="1106"/>
      <c r="AL64" s="1126"/>
      <c r="AM64" s="946"/>
      <c r="AN64" s="1106"/>
      <c r="AO64" s="1126"/>
      <c r="AP64" s="946"/>
      <c r="AQ64" s="1106"/>
      <c r="AR64" s="1126"/>
      <c r="AS64" s="946"/>
      <c r="AT64" s="1106"/>
      <c r="AU64" s="1126"/>
      <c r="AV64" s="946"/>
      <c r="AW64" s="1106"/>
      <c r="AX64" s="1126"/>
      <c r="AY64" s="475">
        <v>252732.262232301</v>
      </c>
      <c r="AZ64" s="470">
        <v>62.35</v>
      </c>
      <c r="BA64" s="1126">
        <f>AY64*AZ64</f>
        <v>15757856.550183969</v>
      </c>
      <c r="BB64" s="450"/>
      <c r="BC64" s="1116">
        <f>BA64</f>
        <v>15757856.550183969</v>
      </c>
      <c r="BD64" s="440"/>
      <c r="BE64" s="1116"/>
    </row>
    <row r="65" spans="1:57">
      <c r="A65" s="451"/>
      <c r="B65" s="1172"/>
      <c r="C65" s="1173"/>
      <c r="D65" s="1174"/>
      <c r="E65" s="1135"/>
      <c r="F65" s="1135"/>
      <c r="G65" s="112"/>
      <c r="H65" s="1125"/>
      <c r="I65" s="1132"/>
      <c r="J65" s="1133"/>
      <c r="K65" s="1133"/>
      <c r="L65" s="1126"/>
      <c r="M65" s="1132"/>
      <c r="N65" s="1133"/>
      <c r="O65" s="1126"/>
      <c r="P65" s="1132"/>
      <c r="Q65" s="1134"/>
      <c r="R65" s="1126"/>
      <c r="S65" s="1132"/>
      <c r="T65" s="1134"/>
      <c r="U65" s="1126"/>
      <c r="V65" s="1532"/>
      <c r="W65" s="1132"/>
      <c r="X65" s="1134"/>
      <c r="Y65" s="1126"/>
      <c r="Z65" s="1132"/>
      <c r="AA65" s="1133"/>
      <c r="AB65" s="1133"/>
      <c r="AC65" s="1133"/>
      <c r="AD65" s="1133"/>
      <c r="AE65" s="1133"/>
      <c r="AF65" s="1126"/>
      <c r="AG65" s="1132"/>
      <c r="AH65" s="1134"/>
      <c r="AI65" s="1126"/>
      <c r="AJ65" s="1132"/>
      <c r="AK65" s="1134"/>
      <c r="AL65" s="1126"/>
      <c r="AM65" s="1132"/>
      <c r="AN65" s="1134"/>
      <c r="AO65" s="1126"/>
      <c r="AP65" s="1132"/>
      <c r="AQ65" s="1134"/>
      <c r="AR65" s="1126"/>
      <c r="AS65" s="1132"/>
      <c r="AT65" s="1134"/>
      <c r="AU65" s="1126"/>
      <c r="AV65" s="1132"/>
      <c r="AW65" s="1134"/>
      <c r="AX65" s="1126"/>
      <c r="AY65" s="1132"/>
      <c r="AZ65" s="1133"/>
      <c r="BA65" s="1126"/>
      <c r="BB65" s="452"/>
      <c r="BC65" s="1117"/>
      <c r="BD65" s="1116"/>
      <c r="BE65" s="1116"/>
    </row>
    <row r="66" spans="1:57" ht="15" thickBot="1">
      <c r="A66" s="421" t="s">
        <v>274</v>
      </c>
      <c r="B66" s="1118"/>
      <c r="C66" s="1139"/>
      <c r="D66" s="1140"/>
      <c r="E66" s="1141"/>
      <c r="F66" s="1142"/>
      <c r="G66" s="1178"/>
      <c r="H66" s="1143"/>
      <c r="I66" s="1140"/>
      <c r="J66" s="1141"/>
      <c r="K66" s="1144"/>
      <c r="L66" s="1139"/>
      <c r="M66" s="1140"/>
      <c r="N66" s="1144"/>
      <c r="O66" s="1139"/>
      <c r="P66" s="1140"/>
      <c r="Q66" s="1144"/>
      <c r="R66" s="1139"/>
      <c r="S66" s="1140"/>
      <c r="T66" s="1144"/>
      <c r="U66" s="1139"/>
      <c r="V66" s="1533">
        <f>SUM(V60:V65)</f>
        <v>0</v>
      </c>
      <c r="W66" s="1140"/>
      <c r="X66" s="1144"/>
      <c r="Y66" s="1139">
        <f>SUM(Y60:Y65)</f>
        <v>0</v>
      </c>
      <c r="Z66" s="1140"/>
      <c r="AA66" s="1141"/>
      <c r="AB66" s="1141"/>
      <c r="AC66" s="1141"/>
      <c r="AD66" s="1141"/>
      <c r="AE66" s="1141"/>
      <c r="AF66" s="1139"/>
      <c r="AG66" s="1140"/>
      <c r="AH66" s="1144"/>
      <c r="AI66" s="1139">
        <f>SUM(AI60:AI65)</f>
        <v>0</v>
      </c>
      <c r="AJ66" s="1140"/>
      <c r="AK66" s="1144"/>
      <c r="AL66" s="1139"/>
      <c r="AM66" s="1140"/>
      <c r="AN66" s="1144"/>
      <c r="AO66" s="1139">
        <f>SUM(AO60:AO65)</f>
        <v>0</v>
      </c>
      <c r="AP66" s="1140"/>
      <c r="AQ66" s="1144"/>
      <c r="AR66" s="1139"/>
      <c r="AS66" s="1140"/>
      <c r="AT66" s="1144"/>
      <c r="AU66" s="1139">
        <f>SUM(AU60:AU65)</f>
        <v>0</v>
      </c>
      <c r="AV66" s="1140"/>
      <c r="AW66" s="1144"/>
      <c r="AX66" s="1139">
        <f>SUM(AX60:AX65)</f>
        <v>0</v>
      </c>
      <c r="AY66" s="1140">
        <f>SUM(AY61:AY64)</f>
        <v>252862.70100000003</v>
      </c>
      <c r="AZ66" s="1141"/>
      <c r="BA66" s="1139">
        <f>SUM(BA61:BA64)</f>
        <v>15765989.407350004</v>
      </c>
      <c r="BB66" s="453"/>
      <c r="BC66" s="1118">
        <f>SUM(BC61:BC64)</f>
        <v>15765989.407350004</v>
      </c>
      <c r="BD66" s="1564">
        <f>'T3'!AJ81</f>
        <v>15765206.635689512</v>
      </c>
      <c r="BE66" s="1118">
        <f>+BC66-BD66</f>
        <v>782.77166049182415</v>
      </c>
    </row>
    <row r="67" spans="1:57">
      <c r="A67" s="425" t="s">
        <v>273</v>
      </c>
      <c r="B67" s="1114"/>
      <c r="C67" s="1164"/>
      <c r="D67" s="1165"/>
      <c r="E67" s="1166"/>
      <c r="F67" s="1166"/>
      <c r="G67" s="1167"/>
      <c r="H67" s="1121"/>
      <c r="I67" s="1168"/>
      <c r="J67" s="1169"/>
      <c r="K67" s="1166"/>
      <c r="L67" s="1164"/>
      <c r="M67" s="1170"/>
      <c r="N67" s="1166"/>
      <c r="O67" s="1164"/>
      <c r="P67" s="1170"/>
      <c r="Q67" s="1171"/>
      <c r="R67" s="1164"/>
      <c r="S67" s="1170"/>
      <c r="T67" s="1171"/>
      <c r="U67" s="1164"/>
      <c r="V67" s="1114"/>
      <c r="W67" s="1170"/>
      <c r="X67" s="1171"/>
      <c r="Y67" s="1164"/>
      <c r="Z67" s="1170"/>
      <c r="AA67" s="1169"/>
      <c r="AB67" s="1169"/>
      <c r="AC67" s="1169"/>
      <c r="AD67" s="1169"/>
      <c r="AE67" s="1169"/>
      <c r="AF67" s="1164"/>
      <c r="AG67" s="1170"/>
      <c r="AH67" s="1171"/>
      <c r="AI67" s="1164"/>
      <c r="AJ67" s="1170"/>
      <c r="AK67" s="1171"/>
      <c r="AL67" s="1164"/>
      <c r="AM67" s="1170"/>
      <c r="AN67" s="1171"/>
      <c r="AO67" s="1164"/>
      <c r="AP67" s="1170"/>
      <c r="AQ67" s="1171"/>
      <c r="AR67" s="1164"/>
      <c r="AS67" s="1170"/>
      <c r="AT67" s="1171"/>
      <c r="AU67" s="1164"/>
      <c r="AV67" s="1170"/>
      <c r="AW67" s="1171"/>
      <c r="AX67" s="1180"/>
      <c r="AY67" s="1181"/>
      <c r="AZ67" s="1181"/>
      <c r="BA67" s="1181"/>
      <c r="BB67" s="449"/>
      <c r="BC67" s="1114"/>
      <c r="BD67" s="1115"/>
      <c r="BE67" s="1115"/>
    </row>
    <row r="68" spans="1:57">
      <c r="A68" s="434" t="s">
        <v>351</v>
      </c>
      <c r="B68" s="467"/>
      <c r="C68" s="467"/>
      <c r="D68" s="473"/>
      <c r="E68" s="470"/>
      <c r="F68" s="470"/>
      <c r="G68" s="471"/>
      <c r="H68" s="1125" t="e">
        <f>D68/B68</f>
        <v>#DIV/0!</v>
      </c>
      <c r="I68" s="475"/>
      <c r="J68" s="470"/>
      <c r="K68" s="1103"/>
      <c r="L68" s="1126">
        <f>I68*J68*K68</f>
        <v>0</v>
      </c>
      <c r="M68" s="475"/>
      <c r="N68" s="1103"/>
      <c r="O68" s="1126">
        <f>M68*N68</f>
        <v>0</v>
      </c>
      <c r="P68" s="475"/>
      <c r="Q68" s="1103"/>
      <c r="R68" s="1126">
        <f>P68*Q68</f>
        <v>0</v>
      </c>
      <c r="S68" s="475"/>
      <c r="T68" s="1103"/>
      <c r="U68" s="1126">
        <f>S68*T68</f>
        <v>0</v>
      </c>
      <c r="V68" s="1117">
        <f>SUM(L68,O68,R68,U68)</f>
        <v>0</v>
      </c>
      <c r="W68" s="475"/>
      <c r="X68" s="1103"/>
      <c r="Y68" s="1126">
        <f>W68*X68</f>
        <v>0</v>
      </c>
      <c r="Z68" s="475"/>
      <c r="AA68" s="470"/>
      <c r="AB68" s="470"/>
      <c r="AC68" s="470"/>
      <c r="AD68" s="470"/>
      <c r="AE68" s="470"/>
      <c r="AF68" s="1126">
        <f>(+Z68*AC68)+(AA68*AD68)+(AB68*AE68)</f>
        <v>0</v>
      </c>
      <c r="AG68" s="475"/>
      <c r="AH68" s="1103"/>
      <c r="AI68" s="1126">
        <f>AG68*AH68</f>
        <v>0</v>
      </c>
      <c r="AJ68" s="475"/>
      <c r="AK68" s="1103"/>
      <c r="AL68" s="1126">
        <f>AJ68*AK68</f>
        <v>0</v>
      </c>
      <c r="AM68" s="475"/>
      <c r="AN68" s="1103"/>
      <c r="AO68" s="1126">
        <f>AM68*AN68</f>
        <v>0</v>
      </c>
      <c r="AP68" s="475"/>
      <c r="AQ68" s="1103"/>
      <c r="AR68" s="1126">
        <f>AP68*AQ68</f>
        <v>0</v>
      </c>
      <c r="AS68" s="475"/>
      <c r="AT68" s="1103"/>
      <c r="AU68" s="1126">
        <f>AS68*AT68</f>
        <v>0</v>
      </c>
      <c r="AV68" s="475"/>
      <c r="AW68" s="1103"/>
      <c r="AX68" s="1182">
        <f>AV68*AW68</f>
        <v>0</v>
      </c>
      <c r="AY68" s="985"/>
      <c r="AZ68" s="985"/>
      <c r="BA68" s="1177"/>
      <c r="BB68" s="450"/>
      <c r="BC68" s="1116">
        <f>SUM(V68,Y68,AF68,AI68,AL68,AO68,AU68,AX68,AR68)</f>
        <v>0</v>
      </c>
      <c r="BD68" s="440"/>
      <c r="BE68" s="1116"/>
    </row>
    <row r="69" spans="1:57">
      <c r="A69" s="434" t="s">
        <v>352</v>
      </c>
      <c r="B69" s="467"/>
      <c r="C69" s="467"/>
      <c r="D69" s="473"/>
      <c r="E69" s="470"/>
      <c r="F69" s="470"/>
      <c r="G69" s="471"/>
      <c r="H69" s="1125" t="e">
        <f>D69/B69</f>
        <v>#DIV/0!</v>
      </c>
      <c r="I69" s="475"/>
      <c r="J69" s="470"/>
      <c r="K69" s="1103"/>
      <c r="L69" s="1126">
        <f>I69*J69*K69</f>
        <v>0</v>
      </c>
      <c r="M69" s="475"/>
      <c r="N69" s="1103"/>
      <c r="O69" s="1126">
        <f>M69*N69</f>
        <v>0</v>
      </c>
      <c r="P69" s="475"/>
      <c r="Q69" s="1103"/>
      <c r="R69" s="1126">
        <f>P69*Q69</f>
        <v>0</v>
      </c>
      <c r="S69" s="475"/>
      <c r="T69" s="1103"/>
      <c r="U69" s="1126">
        <f>S69*T69</f>
        <v>0</v>
      </c>
      <c r="V69" s="1117">
        <f>SUM(L69,O69,R69,U69)</f>
        <v>0</v>
      </c>
      <c r="W69" s="475"/>
      <c r="X69" s="1103"/>
      <c r="Y69" s="1126">
        <f>W69*X69</f>
        <v>0</v>
      </c>
      <c r="Z69" s="475"/>
      <c r="AA69" s="470"/>
      <c r="AB69" s="470"/>
      <c r="AC69" s="470"/>
      <c r="AD69" s="470"/>
      <c r="AE69" s="470"/>
      <c r="AF69" s="1126">
        <f>(+Z69*AC69)+(AA69*AD69)+(AB69*AE69)</f>
        <v>0</v>
      </c>
      <c r="AG69" s="475"/>
      <c r="AH69" s="1103"/>
      <c r="AI69" s="1126">
        <f>AG69*AH69</f>
        <v>0</v>
      </c>
      <c r="AJ69" s="475"/>
      <c r="AK69" s="1103"/>
      <c r="AL69" s="1126">
        <f>AJ69*AK69</f>
        <v>0</v>
      </c>
      <c r="AM69" s="475"/>
      <c r="AN69" s="1103"/>
      <c r="AO69" s="1126">
        <f>AM69*AN69</f>
        <v>0</v>
      </c>
      <c r="AP69" s="475"/>
      <c r="AQ69" s="1103"/>
      <c r="AR69" s="1126">
        <f>AP69*AQ69</f>
        <v>0</v>
      </c>
      <c r="AS69" s="475"/>
      <c r="AT69" s="1103"/>
      <c r="AU69" s="1126">
        <f>AS69*AT69</f>
        <v>0</v>
      </c>
      <c r="AV69" s="475"/>
      <c r="AW69" s="1103"/>
      <c r="AX69" s="1182">
        <f>AV69*AW69</f>
        <v>0</v>
      </c>
      <c r="AY69" s="985"/>
      <c r="AZ69" s="985"/>
      <c r="BA69" s="1177"/>
      <c r="BB69" s="450"/>
      <c r="BC69" s="1116">
        <f>SUM(V69,Y69,AF69,AI69,AL69,AO69,AU69,AX69,AR69)</f>
        <v>0</v>
      </c>
      <c r="BD69" s="440"/>
      <c r="BE69" s="1116"/>
    </row>
    <row r="70" spans="1:57">
      <c r="A70" s="434" t="s">
        <v>353</v>
      </c>
      <c r="B70" s="467">
        <v>11.25</v>
      </c>
      <c r="C70" s="467">
        <f>B70</f>
        <v>11.25</v>
      </c>
      <c r="D70" s="469">
        <f>SUM(E70:G70)</f>
        <v>3453</v>
      </c>
      <c r="E70" s="470">
        <v>3453</v>
      </c>
      <c r="F70" s="470"/>
      <c r="G70" s="471"/>
      <c r="H70" s="1125">
        <f>D70/B70</f>
        <v>306.93333333333334</v>
      </c>
      <c r="I70" s="475">
        <v>1</v>
      </c>
      <c r="J70" s="470">
        <f>B70</f>
        <v>11.25</v>
      </c>
      <c r="K70" s="1103">
        <f>'T4'!AT26</f>
        <v>21.378098699999999</v>
      </c>
      <c r="L70" s="1126">
        <f>I70*J70*K70</f>
        <v>240.50361037499999</v>
      </c>
      <c r="M70" s="475">
        <f>+E70</f>
        <v>3453</v>
      </c>
      <c r="N70" s="1103">
        <f>'T4'!AT29</f>
        <v>1.428E-4</v>
      </c>
      <c r="O70" s="1126">
        <f>M70*N70</f>
        <v>0.49308839999999998</v>
      </c>
      <c r="P70" s="475"/>
      <c r="Q70" s="1103"/>
      <c r="R70" s="1126">
        <f>P70*Q70</f>
        <v>0</v>
      </c>
      <c r="S70" s="475"/>
      <c r="T70" s="1103"/>
      <c r="U70" s="1126">
        <f>S70*T70</f>
        <v>0</v>
      </c>
      <c r="V70" s="1117">
        <f>SUM(L70,O70,R70,U70)</f>
        <v>240.996698775</v>
      </c>
      <c r="W70" s="475">
        <f>D70</f>
        <v>3453</v>
      </c>
      <c r="X70" s="1103">
        <f>'T4'!AT38</f>
        <v>1.562E-4</v>
      </c>
      <c r="Y70" s="1126">
        <f>W70*X70</f>
        <v>0.53935860000000002</v>
      </c>
      <c r="Z70" s="1566">
        <v>1</v>
      </c>
      <c r="AA70" s="470"/>
      <c r="AB70" s="470"/>
      <c r="AC70" s="470">
        <f>'T4'!AT41</f>
        <v>348.75</v>
      </c>
      <c r="AD70" s="470"/>
      <c r="AE70" s="470"/>
      <c r="AF70" s="1126">
        <f>(+Z70*AC70)+(AA70*AD70)+(AB70*AE70)</f>
        <v>348.75</v>
      </c>
      <c r="AG70" s="475">
        <f>D70</f>
        <v>3453</v>
      </c>
      <c r="AH70" s="1103">
        <f>'T4'!AT46</f>
        <v>5.1526999999999996E-3</v>
      </c>
      <c r="AI70" s="1126">
        <f>AG70*AH70</f>
        <v>17.792273099999999</v>
      </c>
      <c r="AJ70" s="475"/>
      <c r="AK70" s="1103"/>
      <c r="AL70" s="1126">
        <f>AJ70*AK70</f>
        <v>0</v>
      </c>
      <c r="AM70" s="475">
        <f>D70</f>
        <v>3453</v>
      </c>
      <c r="AN70" s="1103">
        <f>'T4'!AT51</f>
        <v>3.6519999999999999E-4</v>
      </c>
      <c r="AO70" s="1126">
        <f>AM70*AN70</f>
        <v>1.2610356</v>
      </c>
      <c r="AP70" s="475"/>
      <c r="AQ70" s="1103"/>
      <c r="AR70" s="1126">
        <f>AP70*AQ70</f>
        <v>0</v>
      </c>
      <c r="AS70" s="475">
        <f>D70</f>
        <v>3453</v>
      </c>
      <c r="AT70" s="1103">
        <f>'T4'!AT64</f>
        <v>4.2979999999999998E-4</v>
      </c>
      <c r="AU70" s="1126">
        <f>AS70*AT70</f>
        <v>1.4840993999999998</v>
      </c>
      <c r="AV70" s="475">
        <f>+D70</f>
        <v>3453</v>
      </c>
      <c r="AW70" s="1103">
        <f>'T4'!AT66</f>
        <v>7.9699999999999999E-5</v>
      </c>
      <c r="AX70" s="1182">
        <f>AV70*AW70</f>
        <v>0.27520410000000001</v>
      </c>
      <c r="AY70" s="985"/>
      <c r="AZ70" s="985"/>
      <c r="BA70" s="1177"/>
      <c r="BB70" s="450"/>
      <c r="BC70" s="1116">
        <f>SUM(V70,Y70,AF70,AI70,AL70,AO70,AU70,AX70,AR70)</f>
        <v>611.09866957500003</v>
      </c>
      <c r="BD70" s="440"/>
      <c r="BE70" s="1116"/>
    </row>
    <row r="71" spans="1:57" ht="14.25" customHeight="1">
      <c r="A71" s="434" t="s">
        <v>354</v>
      </c>
      <c r="B71" s="467"/>
      <c r="C71" s="467"/>
      <c r="D71" s="473"/>
      <c r="E71" s="470"/>
      <c r="F71" s="470"/>
      <c r="G71" s="471"/>
      <c r="H71" s="1125" t="e">
        <f>D71/B71</f>
        <v>#DIV/0!</v>
      </c>
      <c r="I71" s="475"/>
      <c r="J71" s="470"/>
      <c r="K71" s="1103"/>
      <c r="L71" s="1126">
        <f>I71*J71*K71</f>
        <v>0</v>
      </c>
      <c r="M71" s="475"/>
      <c r="N71" s="1103"/>
      <c r="O71" s="1126">
        <f>M71*N71</f>
        <v>0</v>
      </c>
      <c r="P71" s="475"/>
      <c r="Q71" s="1103"/>
      <c r="R71" s="1126">
        <f>P71*Q71</f>
        <v>0</v>
      </c>
      <c r="S71" s="475"/>
      <c r="T71" s="1103"/>
      <c r="U71" s="1126">
        <f>S71*T71</f>
        <v>0</v>
      </c>
      <c r="V71" s="1117">
        <f>SUM(L71,O71,R71,U71)</f>
        <v>0</v>
      </c>
      <c r="W71" s="475"/>
      <c r="X71" s="1103"/>
      <c r="Y71" s="1126">
        <f>W71*X71</f>
        <v>0</v>
      </c>
      <c r="Z71" s="1566">
        <v>0</v>
      </c>
      <c r="AA71" s="470"/>
      <c r="AB71" s="470"/>
      <c r="AC71" s="470"/>
      <c r="AD71" s="470"/>
      <c r="AE71" s="470"/>
      <c r="AF71" s="1126">
        <f>(+Z71*AC71)+(AA71*AD71)+(AB71*AE71)</f>
        <v>0</v>
      </c>
      <c r="AG71" s="475"/>
      <c r="AH71" s="1103"/>
      <c r="AI71" s="1126">
        <f>AG71*AH71</f>
        <v>0</v>
      </c>
      <c r="AJ71" s="475"/>
      <c r="AK71" s="1103"/>
      <c r="AL71" s="1126">
        <f>AJ71*AK71</f>
        <v>0</v>
      </c>
      <c r="AM71" s="475"/>
      <c r="AN71" s="1103"/>
      <c r="AO71" s="1126">
        <f>AM71*AN71</f>
        <v>0</v>
      </c>
      <c r="AP71" s="475"/>
      <c r="AQ71" s="1103"/>
      <c r="AR71" s="1126">
        <f>AP71*AQ71</f>
        <v>0</v>
      </c>
      <c r="AS71" s="475"/>
      <c r="AT71" s="1103"/>
      <c r="AU71" s="1126">
        <f>AS71*AT71</f>
        <v>0</v>
      </c>
      <c r="AV71" s="475"/>
      <c r="AW71" s="1103"/>
      <c r="AX71" s="1182">
        <f>AV71*AW71</f>
        <v>0</v>
      </c>
      <c r="AY71" s="985"/>
      <c r="AZ71" s="985"/>
      <c r="BA71" s="1177"/>
      <c r="BB71" s="450"/>
      <c r="BC71" s="1116">
        <f>SUM(V71,Y71,AF71,AI71,AL71,AO71,AU71,AX71,AR71)</f>
        <v>0</v>
      </c>
      <c r="BD71" s="440"/>
      <c r="BE71" s="1116"/>
    </row>
    <row r="72" spans="1:57">
      <c r="A72" s="451"/>
      <c r="B72" s="1172"/>
      <c r="C72" s="1173"/>
      <c r="D72" s="1174"/>
      <c r="E72" s="1135"/>
      <c r="F72" s="1135"/>
      <c r="G72" s="112"/>
      <c r="H72" s="1125"/>
      <c r="I72" s="1132"/>
      <c r="J72" s="1133"/>
      <c r="K72" s="1133"/>
      <c r="L72" s="1126"/>
      <c r="M72" s="1132"/>
      <c r="N72" s="1134"/>
      <c r="O72" s="1126"/>
      <c r="P72" s="1132"/>
      <c r="Q72" s="1134"/>
      <c r="R72" s="1126"/>
      <c r="S72" s="1132"/>
      <c r="T72" s="1134"/>
      <c r="U72" s="1126"/>
      <c r="V72" s="1116"/>
      <c r="W72" s="1132"/>
      <c r="X72" s="1134"/>
      <c r="Y72" s="1126"/>
      <c r="Z72" s="1132"/>
      <c r="AA72" s="1133"/>
      <c r="AB72" s="1133"/>
      <c r="AC72" s="1133"/>
      <c r="AD72" s="1133"/>
      <c r="AE72" s="1133"/>
      <c r="AF72" s="1126"/>
      <c r="AG72" s="1132"/>
      <c r="AH72" s="1134"/>
      <c r="AI72" s="1126"/>
      <c r="AJ72" s="1132"/>
      <c r="AK72" s="1134"/>
      <c r="AL72" s="1126"/>
      <c r="AM72" s="1132"/>
      <c r="AN72" s="1134"/>
      <c r="AO72" s="1126"/>
      <c r="AP72" s="1132"/>
      <c r="AQ72" s="1134"/>
      <c r="AR72" s="1126"/>
      <c r="AS72" s="1132"/>
      <c r="AT72" s="1134"/>
      <c r="AU72" s="1126"/>
      <c r="AV72" s="1132"/>
      <c r="AW72" s="1134"/>
      <c r="AX72" s="1182"/>
      <c r="AY72" s="1177"/>
      <c r="AZ72" s="1177"/>
      <c r="BA72" s="1177"/>
      <c r="BB72" s="452"/>
      <c r="BC72" s="1117"/>
      <c r="BD72" s="1116"/>
      <c r="BE72" s="1116"/>
    </row>
    <row r="73" spans="1:57">
      <c r="A73" s="434" t="s">
        <v>355</v>
      </c>
      <c r="B73" s="467"/>
      <c r="C73" s="467"/>
      <c r="D73" s="473"/>
      <c r="E73" s="470"/>
      <c r="F73" s="470"/>
      <c r="G73" s="471"/>
      <c r="H73" s="1125" t="e">
        <f>D73/B73</f>
        <v>#DIV/0!</v>
      </c>
      <c r="I73" s="475"/>
      <c r="J73" s="470"/>
      <c r="K73" s="1103"/>
      <c r="L73" s="1126">
        <f>I73*J73*K73</f>
        <v>0</v>
      </c>
      <c r="M73" s="475"/>
      <c r="N73" s="1103"/>
      <c r="O73" s="1126">
        <f>M73*N73</f>
        <v>0</v>
      </c>
      <c r="P73" s="475"/>
      <c r="Q73" s="1103"/>
      <c r="R73" s="1126">
        <f>P73*Q73</f>
        <v>0</v>
      </c>
      <c r="S73" s="475"/>
      <c r="T73" s="1103"/>
      <c r="U73" s="1126">
        <f>S73*T73</f>
        <v>0</v>
      </c>
      <c r="V73" s="1117">
        <f>SUM(L73,O73,R73,U73)</f>
        <v>0</v>
      </c>
      <c r="W73" s="475"/>
      <c r="X73" s="1103"/>
      <c r="Y73" s="1126">
        <f>W73*X73</f>
        <v>0</v>
      </c>
      <c r="Z73" s="475"/>
      <c r="AA73" s="470"/>
      <c r="AB73" s="470"/>
      <c r="AC73" s="470"/>
      <c r="AD73" s="470"/>
      <c r="AE73" s="470"/>
      <c r="AF73" s="1126">
        <f>(+Z73*AC73)+(AA73*AD73)+(AB73*AE73)</f>
        <v>0</v>
      </c>
      <c r="AG73" s="475"/>
      <c r="AH73" s="1103"/>
      <c r="AI73" s="1126">
        <f>AG73*AH73</f>
        <v>0</v>
      </c>
      <c r="AJ73" s="475"/>
      <c r="AK73" s="1103"/>
      <c r="AL73" s="1126">
        <f>AJ73*AK73</f>
        <v>0</v>
      </c>
      <c r="AM73" s="475"/>
      <c r="AN73" s="1103"/>
      <c r="AO73" s="1126">
        <f>AM73*AN73</f>
        <v>0</v>
      </c>
      <c r="AP73" s="475"/>
      <c r="AQ73" s="1103"/>
      <c r="AR73" s="1126">
        <f>AP73*AQ73</f>
        <v>0</v>
      </c>
      <c r="AS73" s="475"/>
      <c r="AT73" s="1103"/>
      <c r="AU73" s="1126">
        <f>AS73*AT73</f>
        <v>0</v>
      </c>
      <c r="AV73" s="475"/>
      <c r="AW73" s="1103"/>
      <c r="AX73" s="1182">
        <f>AV73*AW73</f>
        <v>0</v>
      </c>
      <c r="AY73" s="985"/>
      <c r="AZ73" s="985"/>
      <c r="BA73" s="1177"/>
      <c r="BB73" s="450"/>
      <c r="BC73" s="1116">
        <f>SUM(V73,Y73,AF73,AI73,AL73,AO73,AU73,AX73,AR73)</f>
        <v>0</v>
      </c>
      <c r="BD73" s="440"/>
      <c r="BE73" s="1116"/>
    </row>
    <row r="74" spans="1:57">
      <c r="A74" s="434" t="s">
        <v>356</v>
      </c>
      <c r="B74" s="467"/>
      <c r="C74" s="467"/>
      <c r="D74" s="469"/>
      <c r="E74" s="470"/>
      <c r="F74" s="470"/>
      <c r="G74" s="471"/>
      <c r="H74" s="1125" t="e">
        <f>D74/B74</f>
        <v>#DIV/0!</v>
      </c>
      <c r="I74" s="475"/>
      <c r="J74" s="470"/>
      <c r="K74" s="1103"/>
      <c r="L74" s="1126">
        <f>I74*J74*K74</f>
        <v>0</v>
      </c>
      <c r="M74" s="475">
        <f>+E74</f>
        <v>0</v>
      </c>
      <c r="N74" s="1103">
        <f>'T4'!AT34</f>
        <v>0</v>
      </c>
      <c r="O74" s="1126">
        <f>M74*N74</f>
        <v>0</v>
      </c>
      <c r="P74" s="475"/>
      <c r="Q74" s="1103"/>
      <c r="R74" s="1126">
        <f>P74*Q74</f>
        <v>0</v>
      </c>
      <c r="S74" s="475"/>
      <c r="T74" s="1103"/>
      <c r="U74" s="1126">
        <f>S74*T74</f>
        <v>0</v>
      </c>
      <c r="V74" s="1117">
        <f>SUM(L74,O74,R74,U74)</f>
        <v>0</v>
      </c>
      <c r="W74" s="475"/>
      <c r="X74" s="1103"/>
      <c r="Y74" s="1126">
        <f>W74*X74</f>
        <v>0</v>
      </c>
      <c r="Z74" s="475"/>
      <c r="AA74" s="470"/>
      <c r="AB74" s="470"/>
      <c r="AC74" s="470"/>
      <c r="AD74" s="470"/>
      <c r="AE74" s="470"/>
      <c r="AF74" s="1126">
        <f>(+Z74*AC74)+(AA74*AD74)+(AB74*AE74)</f>
        <v>0</v>
      </c>
      <c r="AG74" s="475"/>
      <c r="AH74" s="1103"/>
      <c r="AI74" s="1126">
        <f>AG74*AH74</f>
        <v>0</v>
      </c>
      <c r="AJ74" s="475"/>
      <c r="AK74" s="1103"/>
      <c r="AL74" s="1126">
        <f>AJ74*AK74</f>
        <v>0</v>
      </c>
      <c r="AM74" s="475"/>
      <c r="AN74" s="1103"/>
      <c r="AO74" s="1126">
        <f>AM74*AN74</f>
        <v>0</v>
      </c>
      <c r="AP74" s="475"/>
      <c r="AQ74" s="1103"/>
      <c r="AR74" s="1126">
        <f>AP74*AQ74</f>
        <v>0</v>
      </c>
      <c r="AS74" s="475"/>
      <c r="AT74" s="1103"/>
      <c r="AU74" s="1126">
        <f>AS74*AT74</f>
        <v>0</v>
      </c>
      <c r="AV74" s="475"/>
      <c r="AW74" s="1103"/>
      <c r="AX74" s="1182">
        <f>AV74*AW74</f>
        <v>0</v>
      </c>
      <c r="AY74" s="985"/>
      <c r="AZ74" s="985"/>
      <c r="BA74" s="1177"/>
      <c r="BB74" s="450"/>
      <c r="BC74" s="1116">
        <f>SUM(V74,Y74,AF74,AI74,AL74,AO74,AU74,AX74,AR74)</f>
        <v>0</v>
      </c>
      <c r="BD74" s="440"/>
      <c r="BE74" s="1116"/>
    </row>
    <row r="75" spans="1:57" ht="14.25" customHeight="1">
      <c r="A75" s="434" t="s">
        <v>357</v>
      </c>
      <c r="B75" s="467"/>
      <c r="C75" s="467"/>
      <c r="D75" s="473"/>
      <c r="E75" s="470"/>
      <c r="F75" s="470"/>
      <c r="G75" s="471"/>
      <c r="H75" s="1125" t="e">
        <f>D75/B75</f>
        <v>#DIV/0!</v>
      </c>
      <c r="I75" s="475"/>
      <c r="J75" s="470"/>
      <c r="K75" s="1103"/>
      <c r="L75" s="1126">
        <f>I75*J75*K75</f>
        <v>0</v>
      </c>
      <c r="M75" s="475"/>
      <c r="N75" s="1103"/>
      <c r="O75" s="1126">
        <f>M75*N75</f>
        <v>0</v>
      </c>
      <c r="P75" s="475"/>
      <c r="Q75" s="1103"/>
      <c r="R75" s="1126">
        <f>P75*Q75</f>
        <v>0</v>
      </c>
      <c r="S75" s="475"/>
      <c r="T75" s="1103"/>
      <c r="U75" s="1126">
        <f>S75*T75</f>
        <v>0</v>
      </c>
      <c r="V75" s="1117">
        <f>SUM(L75,O75,R75,U75)</f>
        <v>0</v>
      </c>
      <c r="W75" s="475"/>
      <c r="X75" s="1103"/>
      <c r="Y75" s="1126">
        <f>W75*X75</f>
        <v>0</v>
      </c>
      <c r="Z75" s="475"/>
      <c r="AA75" s="470"/>
      <c r="AB75" s="470"/>
      <c r="AC75" s="470"/>
      <c r="AD75" s="470"/>
      <c r="AE75" s="470"/>
      <c r="AF75" s="1126">
        <f>(+Z75*AC75)+(AA75*AD75)+(AB75*AE75)</f>
        <v>0</v>
      </c>
      <c r="AG75" s="475"/>
      <c r="AH75" s="1103"/>
      <c r="AI75" s="1126">
        <f>AG75*AH75</f>
        <v>0</v>
      </c>
      <c r="AJ75" s="475"/>
      <c r="AK75" s="1103"/>
      <c r="AL75" s="1126">
        <f>AJ75*AK75</f>
        <v>0</v>
      </c>
      <c r="AM75" s="475"/>
      <c r="AN75" s="1103"/>
      <c r="AO75" s="1126">
        <f>AM75*AN75</f>
        <v>0</v>
      </c>
      <c r="AP75" s="475"/>
      <c r="AQ75" s="1103"/>
      <c r="AR75" s="1126">
        <f>AP75*AQ75</f>
        <v>0</v>
      </c>
      <c r="AS75" s="475"/>
      <c r="AT75" s="1103"/>
      <c r="AU75" s="1126">
        <f>AS75*AT75</f>
        <v>0</v>
      </c>
      <c r="AV75" s="475"/>
      <c r="AW75" s="1103"/>
      <c r="AX75" s="1182">
        <f>AV75*AW75</f>
        <v>0</v>
      </c>
      <c r="AY75" s="985"/>
      <c r="AZ75" s="985"/>
      <c r="BA75" s="1177"/>
      <c r="BB75" s="450"/>
      <c r="BC75" s="1116">
        <f>SUM(V75,Y75,AF75,AI75,AL75,AO75,AU75,AX75,AR75)</f>
        <v>0</v>
      </c>
      <c r="BD75" s="440"/>
      <c r="BE75" s="1116"/>
    </row>
    <row r="76" spans="1:57">
      <c r="A76" s="451"/>
      <c r="B76" s="1172"/>
      <c r="C76" s="1173"/>
      <c r="D76" s="1174"/>
      <c r="E76" s="1135"/>
      <c r="F76" s="1135"/>
      <c r="G76" s="112"/>
      <c r="H76" s="1125"/>
      <c r="I76" s="1132"/>
      <c r="J76" s="1133"/>
      <c r="K76" s="1133"/>
      <c r="L76" s="1126"/>
      <c r="M76" s="1132"/>
      <c r="N76" s="1134"/>
      <c r="O76" s="1126"/>
      <c r="P76" s="1132"/>
      <c r="Q76" s="1134"/>
      <c r="R76" s="1126"/>
      <c r="S76" s="1132"/>
      <c r="T76" s="1134"/>
      <c r="U76" s="1126"/>
      <c r="V76" s="1116"/>
      <c r="W76" s="1132"/>
      <c r="X76" s="1134"/>
      <c r="Y76" s="1126"/>
      <c r="Z76" s="1132"/>
      <c r="AA76" s="1133"/>
      <c r="AB76" s="1133"/>
      <c r="AC76" s="1133"/>
      <c r="AD76" s="1133"/>
      <c r="AE76" s="1133"/>
      <c r="AF76" s="1126"/>
      <c r="AG76" s="1132"/>
      <c r="AH76" s="1134"/>
      <c r="AI76" s="1126"/>
      <c r="AJ76" s="1132"/>
      <c r="AK76" s="1134"/>
      <c r="AL76" s="1126"/>
      <c r="AM76" s="1132"/>
      <c r="AN76" s="1134"/>
      <c r="AO76" s="1126"/>
      <c r="AP76" s="1132"/>
      <c r="AQ76" s="1134"/>
      <c r="AR76" s="1126"/>
      <c r="AS76" s="1132"/>
      <c r="AT76" s="1134"/>
      <c r="AU76" s="1126"/>
      <c r="AV76" s="1132"/>
      <c r="AW76" s="1134"/>
      <c r="AX76" s="1182"/>
      <c r="AY76" s="1177"/>
      <c r="AZ76" s="1177"/>
      <c r="BA76" s="1177"/>
      <c r="BB76" s="452"/>
      <c r="BC76" s="1117"/>
      <c r="BD76" s="1116"/>
      <c r="BE76" s="1116"/>
    </row>
    <row r="77" spans="1:57">
      <c r="A77" s="434" t="s">
        <v>337</v>
      </c>
      <c r="B77" s="504"/>
      <c r="C77" s="1354"/>
      <c r="D77" s="1355"/>
      <c r="E77" s="944"/>
      <c r="F77" s="944"/>
      <c r="G77" s="945"/>
      <c r="H77" s="1125"/>
      <c r="I77" s="1355"/>
      <c r="J77" s="1356"/>
      <c r="K77" s="1357"/>
      <c r="L77" s="1126"/>
      <c r="M77" s="1355"/>
      <c r="N77" s="1357"/>
      <c r="O77" s="1126"/>
      <c r="P77" s="1355"/>
      <c r="Q77" s="1357"/>
      <c r="R77" s="1126"/>
      <c r="S77" s="1355"/>
      <c r="T77" s="1357"/>
      <c r="U77" s="1126"/>
      <c r="V77" s="1117">
        <v>-155.83803371792709</v>
      </c>
      <c r="W77" s="1355"/>
      <c r="X77" s="1357"/>
      <c r="Y77" s="1126"/>
      <c r="Z77" s="1355"/>
      <c r="AA77" s="1356"/>
      <c r="AB77" s="1356"/>
      <c r="AC77" s="1356"/>
      <c r="AD77" s="1356"/>
      <c r="AE77" s="1356"/>
      <c r="AF77" s="1126"/>
      <c r="AG77" s="1355"/>
      <c r="AH77" s="1357"/>
      <c r="AI77" s="1126"/>
      <c r="AJ77" s="1355"/>
      <c r="AK77" s="1357"/>
      <c r="AL77" s="1127"/>
      <c r="AM77" s="1355"/>
      <c r="AN77" s="1357"/>
      <c r="AO77" s="1127"/>
      <c r="AP77" s="1355"/>
      <c r="AQ77" s="1357"/>
      <c r="AR77" s="1127"/>
      <c r="AS77" s="1355"/>
      <c r="AT77" s="1357"/>
      <c r="AU77" s="1127"/>
      <c r="AV77" s="1355"/>
      <c r="AW77" s="1357"/>
      <c r="AX77" s="1127"/>
      <c r="AY77" s="984"/>
      <c r="AZ77" s="984"/>
      <c r="BA77" s="1119"/>
      <c r="BB77" s="432"/>
      <c r="BC77" s="1111">
        <f>+V77</f>
        <v>-155.83803371792709</v>
      </c>
      <c r="BD77" s="1302"/>
      <c r="BE77" s="1111"/>
    </row>
    <row r="78" spans="1:57">
      <c r="A78" s="434"/>
      <c r="B78" s="1117"/>
      <c r="C78" s="1128"/>
      <c r="D78" s="1129"/>
      <c r="E78" s="1130"/>
      <c r="F78" s="1130"/>
      <c r="G78" s="1128"/>
      <c r="H78" s="1131"/>
      <c r="I78" s="1132"/>
      <c r="J78" s="1133"/>
      <c r="K78" s="1133"/>
      <c r="L78" s="1126"/>
      <c r="M78" s="1132"/>
      <c r="N78" s="1133"/>
      <c r="O78" s="1126"/>
      <c r="P78" s="1132"/>
      <c r="Q78" s="1134"/>
      <c r="R78" s="1126"/>
      <c r="S78" s="1132"/>
      <c r="T78" s="1134"/>
      <c r="U78" s="1126"/>
      <c r="V78" s="1116"/>
      <c r="W78" s="1132"/>
      <c r="X78" s="1134"/>
      <c r="Y78" s="1126"/>
      <c r="Z78" s="1132"/>
      <c r="AA78" s="1135"/>
      <c r="AB78" s="1135"/>
      <c r="AC78" s="1133"/>
      <c r="AD78" s="1133"/>
      <c r="AE78" s="1135"/>
      <c r="AF78" s="1126"/>
      <c r="AG78" s="1132"/>
      <c r="AH78" s="1134"/>
      <c r="AI78" s="1128"/>
      <c r="AJ78" s="1136"/>
      <c r="AK78" s="1137"/>
      <c r="AL78" s="1138"/>
      <c r="AM78" s="1136"/>
      <c r="AN78" s="1137"/>
      <c r="AO78" s="1138"/>
      <c r="AP78" s="1136"/>
      <c r="AQ78" s="1137"/>
      <c r="AR78" s="1138"/>
      <c r="AS78" s="1136"/>
      <c r="AT78" s="1137"/>
      <c r="AU78" s="1127"/>
      <c r="AV78" s="1136"/>
      <c r="AW78" s="1137"/>
      <c r="AX78" s="1127"/>
      <c r="AY78" s="1119"/>
      <c r="AZ78" s="1119"/>
      <c r="BA78" s="1119"/>
      <c r="BB78" s="432"/>
      <c r="BC78" s="1112"/>
      <c r="BD78" s="1111"/>
      <c r="BE78" s="1111"/>
    </row>
    <row r="79" spans="1:57" ht="15" thickBot="1">
      <c r="A79" s="421" t="s">
        <v>289</v>
      </c>
      <c r="B79" s="1118">
        <f t="shared" ref="B79:G79" si="2">SUM(B71,B68,B70,B69,B73,B74,B75)</f>
        <v>11.25</v>
      </c>
      <c r="C79" s="1139">
        <f t="shared" si="2"/>
        <v>11.25</v>
      </c>
      <c r="D79" s="1140">
        <f t="shared" si="2"/>
        <v>3453</v>
      </c>
      <c r="E79" s="1141">
        <f t="shared" si="2"/>
        <v>3453</v>
      </c>
      <c r="F79" s="1142">
        <f t="shared" si="2"/>
        <v>0</v>
      </c>
      <c r="G79" s="1178">
        <f t="shared" si="2"/>
        <v>0</v>
      </c>
      <c r="H79" s="1143">
        <f>+D79/B79</f>
        <v>306.93333333333334</v>
      </c>
      <c r="I79" s="1140">
        <f>SUM(I71,I68,I70,I69,I73,I74,I75)</f>
        <v>1</v>
      </c>
      <c r="J79" s="1141">
        <f>SUM(J71,J68,J70,J69,J73,J74,J75)</f>
        <v>11.25</v>
      </c>
      <c r="K79" s="1144"/>
      <c r="L79" s="1139">
        <f>SUM(L71,L68,L70,L69,L73,L74,L75)</f>
        <v>240.50361037499999</v>
      </c>
      <c r="M79" s="1140">
        <f>SUM(M71,M68,M70,M69,M73,M74,M75)</f>
        <v>3453</v>
      </c>
      <c r="N79" s="1144"/>
      <c r="O79" s="1139">
        <f>SUM(O71,O68,O70,O69,O73,O74,O75)</f>
        <v>0.49308839999999998</v>
      </c>
      <c r="P79" s="1140">
        <f>SUM(P71,P68,P70,P69,P73,P74,P75)</f>
        <v>0</v>
      </c>
      <c r="Q79" s="1144"/>
      <c r="R79" s="1139">
        <f>SUM(R71,R68,R70,R69,R73,R74,R75)</f>
        <v>0</v>
      </c>
      <c r="S79" s="1140">
        <f>SUM(S71,S68,S70,S69,S73,S74,S75)</f>
        <v>0</v>
      </c>
      <c r="T79" s="1144"/>
      <c r="U79" s="1139">
        <f>SUM(U71,U68,U70,U69,U73,U74,U75)</f>
        <v>0</v>
      </c>
      <c r="V79" s="1118">
        <f>SUM(V71,V68,V70,V69,V73,V74,V75,V77)</f>
        <v>85.158665057072909</v>
      </c>
      <c r="W79" s="1140">
        <f>SUM(W71,W68,W70,W69,W73,W74,W75)</f>
        <v>3453</v>
      </c>
      <c r="X79" s="1144"/>
      <c r="Y79" s="1139">
        <f>SUM(Y71,Y68,Y70,Y69,Y73,Y74,Y75)</f>
        <v>0.53935860000000002</v>
      </c>
      <c r="Z79" s="1140">
        <f>SUM(Z71,Z68,Z70,Z69,Z73,Z74,Z75)</f>
        <v>1</v>
      </c>
      <c r="AA79" s="1141">
        <f>SUM(AA71,AA68,AA70,AA69,AA73,AA74,AA75)</f>
        <v>0</v>
      </c>
      <c r="AB79" s="1141">
        <f>SUM(AB71,AB68,AB70,AB69,AB73,AB74,AB75)</f>
        <v>0</v>
      </c>
      <c r="AC79" s="1141"/>
      <c r="AD79" s="1141"/>
      <c r="AE79" s="1141"/>
      <c r="AF79" s="1139">
        <f>SUM(AF71,AF68,AF70,AF69,AF73,AF74,AF75)</f>
        <v>348.75</v>
      </c>
      <c r="AG79" s="1140">
        <f>SUM(AG71,AG68,AG70,AG69,AG73,AG74,AG75)</f>
        <v>3453</v>
      </c>
      <c r="AH79" s="1144"/>
      <c r="AI79" s="1139">
        <f>SUM(AI71,AI68,AI70,AI69,AI73,AI74,AI75)</f>
        <v>17.792273099999999</v>
      </c>
      <c r="AJ79" s="1140">
        <f>SUM(AJ71,AJ68,AJ70,AJ69,AJ73,AJ74,AJ75)</f>
        <v>0</v>
      </c>
      <c r="AK79" s="1144"/>
      <c r="AL79" s="1139">
        <f>SUM(AL71,AL68,AL70,AL69,AL73,AL74,AL75)</f>
        <v>0</v>
      </c>
      <c r="AM79" s="1140">
        <f>SUM(AM71,AM68,AM70,AM69,AM73,AM74,AM75)</f>
        <v>3453</v>
      </c>
      <c r="AN79" s="1144"/>
      <c r="AO79" s="1139">
        <f>SUM(AO71,AO68,AO70,AO69,AO73,AO74,AO75)</f>
        <v>1.2610356</v>
      </c>
      <c r="AP79" s="1140">
        <f>SUM(AP71,AP68,AP70,AP69,AP73,AP74,AP75)</f>
        <v>0</v>
      </c>
      <c r="AQ79" s="1144"/>
      <c r="AR79" s="1139">
        <f>SUM(AR71,AR68,AR70,AR69,AR73,AR74,AR75)</f>
        <v>0</v>
      </c>
      <c r="AS79" s="1140">
        <f>SUM(AS71,AS68,AS70,AS69,AS73,AS74,AS75)</f>
        <v>3453</v>
      </c>
      <c r="AT79" s="1144"/>
      <c r="AU79" s="1139">
        <f>SUM(AU71,AU68,AU70,AU69,AU73,AU74,AU75)</f>
        <v>1.4840993999999998</v>
      </c>
      <c r="AV79" s="1140">
        <f>SUM(AV71,AV68,AV70,AV69,AV73,AV74,AV75)</f>
        <v>3453</v>
      </c>
      <c r="AW79" s="1144"/>
      <c r="AX79" s="1183">
        <f>SUM(AX71,AX68,AX70,AX69,AX73,AX74,AX75)</f>
        <v>0.27520410000000001</v>
      </c>
      <c r="AY79" s="1179"/>
      <c r="AZ79" s="1179"/>
      <c r="BA79" s="1179"/>
      <c r="BB79" s="453"/>
      <c r="BC79" s="1118">
        <f>SUM(BC71,BC68,BC70,BC69,BC73,BC74,BC75,BC77)</f>
        <v>455.26063585707294</v>
      </c>
      <c r="BD79" s="1304">
        <f>+'T3'!AM81+'T3'!AN81</f>
        <v>455.26032673747579</v>
      </c>
      <c r="BE79" s="1118">
        <f>BC79-BD79</f>
        <v>3.0911959714785553E-4</v>
      </c>
    </row>
    <row r="80" spans="1:57" ht="15" thickBot="1">
      <c r="A80" s="448"/>
      <c r="B80" s="909"/>
      <c r="C80" s="909"/>
      <c r="D80" s="909"/>
      <c r="E80" s="909"/>
      <c r="F80" s="909"/>
      <c r="G80" s="909"/>
      <c r="H80" s="909"/>
      <c r="I80" s="909"/>
      <c r="J80" s="1119"/>
      <c r="K80" s="909"/>
      <c r="L80" s="909"/>
      <c r="M80" s="1119"/>
      <c r="N80" s="909"/>
      <c r="O80" s="909"/>
      <c r="P80" s="1119"/>
      <c r="Q80" s="909"/>
      <c r="R80" s="909"/>
      <c r="S80" s="1119"/>
      <c r="T80" s="909"/>
      <c r="U80" s="909"/>
      <c r="V80" s="909"/>
      <c r="W80" s="1119"/>
      <c r="X80" s="909"/>
      <c r="Y80" s="909"/>
      <c r="Z80" s="1119"/>
      <c r="AA80" s="1119"/>
      <c r="AB80" s="1119"/>
      <c r="AC80" s="909"/>
      <c r="AD80" s="909"/>
      <c r="AE80" s="909"/>
      <c r="AF80" s="909"/>
      <c r="AG80" s="1119"/>
      <c r="AH80" s="909"/>
      <c r="AI80" s="909"/>
      <c r="AJ80" s="1119"/>
      <c r="AK80" s="909"/>
      <c r="AL80" s="909"/>
      <c r="AM80" s="1119"/>
      <c r="AN80" s="909"/>
      <c r="AO80" s="909"/>
      <c r="AP80" s="1119"/>
      <c r="AQ80" s="909"/>
      <c r="AR80" s="909"/>
      <c r="AS80" s="1119"/>
      <c r="AT80" s="909"/>
      <c r="AU80" s="909"/>
      <c r="AV80" s="1119"/>
      <c r="AW80" s="909"/>
      <c r="AX80" s="909"/>
      <c r="AY80" s="909"/>
      <c r="AZ80" s="909"/>
      <c r="BA80" s="909"/>
      <c r="BB80" s="416"/>
      <c r="BC80" s="909"/>
      <c r="BD80" s="1119"/>
      <c r="BE80" s="1119"/>
    </row>
    <row r="81" spans="1:57" ht="15" customHeight="1">
      <c r="A81" s="448"/>
      <c r="B81" s="909"/>
      <c r="C81" s="909"/>
      <c r="D81" s="909"/>
      <c r="E81" s="909"/>
      <c r="F81" s="909"/>
      <c r="G81" s="909"/>
      <c r="H81" s="909"/>
      <c r="I81" s="909"/>
      <c r="J81" s="1119"/>
      <c r="K81" s="909"/>
      <c r="L81" s="909"/>
      <c r="M81" s="1119"/>
      <c r="N81" s="909"/>
      <c r="O81" s="909"/>
      <c r="P81" s="1119"/>
      <c r="Q81" s="909"/>
      <c r="R81" s="909"/>
      <c r="S81" s="1119"/>
      <c r="T81" s="909"/>
      <c r="U81" s="909"/>
      <c r="V81" s="909"/>
      <c r="W81" s="1119"/>
      <c r="X81" s="909"/>
      <c r="Y81" s="909"/>
      <c r="Z81" s="1119"/>
      <c r="AA81" s="1119"/>
      <c r="AB81" s="1119"/>
      <c r="AC81" s="909"/>
      <c r="AD81" s="909"/>
      <c r="AE81" s="909"/>
      <c r="AF81" s="909"/>
      <c r="AG81" s="1119"/>
      <c r="AH81" s="909"/>
      <c r="AI81" s="909"/>
      <c r="AJ81" s="1119"/>
      <c r="AK81" s="909"/>
      <c r="AL81" s="909"/>
      <c r="AM81" s="1119"/>
      <c r="AN81" s="909"/>
      <c r="AO81" s="909"/>
      <c r="AP81" s="1119"/>
      <c r="AQ81" s="909"/>
      <c r="AR81" s="909"/>
      <c r="AS81" s="1119"/>
      <c r="AT81" s="909"/>
      <c r="AU81" s="909"/>
      <c r="AV81" s="1119"/>
      <c r="AW81" s="909"/>
      <c r="AX81" s="909"/>
      <c r="AY81" s="909"/>
      <c r="AZ81" s="909"/>
      <c r="BA81" s="909"/>
      <c r="BB81" s="416"/>
      <c r="BC81" s="1688" t="s">
        <v>148</v>
      </c>
      <c r="BD81" s="1709" t="s">
        <v>346</v>
      </c>
      <c r="BE81" s="1352" t="s">
        <v>136</v>
      </c>
    </row>
    <row r="82" spans="1:57" ht="15" thickBot="1">
      <c r="A82" s="448"/>
      <c r="B82" s="909"/>
      <c r="C82" s="909"/>
      <c r="D82" s="909"/>
      <c r="E82" s="909"/>
      <c r="F82" s="909"/>
      <c r="G82" s="909"/>
      <c r="H82" s="909"/>
      <c r="I82" s="909"/>
      <c r="J82" s="1119"/>
      <c r="K82" s="909"/>
      <c r="L82" s="909"/>
      <c r="M82" s="1119"/>
      <c r="N82" s="909"/>
      <c r="O82" s="909"/>
      <c r="P82" s="1119"/>
      <c r="Q82" s="909"/>
      <c r="R82" s="909"/>
      <c r="S82" s="1119"/>
      <c r="T82" s="909"/>
      <c r="U82" s="909"/>
      <c r="V82" s="909"/>
      <c r="W82" s="1119"/>
      <c r="X82" s="909"/>
      <c r="Y82" s="909"/>
      <c r="Z82" s="1119"/>
      <c r="AA82" s="1119"/>
      <c r="AB82" s="1119"/>
      <c r="AC82" s="909"/>
      <c r="AD82" s="909"/>
      <c r="AE82" s="909"/>
      <c r="AF82" s="909"/>
      <c r="AG82" s="1119"/>
      <c r="AH82" s="909"/>
      <c r="AI82" s="909"/>
      <c r="AJ82" s="1119"/>
      <c r="AK82" s="909"/>
      <c r="AL82" s="909"/>
      <c r="AM82" s="1119"/>
      <c r="AN82" s="909"/>
      <c r="AO82" s="909"/>
      <c r="AP82" s="1119"/>
      <c r="AQ82" s="909"/>
      <c r="AR82" s="909"/>
      <c r="AS82" s="1119"/>
      <c r="AT82" s="909"/>
      <c r="AU82" s="909"/>
      <c r="AV82" s="1119"/>
      <c r="AW82" s="909"/>
      <c r="AX82" s="909"/>
      <c r="AY82" s="909"/>
      <c r="AZ82" s="909"/>
      <c r="BA82" s="909"/>
      <c r="BB82" s="416"/>
      <c r="BC82" s="1689"/>
      <c r="BD82" s="1710"/>
      <c r="BE82" s="1109"/>
    </row>
    <row r="83" spans="1:57" ht="15" thickBot="1">
      <c r="A83" s="448"/>
      <c r="B83" s="909"/>
      <c r="C83" s="909"/>
      <c r="D83" s="909"/>
      <c r="E83" s="909"/>
      <c r="F83" s="909"/>
      <c r="G83" s="909"/>
      <c r="H83" s="909"/>
      <c r="I83" s="909"/>
      <c r="J83" s="1119"/>
      <c r="K83" s="909"/>
      <c r="L83" s="909"/>
      <c r="M83" s="1119"/>
      <c r="N83" s="909"/>
      <c r="O83" s="909"/>
      <c r="P83" s="1119"/>
      <c r="Q83" s="909"/>
      <c r="R83" s="909"/>
      <c r="S83" s="1119"/>
      <c r="T83" s="909"/>
      <c r="U83" s="909"/>
      <c r="V83" s="909"/>
      <c r="W83" s="1119"/>
      <c r="X83" s="909"/>
      <c r="Y83" s="909"/>
      <c r="Z83" s="1119"/>
      <c r="AA83" s="1119"/>
      <c r="AB83" s="1119"/>
      <c r="AC83" s="909"/>
      <c r="AD83" s="909"/>
      <c r="AE83" s="909"/>
      <c r="AF83" s="909"/>
      <c r="AG83" s="1119"/>
      <c r="AH83" s="909"/>
      <c r="AI83" s="909"/>
      <c r="AJ83" s="1119"/>
      <c r="AK83" s="909"/>
      <c r="AL83" s="909"/>
      <c r="AM83" s="1119"/>
      <c r="AN83" s="909"/>
      <c r="AO83" s="909"/>
      <c r="AP83" s="1119"/>
      <c r="AQ83" s="909"/>
      <c r="AR83" s="909"/>
      <c r="AS83" s="1119"/>
      <c r="AT83" s="909"/>
      <c r="AU83" s="909"/>
      <c r="AV83" s="1119"/>
      <c r="AW83" s="909"/>
      <c r="AX83" s="909"/>
      <c r="AY83" s="909"/>
      <c r="AZ83" s="909"/>
      <c r="BA83" s="909"/>
      <c r="BB83" s="416"/>
      <c r="BC83" s="1109" t="s">
        <v>156</v>
      </c>
      <c r="BD83" s="1109" t="s">
        <v>157</v>
      </c>
      <c r="BE83" s="1109" t="s">
        <v>158</v>
      </c>
    </row>
    <row r="84" spans="1:57" s="456" customFormat="1" ht="15" thickBot="1">
      <c r="A84" s="454" t="s">
        <v>290</v>
      </c>
      <c r="B84" s="1107">
        <f t="shared" ref="B84:J84" si="3">SUM(B59,B45,B35,B17,B25,B79,B66)</f>
        <v>750855.72916666663</v>
      </c>
      <c r="C84" s="1184">
        <f t="shared" si="3"/>
        <v>17.25</v>
      </c>
      <c r="D84" s="1185">
        <f t="shared" si="3"/>
        <v>4155674980.8166819</v>
      </c>
      <c r="E84" s="1186">
        <f t="shared" si="3"/>
        <v>3411521958.4915104</v>
      </c>
      <c r="F84" s="1187">
        <f t="shared" si="3"/>
        <v>623424722.30025458</v>
      </c>
      <c r="G84" s="1184">
        <f t="shared" si="3"/>
        <v>120663833.02491648</v>
      </c>
      <c r="H84" s="258" t="e">
        <f t="shared" si="3"/>
        <v>#DIV/0!</v>
      </c>
      <c r="I84" s="1185">
        <f t="shared" si="3"/>
        <v>6</v>
      </c>
      <c r="J84" s="1186">
        <f t="shared" si="3"/>
        <v>750821.3125</v>
      </c>
      <c r="K84" s="1188"/>
      <c r="L84" s="1184">
        <f>SUM(L59,L45,L35,L17,L25,L79,L66)</f>
        <v>22366570.359635208</v>
      </c>
      <c r="M84" s="1185">
        <f>SUM(M59,M45,M35,M17,M25,M79,M66)</f>
        <v>3411586425.4915104</v>
      </c>
      <c r="N84" s="1188"/>
      <c r="O84" s="1184">
        <f>SUM(O59,O45,O35,O17,O25,O79,O66)</f>
        <v>60890418.733404987</v>
      </c>
      <c r="P84" s="1185">
        <f>SUM(P59,P45,P35,P17,P25,P79,P66)</f>
        <v>623424722.30025458</v>
      </c>
      <c r="Q84" s="1188"/>
      <c r="R84" s="1189">
        <f>SUM(R59,R45,R35,R17,R25,R79,R66)</f>
        <v>20051355.983908519</v>
      </c>
      <c r="S84" s="1186">
        <f>SUM(S59,S45,S35,S17,S25,S79,S66)</f>
        <v>120663833.02491648</v>
      </c>
      <c r="T84" s="1188"/>
      <c r="U84" s="1184">
        <f>SUM(U59,U45,U35,U17,U25,U79,U66)</f>
        <v>1954892.1058417636</v>
      </c>
      <c r="V84" s="1107">
        <f>SUM(V59,V45,V35,V17,V25,V79,V66)</f>
        <v>102882429.26328884</v>
      </c>
      <c r="W84" s="1185">
        <f>SUM(W59,W45,W35,W17,W25,W79,W66)</f>
        <v>4155674980.8166819</v>
      </c>
      <c r="X84" s="1188"/>
      <c r="Y84" s="1184">
        <f>SUM(Y59,Y45,Y35,Y17,Y25,Y79,Y66)</f>
        <v>865211.35145003314</v>
      </c>
      <c r="Z84" s="1185">
        <f>SUM(Z59,Z45,Z35,Z17,Z25,Z79,Z66)</f>
        <v>2886</v>
      </c>
      <c r="AA84" s="1186">
        <f>SUM(AA59,AA45,AA35,AA17,AA25,AA79,AA66)</f>
        <v>2491</v>
      </c>
      <c r="AB84" s="1186">
        <f>SUM(AB59,AB45,AB35,AB17,AB25,AB79,AB66)</f>
        <v>416415</v>
      </c>
      <c r="AC84" s="1186"/>
      <c r="AD84" s="1186"/>
      <c r="AE84" s="1186"/>
      <c r="AF84" s="1184">
        <f>SUM(AF59,AF45,AF35,AF17,AF25,AF79,AF66)</f>
        <v>3329952.75</v>
      </c>
      <c r="AG84" s="1185">
        <f>SUM(AG59,AG45,AG35,AG17,AG25,AG79,AG66)</f>
        <v>4065177106.0479946</v>
      </c>
      <c r="AH84" s="1188"/>
      <c r="AI84" s="1184">
        <f>SUM(AI59,AI45,AI35,AI17,AI25,AI79,AI66)</f>
        <v>97024533.95778209</v>
      </c>
      <c r="AJ84" s="1185">
        <f>SUM(AJ59,AJ45,AJ35,AJ17,AJ25,AJ79,AJ66)</f>
        <v>68147770</v>
      </c>
      <c r="AK84" s="1188"/>
      <c r="AL84" s="1184">
        <f>SUM(AL59,AL45,AL35,AL17,AL25,AL79,AL66)</f>
        <v>1192585.9750000001</v>
      </c>
      <c r="AM84" s="1185">
        <f>SUM(AM59,AM45,AM35,AM17,AM25,AM79,AM66)</f>
        <v>4155610513.8166819</v>
      </c>
      <c r="AN84" s="1188"/>
      <c r="AO84" s="1184">
        <f>SUM(AO59,AO45,AO35,AO17,AO25,AO79,AO66)</f>
        <v>4366641.7911931314</v>
      </c>
      <c r="AP84" s="1185">
        <f>SUM(AP59,AP45,AP35,AP17,AP25,AP79,AP66)</f>
        <v>0</v>
      </c>
      <c r="AQ84" s="1188"/>
      <c r="AR84" s="1184">
        <f>SUM(AR59,AR45,AR35,AR17,AR25,AR79,AR66)</f>
        <v>0</v>
      </c>
      <c r="AS84" s="1185">
        <f>SUM(AS59,AS45,AS35,AS17,AS25,AS79,AS66)</f>
        <v>4155674980.8166819</v>
      </c>
      <c r="AT84" s="1188"/>
      <c r="AU84" s="1184">
        <f>SUM(AU59,AU45,AU35,AU17,AU25,AU79,AU66)</f>
        <v>5709601.5938896369</v>
      </c>
      <c r="AV84" s="1185">
        <f>SUM(AV59,AV45,AV35,AV17,AV25,AV79,AV66)</f>
        <v>4155674980.8166819</v>
      </c>
      <c r="AW84" s="1188"/>
      <c r="AX84" s="1184">
        <f>SUM(AX59,AX45,AX35,AX17,AX25,AX79,AX66)</f>
        <v>1059235.2568423634</v>
      </c>
      <c r="AY84" s="1185">
        <f>AY66</f>
        <v>252862.70100000003</v>
      </c>
      <c r="AZ84" s="1186"/>
      <c r="BA84" s="1184">
        <f>BA66</f>
        <v>15765989.407350004</v>
      </c>
      <c r="BB84" s="443"/>
      <c r="BC84" s="1107">
        <f>SUM(V84,Y84,AF84,AI84,AL84,AO84,AU84,AX84,AR84,BA84)</f>
        <v>232196181.3467961</v>
      </c>
      <c r="BD84" s="1107">
        <f>+'T3'!AU81+'T3'!AW81</f>
        <v>232195174.58661562</v>
      </c>
      <c r="BE84" s="1107">
        <f>+BC84-BD84</f>
        <v>1006.7601804733276</v>
      </c>
    </row>
    <row r="85" spans="1:57">
      <c r="A85" s="457"/>
      <c r="B85" s="458"/>
      <c r="C85" s="458"/>
      <c r="D85" s="459"/>
      <c r="E85" s="459"/>
      <c r="F85" s="460"/>
      <c r="G85" s="459"/>
      <c r="H85" s="459"/>
      <c r="I85" s="448"/>
      <c r="J85" s="442"/>
      <c r="K85" s="448"/>
      <c r="L85" s="455"/>
      <c r="M85" s="442"/>
      <c r="N85" s="448"/>
      <c r="O85" s="455"/>
      <c r="P85" s="442"/>
      <c r="Q85" s="448"/>
      <c r="R85" s="455"/>
      <c r="S85" s="442"/>
      <c r="T85" s="448"/>
      <c r="U85" s="455"/>
      <c r="V85" s="455"/>
      <c r="W85" s="442"/>
      <c r="X85" s="461"/>
      <c r="Y85" s="455"/>
      <c r="Z85" s="442"/>
      <c r="AA85" s="442"/>
      <c r="AB85" s="442"/>
      <c r="AC85" s="461"/>
      <c r="AD85" s="461"/>
      <c r="AE85" s="461"/>
      <c r="AF85" s="455"/>
      <c r="AG85" s="442"/>
      <c r="AH85" s="461"/>
      <c r="AI85" s="455"/>
      <c r="AJ85" s="442"/>
      <c r="AK85" s="461"/>
      <c r="AL85" s="455"/>
      <c r="AM85" s="442"/>
      <c r="AN85" s="461"/>
      <c r="AO85" s="455"/>
      <c r="AP85" s="442"/>
      <c r="AQ85" s="461"/>
      <c r="AR85" s="455"/>
      <c r="AS85" s="442"/>
      <c r="AT85" s="461"/>
      <c r="AU85" s="455"/>
      <c r="AV85" s="442"/>
      <c r="AW85" s="461"/>
      <c r="AX85" s="455"/>
      <c r="AY85" s="433"/>
      <c r="AZ85" s="461"/>
      <c r="BA85" s="455"/>
      <c r="BB85" s="1297" t="s">
        <v>308</v>
      </c>
      <c r="BC85" s="462">
        <f>SUM(BC79,BC66,BC59,BC45,BC35,BC25,BC17)-BC84</f>
        <v>0</v>
      </c>
      <c r="BD85" s="1365">
        <f>SUM(BD79,BD66,BD59,BD45,BD35,BD25,BD17)-BD84</f>
        <v>0</v>
      </c>
      <c r="BE85" s="462">
        <f>SUM(BE79,BE66,BE59,BE45,BE35,BE25,BE17)-BE84</f>
        <v>-4.8996753321262076E-8</v>
      </c>
    </row>
    <row r="86" spans="1:57" ht="15">
      <c r="A86" s="463"/>
      <c r="B86" s="463"/>
      <c r="C86" s="458"/>
      <c r="D86" s="459"/>
      <c r="E86" s="459"/>
      <c r="F86" s="459"/>
      <c r="G86" s="459"/>
      <c r="H86" s="448"/>
      <c r="I86" s="448"/>
      <c r="J86" s="442"/>
      <c r="K86" s="455"/>
      <c r="L86" s="448"/>
      <c r="M86" s="442"/>
      <c r="N86" s="455"/>
      <c r="O86" s="448"/>
      <c r="P86" s="442"/>
      <c r="Q86" s="455"/>
      <c r="R86" s="455"/>
      <c r="S86" s="442"/>
      <c r="T86" s="455"/>
      <c r="U86" s="455"/>
      <c r="V86" s="433"/>
      <c r="W86" s="1100"/>
      <c r="X86" s="455"/>
      <c r="Y86" s="464"/>
      <c r="Z86" s="1101"/>
      <c r="AA86" s="1101"/>
      <c r="AB86" s="465"/>
      <c r="AC86" s="465"/>
      <c r="AD86" s="465"/>
      <c r="AE86" s="465"/>
      <c r="AF86" s="465"/>
      <c r="AG86" s="442"/>
      <c r="AH86" s="461"/>
      <c r="AI86" s="455"/>
      <c r="AJ86" s="442"/>
      <c r="AK86" s="461"/>
      <c r="AL86" s="455"/>
      <c r="AM86" s="442"/>
      <c r="AN86" s="461"/>
      <c r="AO86" s="455"/>
      <c r="AP86" s="442"/>
      <c r="AQ86" s="461"/>
      <c r="AR86" s="455"/>
      <c r="AS86" s="442"/>
      <c r="AT86" s="461"/>
      <c r="AU86" s="455"/>
      <c r="AV86" s="432"/>
      <c r="AW86" s="455"/>
      <c r="AX86" s="416"/>
      <c r="AY86" s="416"/>
      <c r="AZ86" s="455"/>
      <c r="BA86" s="416"/>
      <c r="BB86" s="455"/>
      <c r="BC86" s="442"/>
      <c r="BD86" s="466"/>
      <c r="BE86" s="466"/>
    </row>
    <row r="87" spans="1:57">
      <c r="B87" s="276"/>
    </row>
  </sheetData>
  <mergeCells count="56">
    <mergeCell ref="M48:O48"/>
    <mergeCell ref="BC81:BC82"/>
    <mergeCell ref="BD81:BD82"/>
    <mergeCell ref="A6:E6"/>
    <mergeCell ref="BE7:BE8"/>
    <mergeCell ref="BD7:BD8"/>
    <mergeCell ref="BD47:BD48"/>
    <mergeCell ref="Z7:AF7"/>
    <mergeCell ref="AM8:AO8"/>
    <mergeCell ref="AG48:AI48"/>
    <mergeCell ref="AJ48:AL48"/>
    <mergeCell ref="W47:Y47"/>
    <mergeCell ref="I47:V47"/>
    <mergeCell ref="AM48:AO48"/>
    <mergeCell ref="W8:Y8"/>
    <mergeCell ref="AV7:AX7"/>
    <mergeCell ref="Z48:AF48"/>
    <mergeCell ref="AP47:AR47"/>
    <mergeCell ref="AP48:AR48"/>
    <mergeCell ref="AS48:AU48"/>
    <mergeCell ref="A1:J1"/>
    <mergeCell ref="B3:F3"/>
    <mergeCell ref="P48:R48"/>
    <mergeCell ref="W48:Y48"/>
    <mergeCell ref="I48:L48"/>
    <mergeCell ref="I7:V7"/>
    <mergeCell ref="W7:Y7"/>
    <mergeCell ref="I8:L8"/>
    <mergeCell ref="M8:O8"/>
    <mergeCell ref="P8:R8"/>
    <mergeCell ref="S8:U8"/>
    <mergeCell ref="S48:U48"/>
    <mergeCell ref="Z8:AF8"/>
    <mergeCell ref="AS8:AU8"/>
    <mergeCell ref="AP8:AR8"/>
    <mergeCell ref="AJ47:AL47"/>
    <mergeCell ref="AM47:AO47"/>
    <mergeCell ref="Z47:AF47"/>
    <mergeCell ref="AG47:AI47"/>
    <mergeCell ref="AS47:AU47"/>
    <mergeCell ref="BC7:BC8"/>
    <mergeCell ref="BC47:BC48"/>
    <mergeCell ref="AY7:BA7"/>
    <mergeCell ref="AY8:BA8"/>
    <mergeCell ref="AY47:BA47"/>
    <mergeCell ref="AY48:BA48"/>
    <mergeCell ref="AP7:AR7"/>
    <mergeCell ref="AS7:AU7"/>
    <mergeCell ref="AV48:AX48"/>
    <mergeCell ref="AG7:AI7"/>
    <mergeCell ref="AJ7:AL7"/>
    <mergeCell ref="AM7:AO7"/>
    <mergeCell ref="AG8:AI8"/>
    <mergeCell ref="AJ8:AL8"/>
    <mergeCell ref="AV47:AX47"/>
    <mergeCell ref="AV8:AX8"/>
  </mergeCells>
  <dataValidations count="1">
    <dataValidation type="whole" operator="lessThan" allowBlank="1" showInputMessage="1" showErrorMessage="1" errorTitle="Negatief bedrag" error="Gelieve negatief bedrag in te geven" sqref="V23">
      <formula1>0</formula1>
    </dataValidation>
  </dataValidations>
  <pageMargins left="0.70866141732283472" right="0.70866141732283472" top="0.74803149606299213" bottom="0.74803149606299213" header="0.31496062992125984" footer="0.31496062992125984"/>
  <pageSetup paperSize="8" scale="27" fitToHeight="3" orientation="landscape" r:id="rId1"/>
  <colBreaks count="1" manualBreakCount="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S51"/>
  <sheetViews>
    <sheetView view="pageBreakPreview" zoomScale="60" zoomScaleNormal="80" workbookViewId="0">
      <selection activeCell="H35" sqref="H35"/>
    </sheetView>
  </sheetViews>
  <sheetFormatPr defaultColWidth="9.109375" defaultRowHeight="13.2"/>
  <cols>
    <col min="1" max="1" width="7.33203125" style="485" customWidth="1"/>
    <col min="2" max="2" width="7" style="485" customWidth="1"/>
    <col min="3" max="3" width="46.6640625" style="485" customWidth="1"/>
    <col min="4" max="4" width="25.6640625" style="517" bestFit="1" customWidth="1"/>
    <col min="5" max="5" width="25.6640625" style="517" hidden="1" customWidth="1"/>
    <col min="6" max="7" width="25.6640625" style="517" customWidth="1"/>
    <col min="8" max="8" width="26" style="485" customWidth="1"/>
    <col min="9" max="9" width="24.109375" style="485" customWidth="1"/>
    <col min="10" max="10" width="2" style="485" customWidth="1"/>
    <col min="11" max="11" width="20.88671875" style="485" customWidth="1"/>
    <col min="12" max="12" width="22.88671875" style="485" customWidth="1"/>
    <col min="13" max="13" width="2" style="485" customWidth="1"/>
    <col min="14" max="14" width="24.6640625" style="485" customWidth="1"/>
    <col min="15" max="15" width="2" style="485" customWidth="1"/>
    <col min="16" max="16" width="22.6640625" style="485" customWidth="1"/>
    <col min="17" max="17" width="1.88671875" style="485" customWidth="1"/>
    <col min="18" max="18" width="22" style="485" customWidth="1"/>
    <col min="19" max="19" width="2.88671875" style="485" customWidth="1"/>
    <col min="20" max="16384" width="9.109375" style="485"/>
  </cols>
  <sheetData>
    <row r="1" spans="1:19" s="478" customFormat="1" ht="23.25" customHeight="1" thickBot="1">
      <c r="A1" s="1673" t="str">
        <f>"TABEL 7: "&amp;TITELBLAD!C7&amp;" - ELEKTRICITEIT - Tarieflijst distributienettarieven "&amp;TITELBLAD!C5&amp;" - Injectie"</f>
        <v>TABEL 7: Inter-energa - ELEKTRICITEIT - Tarieflijst distributienettarieven 2017 - Injectie</v>
      </c>
      <c r="B1" s="1674"/>
      <c r="C1" s="1674"/>
      <c r="D1" s="1674"/>
      <c r="E1" s="1674"/>
      <c r="F1" s="1674"/>
      <c r="G1" s="1674"/>
      <c r="H1" s="1674"/>
      <c r="I1" s="1674"/>
      <c r="J1" s="1674"/>
      <c r="K1" s="1674"/>
      <c r="L1" s="1674"/>
      <c r="M1" s="1674"/>
      <c r="N1" s="1674"/>
      <c r="O1" s="1674"/>
      <c r="P1" s="1674"/>
      <c r="Q1" s="1674"/>
      <c r="R1" s="1674"/>
      <c r="S1" s="1675"/>
    </row>
    <row r="2" spans="1:19" s="481" customFormat="1" ht="10.199999999999999">
      <c r="A2" s="479"/>
      <c r="B2" s="479"/>
      <c r="C2" s="479"/>
      <c r="D2" s="480"/>
      <c r="E2" s="480"/>
      <c r="F2" s="480"/>
      <c r="G2" s="480"/>
    </row>
    <row r="3" spans="1:19" ht="18" thickBot="1">
      <c r="A3" s="482"/>
      <c r="B3" s="483"/>
      <c r="C3" s="483"/>
      <c r="D3" s="484"/>
      <c r="E3" s="484"/>
      <c r="F3" s="484"/>
      <c r="G3" s="484"/>
    </row>
    <row r="4" spans="1:19" s="1243" customFormat="1" ht="15" customHeight="1">
      <c r="A4" s="1238"/>
      <c r="B4" s="1239"/>
      <c r="C4" s="1239"/>
      <c r="D4" s="1240"/>
      <c r="E4" s="1241"/>
      <c r="F4" s="1242"/>
      <c r="G4" s="1242"/>
      <c r="I4" s="1714" t="s">
        <v>72</v>
      </c>
      <c r="K4" s="1716" t="s">
        <v>285</v>
      </c>
      <c r="L4" s="1717"/>
      <c r="N4" s="1714" t="s">
        <v>73</v>
      </c>
      <c r="P4" s="1714" t="s">
        <v>102</v>
      </c>
      <c r="R4" s="1714" t="s">
        <v>103</v>
      </c>
    </row>
    <row r="5" spans="1:19" s="1243" customFormat="1" ht="12.75" customHeight="1">
      <c r="A5" s="1244"/>
      <c r="B5" s="1245"/>
      <c r="C5" s="1245"/>
      <c r="D5" s="1246"/>
      <c r="E5" s="306" t="s">
        <v>329</v>
      </c>
      <c r="F5" s="306" t="s">
        <v>128</v>
      </c>
      <c r="G5" s="307" t="s">
        <v>419</v>
      </c>
      <c r="I5" s="1715"/>
      <c r="K5" s="1718"/>
      <c r="L5" s="1719"/>
      <c r="N5" s="1715"/>
      <c r="P5" s="1715"/>
      <c r="R5" s="1715"/>
    </row>
    <row r="6" spans="1:19" s="1243" customFormat="1" ht="11.25" customHeight="1" thickBot="1">
      <c r="A6" s="1244"/>
      <c r="B6" s="1245"/>
      <c r="C6" s="1245"/>
      <c r="D6" s="1246"/>
      <c r="E6" s="1247"/>
      <c r="F6" s="1248"/>
      <c r="G6" s="1248"/>
      <c r="H6" s="1249"/>
      <c r="I6" s="1715"/>
      <c r="J6" s="1249"/>
      <c r="K6" s="1720"/>
      <c r="L6" s="1721"/>
      <c r="M6" s="1249"/>
      <c r="N6" s="1715"/>
      <c r="O6" s="1249"/>
      <c r="P6" s="1715"/>
      <c r="R6" s="1715"/>
    </row>
    <row r="7" spans="1:19" s="1243" customFormat="1" ht="21.75" customHeight="1" thickBot="1">
      <c r="A7" s="1244"/>
      <c r="B7" s="1245"/>
      <c r="C7" s="1245"/>
      <c r="D7" s="1246"/>
      <c r="E7" s="1247"/>
      <c r="F7" s="1248"/>
      <c r="G7" s="1248"/>
      <c r="H7" s="1237" t="s">
        <v>125</v>
      </c>
      <c r="I7" s="322"/>
      <c r="K7" s="1559" t="s">
        <v>462</v>
      </c>
      <c r="L7" s="1559" t="s">
        <v>463</v>
      </c>
      <c r="N7" s="322"/>
      <c r="P7" s="322"/>
      <c r="R7" s="322"/>
    </row>
    <row r="8" spans="1:19" s="1243" customFormat="1" ht="29.25" customHeight="1" thickBot="1">
      <c r="A8" s="1250"/>
      <c r="B8" s="1251"/>
      <c r="C8" s="1251"/>
      <c r="D8" s="1252"/>
      <c r="E8" s="1253"/>
      <c r="F8" s="1254"/>
      <c r="G8" s="1254"/>
      <c r="H8" s="1237" t="s">
        <v>126</v>
      </c>
      <c r="I8" s="322"/>
      <c r="K8" s="322"/>
      <c r="L8" s="322"/>
      <c r="N8" s="322"/>
      <c r="P8" s="322"/>
      <c r="R8" s="322"/>
    </row>
    <row r="9" spans="1:19" s="483" customFormat="1" ht="16.5" customHeight="1">
      <c r="A9" s="486" t="s">
        <v>117</v>
      </c>
      <c r="B9" s="487"/>
      <c r="C9" s="488"/>
      <c r="D9" s="489"/>
      <c r="E9" s="490"/>
      <c r="F9" s="491"/>
      <c r="G9" s="491"/>
      <c r="H9" s="492"/>
      <c r="I9" s="1284"/>
      <c r="J9" s="492"/>
      <c r="K9" s="1284"/>
      <c r="L9" s="1284"/>
      <c r="M9" s="494"/>
      <c r="N9" s="1284"/>
      <c r="O9" s="494"/>
      <c r="P9" s="1284"/>
      <c r="Q9" s="494"/>
      <c r="R9" s="1284"/>
    </row>
    <row r="10" spans="1:19" s="483" customFormat="1" ht="16.5" customHeight="1">
      <c r="A10" s="495"/>
      <c r="B10" s="487"/>
      <c r="C10" s="496"/>
      <c r="D10" s="489"/>
      <c r="E10" s="497"/>
      <c r="F10" s="498"/>
      <c r="G10" s="498"/>
      <c r="H10" s="492"/>
      <c r="I10" s="493"/>
      <c r="J10" s="492"/>
      <c r="K10" s="493"/>
      <c r="L10" s="493"/>
      <c r="M10" s="494"/>
      <c r="N10" s="493"/>
      <c r="O10" s="494"/>
      <c r="P10" s="493"/>
      <c r="Q10" s="494"/>
      <c r="R10" s="493"/>
    </row>
    <row r="11" spans="1:19" s="483" customFormat="1" ht="16.5" customHeight="1">
      <c r="A11" s="495"/>
      <c r="B11" s="342" t="s">
        <v>120</v>
      </c>
      <c r="C11" s="343"/>
      <c r="D11" s="499" t="s">
        <v>123</v>
      </c>
      <c r="E11" s="1265"/>
      <c r="F11" s="1266"/>
      <c r="G11" s="1266"/>
      <c r="H11" s="492"/>
      <c r="I11" s="493"/>
      <c r="J11" s="492"/>
      <c r="K11" s="493"/>
      <c r="L11" s="493"/>
      <c r="M11" s="494"/>
      <c r="N11" s="493"/>
      <c r="O11" s="494"/>
      <c r="P11" s="493"/>
      <c r="Q11" s="494"/>
      <c r="R11" s="493"/>
    </row>
    <row r="12" spans="1:19" s="483" customFormat="1" ht="16.5" customHeight="1">
      <c r="A12" s="495"/>
      <c r="B12" s="992" t="s">
        <v>119</v>
      </c>
      <c r="C12" s="993"/>
      <c r="D12" s="499" t="s">
        <v>123</v>
      </c>
      <c r="E12" s="1265"/>
      <c r="F12" s="1266"/>
      <c r="G12" s="1266"/>
      <c r="H12" s="492"/>
      <c r="I12" s="493"/>
      <c r="J12" s="492"/>
      <c r="K12" s="493"/>
      <c r="L12" s="493"/>
      <c r="M12" s="494"/>
      <c r="N12" s="493"/>
      <c r="O12" s="494"/>
      <c r="P12" s="493"/>
      <c r="Q12" s="494"/>
      <c r="R12" s="493"/>
    </row>
    <row r="13" spans="1:19" s="483" customFormat="1" ht="16.5" customHeight="1">
      <c r="A13" s="495"/>
      <c r="B13" s="992" t="s">
        <v>121</v>
      </c>
      <c r="C13" s="993"/>
      <c r="D13" s="499" t="s">
        <v>123</v>
      </c>
      <c r="E13" s="1265"/>
      <c r="F13" s="1266"/>
      <c r="G13" s="1266"/>
      <c r="H13" s="492"/>
      <c r="I13" s="493"/>
      <c r="J13" s="492"/>
      <c r="K13" s="493"/>
      <c r="L13" s="493"/>
      <c r="M13" s="494"/>
      <c r="N13" s="493"/>
      <c r="O13" s="494"/>
      <c r="P13" s="493"/>
      <c r="Q13" s="494"/>
      <c r="R13" s="493"/>
    </row>
    <row r="14" spans="1:19" s="483" customFormat="1" ht="16.5" customHeight="1">
      <c r="A14" s="495"/>
      <c r="B14" s="992"/>
      <c r="C14" s="993"/>
      <c r="D14" s="499"/>
      <c r="E14" s="1267"/>
      <c r="F14" s="1266"/>
      <c r="G14" s="1266"/>
      <c r="H14" s="492"/>
      <c r="I14" s="493"/>
      <c r="J14" s="492"/>
      <c r="K14" s="493"/>
      <c r="L14" s="493"/>
      <c r="M14" s="494"/>
      <c r="N14" s="493"/>
      <c r="O14" s="494"/>
      <c r="P14" s="493"/>
      <c r="Q14" s="494"/>
      <c r="R14" s="493"/>
    </row>
    <row r="15" spans="1:19" s="483" customFormat="1" ht="16.5" customHeight="1">
      <c r="A15" s="495" t="s">
        <v>15</v>
      </c>
      <c r="B15" s="487" t="s">
        <v>174</v>
      </c>
      <c r="C15" s="500"/>
      <c r="D15" s="499" t="s">
        <v>114</v>
      </c>
      <c r="E15" s="1268"/>
      <c r="F15" s="1269"/>
      <c r="G15" s="1269"/>
      <c r="H15" s="492"/>
      <c r="I15" s="493"/>
      <c r="J15" s="492"/>
      <c r="K15" s="493"/>
      <c r="L15" s="493"/>
      <c r="M15" s="494"/>
      <c r="N15" s="493"/>
      <c r="O15" s="494"/>
      <c r="P15" s="493"/>
      <c r="Q15" s="494"/>
      <c r="R15" s="493"/>
    </row>
    <row r="16" spans="1:19" s="483" customFormat="1" ht="16.5" customHeight="1">
      <c r="A16" s="501"/>
      <c r="B16" s="502" t="s">
        <v>79</v>
      </c>
      <c r="C16" s="502" t="s">
        <v>175</v>
      </c>
      <c r="D16" s="503"/>
      <c r="E16" s="1265"/>
      <c r="F16" s="1265" t="s">
        <v>390</v>
      </c>
      <c r="G16" s="1403">
        <v>0.21</v>
      </c>
      <c r="H16" s="492"/>
      <c r="I16" s="1285">
        <v>2.0819999999999999E-4</v>
      </c>
      <c r="J16" s="1286"/>
      <c r="K16" s="1285">
        <f>N16</f>
        <v>2.0819999999999999E-4</v>
      </c>
      <c r="L16" s="1285">
        <f>N16</f>
        <v>2.0819999999999999E-4</v>
      </c>
      <c r="M16" s="1286"/>
      <c r="N16" s="1285">
        <v>2.0819999999999999E-4</v>
      </c>
      <c r="O16" s="1286"/>
      <c r="P16" s="1285">
        <v>2.0819999999999999E-4</v>
      </c>
      <c r="Q16" s="1286"/>
      <c r="R16" s="1285">
        <v>2.0819999999999999E-4</v>
      </c>
    </row>
    <row r="17" spans="1:19" s="483" customFormat="1" ht="16.5" customHeight="1">
      <c r="A17" s="501"/>
      <c r="B17" s="502"/>
      <c r="C17" s="502"/>
      <c r="D17" s="503"/>
      <c r="E17" s="1270"/>
      <c r="F17" s="1271"/>
      <c r="G17" s="1404"/>
      <c r="H17" s="492"/>
      <c r="I17" s="1287"/>
      <c r="J17" s="1286"/>
      <c r="K17" s="1287"/>
      <c r="L17" s="1287"/>
      <c r="M17" s="1286"/>
      <c r="N17" s="1287"/>
      <c r="O17" s="1286"/>
      <c r="P17" s="1287"/>
      <c r="Q17" s="1286"/>
      <c r="R17" s="1287"/>
    </row>
    <row r="18" spans="1:19" s="483" customFormat="1" ht="14.25" customHeight="1">
      <c r="A18" s="505" t="s">
        <v>39</v>
      </c>
      <c r="B18" s="1712" t="s">
        <v>35</v>
      </c>
      <c r="C18" s="1712"/>
      <c r="D18" s="1713"/>
      <c r="E18" s="1261"/>
      <c r="F18" s="1262"/>
      <c r="G18" s="1434"/>
      <c r="H18" s="506"/>
      <c r="I18" s="1288"/>
      <c r="J18" s="1289"/>
      <c r="K18" s="1288"/>
      <c r="L18" s="1288"/>
      <c r="M18" s="1289"/>
      <c r="N18" s="1288"/>
      <c r="O18" s="1289"/>
      <c r="P18" s="1288"/>
      <c r="Q18" s="1289"/>
      <c r="R18" s="1288"/>
    </row>
    <row r="19" spans="1:19" s="483" customFormat="1" ht="16.5" customHeight="1">
      <c r="A19" s="507"/>
      <c r="B19" s="496"/>
      <c r="C19" s="508" t="s">
        <v>36</v>
      </c>
      <c r="D19" s="358" t="s">
        <v>176</v>
      </c>
      <c r="E19" s="1265"/>
      <c r="F19" s="1265" t="s">
        <v>391</v>
      </c>
      <c r="G19" s="1403">
        <v>0.21</v>
      </c>
      <c r="H19" s="492"/>
      <c r="I19" s="472">
        <v>465</v>
      </c>
      <c r="J19" s="494"/>
      <c r="K19" s="472">
        <f>N19</f>
        <v>465</v>
      </c>
      <c r="L19" s="472">
        <f>N19</f>
        <v>465</v>
      </c>
      <c r="M19" s="494"/>
      <c r="N19" s="472">
        <f>$I$19</f>
        <v>465</v>
      </c>
      <c r="O19" s="494"/>
      <c r="P19" s="472">
        <f>$I$19</f>
        <v>465</v>
      </c>
      <c r="Q19" s="494"/>
      <c r="R19" s="472">
        <f>$I$19</f>
        <v>465</v>
      </c>
      <c r="S19" s="509"/>
    </row>
    <row r="20" spans="1:19" s="483" customFormat="1" ht="16.5" customHeight="1">
      <c r="A20" s="507"/>
      <c r="B20" s="496"/>
      <c r="C20" s="508" t="s">
        <v>37</v>
      </c>
      <c r="D20" s="358" t="s">
        <v>176</v>
      </c>
      <c r="E20" s="1265"/>
      <c r="F20" s="1265" t="s">
        <v>391</v>
      </c>
      <c r="G20" s="1403">
        <v>0.21</v>
      </c>
      <c r="H20" s="492"/>
      <c r="I20" s="472">
        <v>96</v>
      </c>
      <c r="J20" s="494"/>
      <c r="K20" s="472">
        <f>N20</f>
        <v>96</v>
      </c>
      <c r="L20" s="472">
        <f>N20</f>
        <v>96</v>
      </c>
      <c r="M20" s="494"/>
      <c r="N20" s="472">
        <f>$I$20</f>
        <v>96</v>
      </c>
      <c r="O20" s="494"/>
      <c r="P20" s="472">
        <f>$I$20</f>
        <v>96</v>
      </c>
      <c r="Q20" s="494"/>
      <c r="R20" s="472">
        <f>$I$20</f>
        <v>96</v>
      </c>
      <c r="S20" s="509"/>
    </row>
    <row r="21" spans="1:19" s="483" customFormat="1" ht="16.5" customHeight="1">
      <c r="A21" s="507"/>
      <c r="B21" s="496"/>
      <c r="C21" s="508" t="s">
        <v>38</v>
      </c>
      <c r="D21" s="358" t="s">
        <v>176</v>
      </c>
      <c r="E21" s="1265"/>
      <c r="F21" s="1265" t="s">
        <v>391</v>
      </c>
      <c r="G21" s="1403">
        <v>0.21</v>
      </c>
      <c r="H21" s="492"/>
      <c r="I21" s="472">
        <v>4.2</v>
      </c>
      <c r="J21" s="494"/>
      <c r="K21" s="472">
        <f>N21</f>
        <v>4.2</v>
      </c>
      <c r="L21" s="472">
        <f>N21</f>
        <v>4.2</v>
      </c>
      <c r="M21" s="494"/>
      <c r="N21" s="472">
        <f>$I$21</f>
        <v>4.2</v>
      </c>
      <c r="O21" s="494"/>
      <c r="P21" s="472">
        <f>$I$21</f>
        <v>4.2</v>
      </c>
      <c r="Q21" s="494"/>
      <c r="R21" s="472">
        <f>$I$21</f>
        <v>4.2</v>
      </c>
      <c r="S21" s="509"/>
    </row>
    <row r="22" spans="1:19" s="483" customFormat="1" ht="16.5" customHeight="1">
      <c r="A22" s="507"/>
      <c r="B22" s="496"/>
      <c r="C22" s="508"/>
      <c r="D22" s="510"/>
      <c r="E22" s="1268"/>
      <c r="F22" s="1269"/>
      <c r="G22" s="1406"/>
      <c r="H22" s="494"/>
      <c r="I22" s="1290"/>
      <c r="J22" s="1286"/>
      <c r="K22" s="1290"/>
      <c r="L22" s="1290"/>
      <c r="M22" s="1286"/>
      <c r="N22" s="1290"/>
      <c r="O22" s="1286"/>
      <c r="P22" s="1290"/>
      <c r="Q22" s="1286"/>
      <c r="R22" s="1290"/>
    </row>
    <row r="23" spans="1:19" s="483" customFormat="1" ht="16.5" customHeight="1">
      <c r="A23" s="501" t="s">
        <v>41</v>
      </c>
      <c r="B23" s="496" t="s">
        <v>42</v>
      </c>
      <c r="C23" s="496"/>
      <c r="D23" s="510"/>
      <c r="E23" s="1268"/>
      <c r="F23" s="1269"/>
      <c r="G23" s="1406"/>
      <c r="H23" s="492"/>
      <c r="I23" s="1291"/>
      <c r="J23" s="1286"/>
      <c r="K23" s="1291"/>
      <c r="L23" s="1291"/>
      <c r="M23" s="1286"/>
      <c r="N23" s="1291"/>
      <c r="O23" s="1286"/>
      <c r="P23" s="1291"/>
      <c r="Q23" s="1286"/>
      <c r="R23" s="1291"/>
    </row>
    <row r="24" spans="1:19" s="483" customFormat="1" ht="16.5" customHeight="1">
      <c r="A24" s="507"/>
      <c r="B24" s="502"/>
      <c r="C24" s="502" t="s">
        <v>43</v>
      </c>
      <c r="D24" s="499" t="s">
        <v>114</v>
      </c>
      <c r="E24" s="1265"/>
      <c r="F24" s="1265" t="s">
        <v>393</v>
      </c>
      <c r="G24" s="1403">
        <v>0.21</v>
      </c>
      <c r="H24" s="492"/>
      <c r="I24" s="1285">
        <v>0</v>
      </c>
      <c r="J24" s="1286"/>
      <c r="K24" s="1285">
        <f>N24</f>
        <v>4.8690000000000002E-4</v>
      </c>
      <c r="L24" s="1285">
        <f>N24</f>
        <v>4.8690000000000002E-4</v>
      </c>
      <c r="M24" s="1286"/>
      <c r="N24" s="1285">
        <v>4.8690000000000002E-4</v>
      </c>
      <c r="O24" s="1286"/>
      <c r="P24" s="1285">
        <v>1.5483999999999999E-3</v>
      </c>
      <c r="Q24" s="1286"/>
      <c r="R24" s="1285">
        <v>1.7907000000000001E-3</v>
      </c>
    </row>
    <row r="25" spans="1:19" s="483" customFormat="1" ht="16.5" customHeight="1">
      <c r="A25" s="507"/>
      <c r="B25" s="496"/>
      <c r="C25" s="496"/>
      <c r="D25" s="503"/>
      <c r="E25" s="1270"/>
      <c r="F25" s="1271"/>
      <c r="G25" s="1404"/>
      <c r="H25" s="506"/>
      <c r="I25" s="1290"/>
      <c r="J25" s="1289"/>
      <c r="K25" s="1290"/>
      <c r="L25" s="1290"/>
      <c r="M25" s="1289"/>
      <c r="N25" s="1290"/>
      <c r="O25" s="1286"/>
      <c r="P25" s="1290"/>
      <c r="Q25" s="1286"/>
      <c r="R25" s="1290"/>
    </row>
    <row r="26" spans="1:19" s="483" customFormat="1" ht="16.5" customHeight="1">
      <c r="A26" s="501" t="s">
        <v>45</v>
      </c>
      <c r="B26" s="496" t="s">
        <v>46</v>
      </c>
      <c r="C26" s="496"/>
      <c r="D26" s="510"/>
      <c r="E26" s="1268"/>
      <c r="F26" s="1269"/>
      <c r="G26" s="1406"/>
      <c r="H26" s="492"/>
      <c r="I26" s="1291"/>
      <c r="J26" s="1286"/>
      <c r="K26" s="1291"/>
      <c r="L26" s="1291"/>
      <c r="M26" s="1286"/>
      <c r="N26" s="1291"/>
      <c r="O26" s="1286"/>
      <c r="P26" s="1291"/>
      <c r="Q26" s="1286"/>
      <c r="R26" s="1291"/>
    </row>
    <row r="27" spans="1:19" s="483" customFormat="1" ht="32.25" customHeight="1">
      <c r="A27" s="507"/>
      <c r="B27" s="987" t="s">
        <v>54</v>
      </c>
      <c r="C27" s="988" t="s">
        <v>56</v>
      </c>
      <c r="D27" s="511" t="s">
        <v>114</v>
      </c>
      <c r="E27" s="1524"/>
      <c r="F27" s="1524"/>
      <c r="G27" s="1525"/>
      <c r="H27" s="1529"/>
      <c r="I27" s="1530"/>
      <c r="J27" s="1531"/>
      <c r="K27" s="1530"/>
      <c r="L27" s="1530"/>
      <c r="M27" s="1531"/>
      <c r="N27" s="1530"/>
      <c r="O27" s="1531"/>
      <c r="P27" s="1530"/>
      <c r="Q27" s="1531"/>
      <c r="R27" s="1530"/>
    </row>
    <row r="28" spans="1:19" s="483" customFormat="1" ht="27.75" customHeight="1">
      <c r="A28" s="507"/>
      <c r="B28" s="987" t="s">
        <v>55</v>
      </c>
      <c r="C28" s="989" t="s">
        <v>296</v>
      </c>
      <c r="D28" s="511" t="s">
        <v>114</v>
      </c>
      <c r="E28" s="1524"/>
      <c r="F28" s="1524"/>
      <c r="G28" s="1525"/>
      <c r="H28" s="1529"/>
      <c r="I28" s="1530"/>
      <c r="J28" s="1531"/>
      <c r="K28" s="1530"/>
      <c r="L28" s="1530"/>
      <c r="M28" s="1531"/>
      <c r="N28" s="1530"/>
      <c r="O28" s="1531"/>
      <c r="P28" s="1530"/>
      <c r="Q28" s="1531"/>
      <c r="R28" s="1530"/>
    </row>
    <row r="29" spans="1:19" s="483" customFormat="1" ht="16.5" customHeight="1">
      <c r="A29" s="507"/>
      <c r="B29" s="987" t="s">
        <v>85</v>
      </c>
      <c r="C29" s="990" t="s">
        <v>58</v>
      </c>
      <c r="D29" s="511" t="s">
        <v>114</v>
      </c>
      <c r="E29" s="1524"/>
      <c r="F29" s="1524"/>
      <c r="G29" s="1525"/>
      <c r="H29" s="1529"/>
      <c r="I29" s="1530"/>
      <c r="J29" s="1531"/>
      <c r="K29" s="1530"/>
      <c r="L29" s="1530"/>
      <c r="M29" s="1531"/>
      <c r="N29" s="1530"/>
      <c r="O29" s="1531"/>
      <c r="P29" s="1530"/>
      <c r="Q29" s="1531"/>
      <c r="R29" s="1530"/>
    </row>
    <row r="30" spans="1:19" s="483" customFormat="1" ht="18" customHeight="1">
      <c r="A30" s="507"/>
      <c r="B30" s="987" t="s">
        <v>59</v>
      </c>
      <c r="C30" s="990" t="s">
        <v>47</v>
      </c>
      <c r="D30" s="511" t="s">
        <v>114</v>
      </c>
      <c r="E30" s="1272"/>
      <c r="F30" s="1272" t="s">
        <v>395</v>
      </c>
      <c r="G30" s="1408">
        <v>0.21</v>
      </c>
      <c r="H30" s="512"/>
      <c r="I30" s="1292">
        <v>2.9710000000000001E-4</v>
      </c>
      <c r="J30" s="1293"/>
      <c r="K30" s="1292">
        <f>N30</f>
        <v>5.708E-4</v>
      </c>
      <c r="L30" s="1292">
        <f>N30</f>
        <v>5.708E-4</v>
      </c>
      <c r="M30" s="1293"/>
      <c r="N30" s="1292">
        <v>5.708E-4</v>
      </c>
      <c r="O30" s="1293"/>
      <c r="P30" s="1292">
        <v>9.5356999999999994E-3</v>
      </c>
      <c r="Q30" s="1293"/>
      <c r="R30" s="1292">
        <v>2.9704000000000002E-3</v>
      </c>
    </row>
    <row r="31" spans="1:19" s="483" customFormat="1" ht="16.5" customHeight="1">
      <c r="A31" s="507"/>
      <c r="B31" s="987" t="s">
        <v>60</v>
      </c>
      <c r="C31" s="990" t="s">
        <v>294</v>
      </c>
      <c r="D31" s="511" t="s">
        <v>114</v>
      </c>
      <c r="E31" s="1524"/>
      <c r="F31" s="1524"/>
      <c r="G31" s="1525"/>
      <c r="H31" s="1529"/>
      <c r="I31" s="1530"/>
      <c r="J31" s="1531"/>
      <c r="K31" s="1530"/>
      <c r="L31" s="1530"/>
      <c r="M31" s="1531"/>
      <c r="N31" s="1530"/>
      <c r="O31" s="1531"/>
      <c r="P31" s="1530"/>
      <c r="Q31" s="1531"/>
      <c r="R31" s="1530"/>
    </row>
    <row r="32" spans="1:19" s="483" customFormat="1" ht="39.75" customHeight="1">
      <c r="A32" s="507"/>
      <c r="B32" s="991" t="s">
        <v>113</v>
      </c>
      <c r="C32" s="990" t="s">
        <v>48</v>
      </c>
      <c r="D32" s="511" t="s">
        <v>114</v>
      </c>
      <c r="E32" s="1272"/>
      <c r="F32" s="1272" t="s">
        <v>396</v>
      </c>
      <c r="G32" s="1408">
        <v>0.21</v>
      </c>
      <c r="H32" s="512"/>
      <c r="I32" s="1292">
        <v>5.5099999999999998E-5</v>
      </c>
      <c r="J32" s="1293"/>
      <c r="K32" s="1292">
        <f>N32</f>
        <v>1.059E-4</v>
      </c>
      <c r="L32" s="1292">
        <f>N32</f>
        <v>1.059E-4</v>
      </c>
      <c r="M32" s="1293"/>
      <c r="N32" s="1292">
        <v>1.059E-4</v>
      </c>
      <c r="O32" s="1293"/>
      <c r="P32" s="1292">
        <v>1.769E-3</v>
      </c>
      <c r="Q32" s="1293"/>
      <c r="R32" s="1292">
        <v>5.5099999999999995E-4</v>
      </c>
    </row>
    <row r="33" spans="1:18" s="1243" customFormat="1" ht="16.5" customHeight="1" thickBot="1">
      <c r="A33" s="1255"/>
      <c r="B33" s="1256"/>
      <c r="C33" s="1256"/>
      <c r="D33" s="1257"/>
      <c r="E33" s="1263"/>
      <c r="F33" s="1264"/>
      <c r="G33" s="1264"/>
      <c r="H33" s="1258"/>
      <c r="I33" s="1259"/>
      <c r="J33" s="1258"/>
      <c r="K33" s="1259"/>
      <c r="L33" s="1259"/>
      <c r="M33" s="1260"/>
      <c r="N33" s="1259"/>
      <c r="O33" s="1260"/>
      <c r="P33" s="1259"/>
      <c r="Q33" s="1260"/>
      <c r="R33" s="1259"/>
    </row>
    <row r="34" spans="1:18" s="513" customFormat="1" ht="13.5" customHeight="1">
      <c r="D34" s="514"/>
      <c r="E34" s="514"/>
      <c r="F34" s="514"/>
      <c r="G34" s="514"/>
      <c r="H34" s="515"/>
      <c r="I34" s="515"/>
      <c r="J34" s="515"/>
      <c r="K34" s="515"/>
      <c r="L34" s="516"/>
      <c r="M34" s="515"/>
      <c r="N34" s="516"/>
      <c r="O34" s="515"/>
      <c r="P34" s="516"/>
    </row>
    <row r="35" spans="1:18" s="1561" customFormat="1" ht="13.5" customHeight="1">
      <c r="B35" s="1561" t="s">
        <v>458</v>
      </c>
      <c r="C35" s="1561" t="s">
        <v>460</v>
      </c>
      <c r="H35" s="1562"/>
      <c r="I35" s="1562"/>
      <c r="J35" s="1562"/>
      <c r="K35" s="1562"/>
      <c r="L35" s="1562"/>
      <c r="M35" s="1562"/>
      <c r="N35" s="1562"/>
      <c r="O35" s="1562"/>
      <c r="P35" s="1562"/>
    </row>
    <row r="36" spans="1:18" s="1561" customFormat="1" ht="13.5" customHeight="1">
      <c r="H36" s="1562"/>
      <c r="I36" s="1562"/>
      <c r="J36" s="1562"/>
      <c r="K36" s="1562"/>
      <c r="L36" s="1562"/>
      <c r="M36" s="1562"/>
      <c r="N36" s="1562"/>
      <c r="O36" s="1562"/>
      <c r="P36" s="1562"/>
    </row>
    <row r="37" spans="1:18" s="1561" customFormat="1" ht="13.5" customHeight="1">
      <c r="H37" s="1562"/>
      <c r="I37" s="1562"/>
      <c r="J37" s="1562"/>
      <c r="K37" s="1562"/>
      <c r="L37" s="1562"/>
      <c r="M37" s="1562"/>
      <c r="N37" s="1562"/>
      <c r="O37" s="1562"/>
      <c r="P37" s="1562"/>
    </row>
    <row r="38" spans="1:18" s="513" customFormat="1" ht="13.5" customHeight="1">
      <c r="H38" s="515"/>
      <c r="I38" s="515"/>
      <c r="J38" s="515"/>
      <c r="K38" s="515"/>
      <c r="L38" s="515"/>
      <c r="M38" s="515"/>
      <c r="N38" s="515"/>
      <c r="O38" s="515"/>
      <c r="P38" s="515"/>
    </row>
    <row r="39" spans="1:18" s="513" customFormat="1" ht="21">
      <c r="A39" s="1441" t="s">
        <v>399</v>
      </c>
      <c r="B39" s="1442"/>
      <c r="C39" s="1443"/>
      <c r="D39" s="1444"/>
      <c r="F39" s="514"/>
      <c r="G39" s="514"/>
      <c r="H39" s="515"/>
      <c r="I39" s="515"/>
      <c r="J39" s="515"/>
      <c r="K39" s="515"/>
      <c r="L39" s="515"/>
      <c r="M39" s="515"/>
      <c r="N39" s="515"/>
      <c r="O39" s="515"/>
      <c r="P39" s="515"/>
    </row>
    <row r="40" spans="1:18" s="513" customFormat="1" ht="13.5" customHeight="1">
      <c r="D40" s="514"/>
      <c r="E40" s="514"/>
      <c r="F40" s="514"/>
      <c r="G40" s="514"/>
      <c r="H40" s="515"/>
      <c r="I40" s="515"/>
      <c r="J40" s="515"/>
      <c r="K40" s="515"/>
      <c r="L40" s="515"/>
      <c r="M40" s="515"/>
      <c r="N40" s="515"/>
      <c r="O40" s="515"/>
      <c r="P40" s="515"/>
    </row>
    <row r="41" spans="1:18" ht="13.5" customHeight="1">
      <c r="A41" s="1450" t="s">
        <v>15</v>
      </c>
      <c r="B41" s="1450" t="s">
        <v>174</v>
      </c>
      <c r="C41" s="1450"/>
      <c r="D41" s="1451"/>
      <c r="E41" s="514"/>
      <c r="H41" s="515"/>
      <c r="I41" s="1500"/>
    </row>
    <row r="42" spans="1:18" ht="13.5" customHeight="1">
      <c r="A42" s="1454"/>
      <c r="B42" s="1454"/>
      <c r="C42" s="1483" t="s">
        <v>411</v>
      </c>
      <c r="D42" s="1480"/>
      <c r="E42" s="514"/>
      <c r="H42" s="515"/>
      <c r="I42" s="1501"/>
      <c r="N42" s="1501"/>
      <c r="O42" s="515"/>
      <c r="P42" s="1501"/>
      <c r="Q42" s="513"/>
      <c r="R42" s="1501"/>
    </row>
    <row r="43" spans="1:18" ht="13.5" customHeight="1">
      <c r="A43" s="1454"/>
      <c r="B43" s="1450"/>
      <c r="C43" s="1479"/>
      <c r="D43" s="1479"/>
      <c r="E43" s="514"/>
      <c r="H43" s="515"/>
      <c r="I43" s="1501"/>
      <c r="N43" s="1501"/>
      <c r="O43" s="515"/>
      <c r="P43" s="1501"/>
      <c r="Q43" s="513"/>
      <c r="R43" s="1501"/>
    </row>
    <row r="44" spans="1:18" ht="17.25" customHeight="1">
      <c r="A44" s="1450" t="s">
        <v>39</v>
      </c>
      <c r="B44" s="1450" t="s">
        <v>35</v>
      </c>
      <c r="C44" s="1450"/>
      <c r="D44" s="1480"/>
      <c r="I44" s="1440"/>
      <c r="N44" s="1440"/>
      <c r="P44" s="1440"/>
      <c r="R44" s="1440"/>
    </row>
    <row r="45" spans="1:18" ht="17.25" customHeight="1">
      <c r="A45" s="1454"/>
      <c r="B45" s="1454"/>
      <c r="C45" s="1483" t="s">
        <v>414</v>
      </c>
      <c r="D45" s="1480"/>
    </row>
    <row r="46" spans="1:18">
      <c r="A46" s="1454"/>
      <c r="B46" s="1454"/>
      <c r="C46" s="1483" t="s">
        <v>415</v>
      </c>
      <c r="D46" s="1480"/>
    </row>
    <row r="47" spans="1:18">
      <c r="A47" s="1450" t="s">
        <v>41</v>
      </c>
      <c r="B47" s="1450" t="s">
        <v>42</v>
      </c>
      <c r="C47" s="1450"/>
      <c r="D47" s="1480"/>
    </row>
    <row r="48" spans="1:18">
      <c r="A48" s="1454"/>
      <c r="B48" s="1450"/>
      <c r="C48" s="1450" t="s">
        <v>43</v>
      </c>
      <c r="D48" s="1480"/>
    </row>
    <row r="49" spans="1:4">
      <c r="A49" s="1490"/>
      <c r="B49" s="1491"/>
      <c r="C49" s="1483" t="s">
        <v>411</v>
      </c>
      <c r="D49" s="1480"/>
    </row>
    <row r="50" spans="1:4">
      <c r="A50" s="1450" t="s">
        <v>45</v>
      </c>
      <c r="B50" s="1450" t="s">
        <v>46</v>
      </c>
      <c r="C50" s="1450"/>
      <c r="D50" s="1480"/>
    </row>
    <row r="51" spans="1:4">
      <c r="A51" s="1450"/>
      <c r="B51" s="1459"/>
      <c r="C51" s="1483" t="s">
        <v>411</v>
      </c>
      <c r="D51" s="1480"/>
    </row>
  </sheetData>
  <mergeCells count="7">
    <mergeCell ref="B18:D18"/>
    <mergeCell ref="A1:S1"/>
    <mergeCell ref="I4:I6"/>
    <mergeCell ref="N4:N6"/>
    <mergeCell ref="P4:P6"/>
    <mergeCell ref="R4:R6"/>
    <mergeCell ref="K4:L6"/>
  </mergeCells>
  <conditionalFormatting sqref="A39:D39 A42:D42 B41">
    <cfRule type="expression" dxfId="19" priority="34" stopIfTrue="1">
      <formula>"&lt;0"</formula>
    </cfRule>
  </conditionalFormatting>
  <conditionalFormatting sqref="A39:D39 A42:D42 B41">
    <cfRule type="cellIs" dxfId="18" priority="33" stopIfTrue="1" operator="lessThan">
      <formula>0</formula>
    </cfRule>
  </conditionalFormatting>
  <conditionalFormatting sqref="A47:D49">
    <cfRule type="expression" dxfId="17" priority="28" stopIfTrue="1">
      <formula>"&lt;0"</formula>
    </cfRule>
  </conditionalFormatting>
  <conditionalFormatting sqref="A47:D49">
    <cfRule type="cellIs" dxfId="16" priority="27" stopIfTrue="1" operator="lessThan">
      <formula>0</formula>
    </cfRule>
  </conditionalFormatting>
  <conditionalFormatting sqref="A45:D46 B44:D44">
    <cfRule type="expression" dxfId="15" priority="32" stopIfTrue="1">
      <formula>"&lt;0"</formula>
    </cfRule>
  </conditionalFormatting>
  <conditionalFormatting sqref="A45:D46 B44:D44">
    <cfRule type="cellIs" dxfId="14" priority="31" stopIfTrue="1" operator="lessThan">
      <formula>0</formula>
    </cfRule>
  </conditionalFormatting>
  <conditionalFormatting sqref="A43:D43">
    <cfRule type="expression" dxfId="13" priority="30" stopIfTrue="1">
      <formula>"&lt;0"</formula>
    </cfRule>
  </conditionalFormatting>
  <conditionalFormatting sqref="A43:D43">
    <cfRule type="cellIs" dxfId="12" priority="29" stopIfTrue="1" operator="lessThan">
      <formula>0</formula>
    </cfRule>
  </conditionalFormatting>
  <conditionalFormatting sqref="A44">
    <cfRule type="expression" dxfId="11" priority="20" stopIfTrue="1">
      <formula>"&lt;0"</formula>
    </cfRule>
  </conditionalFormatting>
  <conditionalFormatting sqref="A44">
    <cfRule type="cellIs" dxfId="10" priority="19" stopIfTrue="1" operator="lessThan">
      <formula>0</formula>
    </cfRule>
  </conditionalFormatting>
  <conditionalFormatting sqref="A41 C41:D41">
    <cfRule type="expression" dxfId="9" priority="26" stopIfTrue="1">
      <formula>"&lt;0"</formula>
    </cfRule>
  </conditionalFormatting>
  <conditionalFormatting sqref="A41 C41:D41">
    <cfRule type="cellIs" dxfId="8" priority="25" stopIfTrue="1" operator="lessThan">
      <formula>0</formula>
    </cfRule>
  </conditionalFormatting>
  <conditionalFormatting sqref="C51">
    <cfRule type="expression" dxfId="7" priority="22" stopIfTrue="1">
      <formula>"&lt;0"</formula>
    </cfRule>
  </conditionalFormatting>
  <conditionalFormatting sqref="C51">
    <cfRule type="cellIs" dxfId="6" priority="21" stopIfTrue="1" operator="lessThan">
      <formula>0</formula>
    </cfRule>
  </conditionalFormatting>
  <conditionalFormatting sqref="A50:D50 A51:B51 D51">
    <cfRule type="expression" dxfId="5" priority="24" stopIfTrue="1">
      <formula>"&lt;0"</formula>
    </cfRule>
  </conditionalFormatting>
  <conditionalFormatting sqref="A50:D50 A51:B51 D51">
    <cfRule type="cellIs" dxfId="4" priority="23" stopIfTrue="1" operator="lessThan">
      <formula>0</formula>
    </cfRule>
  </conditionalFormatting>
  <conditionalFormatting sqref="I44">
    <cfRule type="cellIs" dxfId="3" priority="18" stopIfTrue="1" operator="notEqual">
      <formula>"ok"</formula>
    </cfRule>
  </conditionalFormatting>
  <conditionalFormatting sqref="N44">
    <cfRule type="cellIs" dxfId="2" priority="17" stopIfTrue="1" operator="notEqual">
      <formula>"ok"</formula>
    </cfRule>
  </conditionalFormatting>
  <conditionalFormatting sqref="P44">
    <cfRule type="cellIs" dxfId="1" priority="16" stopIfTrue="1" operator="notEqual">
      <formula>"ok"</formula>
    </cfRule>
  </conditionalFormatting>
  <conditionalFormatting sqref="R44">
    <cfRule type="cellIs" dxfId="0" priority="15" stopIfTrue="1" operator="notEqual">
      <formula>"ok"</formula>
    </cfRule>
  </conditionalFormatting>
  <pageMargins left="7.874015748031496E-2" right="7.874015748031496E-2" top="0.39370078740157483" bottom="0.39370078740157483" header="0.31496062992125984" footer="0.31496062992125984"/>
  <pageSetup paperSize="9" scale="4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Blad8"/>
  <dimension ref="A1:AD36"/>
  <sheetViews>
    <sheetView view="pageBreakPreview" zoomScale="60" zoomScaleNormal="80" workbookViewId="0">
      <selection activeCell="B34" sqref="B34:D36"/>
    </sheetView>
  </sheetViews>
  <sheetFormatPr defaultColWidth="9.109375" defaultRowHeight="14.4"/>
  <cols>
    <col min="1" max="1" width="22.109375" style="51" customWidth="1"/>
    <col min="2" max="2" width="18.44140625" style="51" customWidth="1"/>
    <col min="3" max="3" width="26.109375" style="51" customWidth="1"/>
    <col min="4" max="4" width="16.6640625" style="51" bestFit="1" customWidth="1"/>
    <col min="5" max="5" width="22.5546875" style="51" customWidth="1"/>
    <col min="6" max="6" width="13.5546875" style="51" bestFit="1" customWidth="1"/>
    <col min="7" max="7" width="18.88671875" style="51" customWidth="1"/>
    <col min="8" max="8" width="19.33203125" style="51" customWidth="1"/>
    <col min="9" max="9" width="18.109375" style="51" customWidth="1"/>
    <col min="10" max="10" width="21.88671875" style="51" customWidth="1"/>
    <col min="11" max="11" width="22.6640625" style="51" customWidth="1"/>
    <col min="12" max="12" width="14.44140625" style="51" bestFit="1" customWidth="1"/>
    <col min="13" max="13" width="19" style="51" customWidth="1"/>
    <col min="14" max="14" width="20.6640625" style="51" customWidth="1"/>
    <col min="15" max="16" width="18.109375" style="51" customWidth="1"/>
    <col min="17" max="17" width="22.44140625" style="51" customWidth="1"/>
    <col min="18" max="18" width="18.33203125" style="51" customWidth="1"/>
    <col min="19" max="19" width="20.44140625" style="51" customWidth="1"/>
    <col min="20" max="20" width="21.6640625" style="51" customWidth="1"/>
    <col min="21" max="16384" width="9.109375" style="51"/>
  </cols>
  <sheetData>
    <row r="1" spans="1:30" s="518" customFormat="1" ht="23.25" customHeight="1" thickBot="1">
      <c r="A1" s="1704" t="str">
        <f>"TABEL 8: Reconciliatie van het gebudgetteerd inkomen voor de gereguleerde activiteit 'elektriciteit' met de geraamde omzet voor de periodieke tarieven (injectie) "</f>
        <v xml:space="preserve">TABEL 8: Reconciliatie van het gebudgetteerd inkomen voor de gereguleerde activiteit 'elektriciteit' met de geraamde omzet voor de periodieke tarieven (injectie) </v>
      </c>
      <c r="B1" s="1705"/>
      <c r="C1" s="1705"/>
      <c r="D1" s="1705"/>
      <c r="E1" s="1705"/>
      <c r="F1" s="1705"/>
      <c r="G1" s="1705"/>
      <c r="H1" s="1705"/>
      <c r="I1" s="1705"/>
      <c r="J1" s="1705"/>
      <c r="K1" s="1705"/>
      <c r="L1" s="1706"/>
    </row>
    <row r="2" spans="1:30" ht="15" thickBot="1">
      <c r="A2" s="47"/>
      <c r="B2" s="47"/>
      <c r="C2" s="47"/>
      <c r="D2" s="519"/>
      <c r="E2" s="519"/>
    </row>
    <row r="3" spans="1:30" ht="15" thickBot="1">
      <c r="A3" s="46" t="s">
        <v>14</v>
      </c>
      <c r="B3" s="47"/>
      <c r="C3" s="1601" t="str">
        <f>+TITELBLAD!$C$7</f>
        <v>Inter-energa</v>
      </c>
      <c r="D3" s="1602"/>
      <c r="E3" s="1602"/>
      <c r="F3" s="1603"/>
      <c r="G3" s="49"/>
      <c r="H3" s="49"/>
      <c r="I3" s="49"/>
      <c r="J3" s="49"/>
      <c r="K3" s="49"/>
      <c r="L3" s="49"/>
      <c r="M3" s="49"/>
      <c r="N3" s="49"/>
      <c r="O3" s="49"/>
      <c r="P3" s="49"/>
      <c r="Q3" s="49"/>
      <c r="R3" s="49"/>
      <c r="S3" s="49"/>
      <c r="T3" s="49"/>
      <c r="U3" s="49"/>
      <c r="V3" s="49"/>
      <c r="W3" s="49"/>
      <c r="X3" s="49"/>
      <c r="Y3" s="49"/>
      <c r="Z3" s="49"/>
      <c r="AA3" s="49"/>
      <c r="AB3" s="49"/>
      <c r="AC3" s="49"/>
      <c r="AD3" s="50"/>
    </row>
    <row r="5" spans="1:30" ht="15" thickBot="1"/>
    <row r="6" spans="1:30" ht="15" thickBot="1">
      <c r="B6" s="1722" t="s">
        <v>33</v>
      </c>
      <c r="C6" s="1723"/>
      <c r="D6" s="1724"/>
      <c r="E6" s="1722" t="s">
        <v>179</v>
      </c>
      <c r="F6" s="1723"/>
      <c r="G6" s="1723"/>
      <c r="H6" s="1723"/>
      <c r="I6" s="1723"/>
      <c r="J6" s="1723"/>
      <c r="K6" s="1724"/>
      <c r="L6" s="1722" t="s">
        <v>42</v>
      </c>
      <c r="M6" s="1723"/>
      <c r="N6" s="1724"/>
      <c r="O6" s="1722" t="s">
        <v>180</v>
      </c>
      <c r="P6" s="1723"/>
      <c r="Q6" s="1724"/>
      <c r="R6" s="1722" t="s">
        <v>180</v>
      </c>
      <c r="S6" s="1723"/>
      <c r="T6" s="1724"/>
    </row>
    <row r="7" spans="1:30">
      <c r="B7" s="1725" t="s">
        <v>142</v>
      </c>
      <c r="C7" s="1726"/>
      <c r="D7" s="1727"/>
      <c r="E7" s="1725" t="s">
        <v>143</v>
      </c>
      <c r="F7" s="1726"/>
      <c r="G7" s="1726"/>
      <c r="H7" s="1726"/>
      <c r="I7" s="1726"/>
      <c r="J7" s="1726"/>
      <c r="K7" s="1727"/>
      <c r="L7" s="1725" t="s">
        <v>145</v>
      </c>
      <c r="M7" s="1726"/>
      <c r="N7" s="1727"/>
      <c r="O7" s="1725" t="s">
        <v>181</v>
      </c>
      <c r="P7" s="1726"/>
      <c r="Q7" s="1727"/>
      <c r="R7" s="1725" t="s">
        <v>147</v>
      </c>
      <c r="S7" s="1726"/>
      <c r="T7" s="1727"/>
    </row>
    <row r="8" spans="1:30" ht="15" thickBot="1">
      <c r="B8" s="422" t="s">
        <v>123</v>
      </c>
      <c r="C8" s="423" t="s">
        <v>149</v>
      </c>
      <c r="D8" s="424" t="s">
        <v>150</v>
      </c>
      <c r="E8" s="422" t="s">
        <v>36</v>
      </c>
      <c r="F8" s="423" t="s">
        <v>37</v>
      </c>
      <c r="G8" s="423" t="s">
        <v>165</v>
      </c>
      <c r="H8" s="423" t="s">
        <v>153</v>
      </c>
      <c r="I8" s="423" t="s">
        <v>154</v>
      </c>
      <c r="J8" s="423" t="s">
        <v>166</v>
      </c>
      <c r="K8" s="424" t="s">
        <v>150</v>
      </c>
      <c r="L8" s="422" t="s">
        <v>123</v>
      </c>
      <c r="M8" s="423" t="s">
        <v>149</v>
      </c>
      <c r="N8" s="424" t="s">
        <v>150</v>
      </c>
      <c r="O8" s="422" t="s">
        <v>123</v>
      </c>
      <c r="P8" s="423" t="s">
        <v>149</v>
      </c>
      <c r="Q8" s="424" t="s">
        <v>150</v>
      </c>
      <c r="R8" s="422" t="s">
        <v>123</v>
      </c>
      <c r="S8" s="423" t="s">
        <v>149</v>
      </c>
      <c r="T8" s="424" t="s">
        <v>150</v>
      </c>
    </row>
    <row r="9" spans="1:30">
      <c r="A9" s="520"/>
      <c r="B9" s="521"/>
      <c r="C9" s="522"/>
      <c r="D9" s="523"/>
      <c r="E9" s="521"/>
      <c r="F9" s="522"/>
      <c r="G9" s="522"/>
      <c r="H9" s="522"/>
      <c r="I9" s="522"/>
      <c r="J9" s="522"/>
      <c r="K9" s="523"/>
      <c r="L9" s="521"/>
      <c r="M9" s="522"/>
      <c r="N9" s="523"/>
      <c r="O9" s="521"/>
      <c r="P9" s="522"/>
      <c r="Q9" s="523"/>
      <c r="R9" s="521"/>
      <c r="S9" s="522"/>
      <c r="T9" s="523"/>
    </row>
    <row r="10" spans="1:30">
      <c r="A10" s="524" t="s">
        <v>177</v>
      </c>
      <c r="B10" s="538">
        <v>5673450</v>
      </c>
      <c r="C10" s="1294">
        <f>'T7'!I16</f>
        <v>2.0819999999999999E-4</v>
      </c>
      <c r="D10" s="525">
        <f>B10*C10</f>
        <v>1181.2122899999999</v>
      </c>
      <c r="E10" s="538">
        <v>3</v>
      </c>
      <c r="F10" s="539">
        <v>0</v>
      </c>
      <c r="G10" s="539">
        <v>0</v>
      </c>
      <c r="H10" s="539">
        <f>'T7'!I19</f>
        <v>465</v>
      </c>
      <c r="I10" s="539">
        <f>'T7'!I20</f>
        <v>96</v>
      </c>
      <c r="J10" s="539">
        <f>'T7'!I21</f>
        <v>4.2</v>
      </c>
      <c r="K10" s="525">
        <f>(E10*H10)+(F10*I10)+(G10*J10)</f>
        <v>1395</v>
      </c>
      <c r="L10" s="538">
        <f>B10</f>
        <v>5673450</v>
      </c>
      <c r="M10" s="1294">
        <f>'T7'!I24</f>
        <v>0</v>
      </c>
      <c r="N10" s="525">
        <f>L10*M10</f>
        <v>0</v>
      </c>
      <c r="O10" s="538">
        <f>B10</f>
        <v>5673450</v>
      </c>
      <c r="P10" s="1294">
        <f>'T7'!I30</f>
        <v>2.9710000000000001E-4</v>
      </c>
      <c r="Q10" s="525">
        <f>O10*P10</f>
        <v>1685.581995</v>
      </c>
      <c r="R10" s="538">
        <f>B10</f>
        <v>5673450</v>
      </c>
      <c r="S10" s="1294">
        <f>'T7'!I32</f>
        <v>5.5099999999999998E-5</v>
      </c>
      <c r="T10" s="525">
        <f>R10*S10</f>
        <v>312.60709499999996</v>
      </c>
    </row>
    <row r="11" spans="1:30" hidden="1">
      <c r="A11" s="524" t="s">
        <v>285</v>
      </c>
      <c r="B11" s="538"/>
      <c r="C11" s="1294"/>
      <c r="D11" s="525">
        <f>B11*C11</f>
        <v>0</v>
      </c>
      <c r="E11" s="538"/>
      <c r="F11" s="539"/>
      <c r="G11" s="539"/>
      <c r="H11" s="539"/>
      <c r="I11" s="539"/>
      <c r="J11" s="539"/>
      <c r="K11" s="525">
        <f>(E11*H11)+(F11*I11)+(G11*J11)</f>
        <v>0</v>
      </c>
      <c r="L11" s="538"/>
      <c r="M11" s="1294"/>
      <c r="N11" s="525">
        <f>L11*M11</f>
        <v>0</v>
      </c>
      <c r="O11" s="538"/>
      <c r="P11" s="1294"/>
      <c r="Q11" s="525">
        <f>O11*P11</f>
        <v>0</v>
      </c>
      <c r="R11" s="538"/>
      <c r="S11" s="1294"/>
      <c r="T11" s="525">
        <f>R11*S11</f>
        <v>0</v>
      </c>
    </row>
    <row r="12" spans="1:30">
      <c r="A12" s="524" t="s">
        <v>73</v>
      </c>
      <c r="B12" s="469">
        <v>530389684</v>
      </c>
      <c r="C12" s="1294">
        <f>'T7'!N16</f>
        <v>2.0819999999999999E-4</v>
      </c>
      <c r="D12" s="525">
        <f>B12*C12</f>
        <v>110427.1322088</v>
      </c>
      <c r="E12" s="538">
        <v>629</v>
      </c>
      <c r="F12" s="539">
        <v>123</v>
      </c>
      <c r="G12" s="539">
        <v>0</v>
      </c>
      <c r="H12" s="539">
        <f>'T7'!N19</f>
        <v>465</v>
      </c>
      <c r="I12" s="539">
        <f>'T7'!N20</f>
        <v>96</v>
      </c>
      <c r="J12" s="539">
        <f>'T7'!N21</f>
        <v>4.2</v>
      </c>
      <c r="K12" s="525">
        <f>(E12*H12)+(F12*I12)+(G12*J12)</f>
        <v>304293</v>
      </c>
      <c r="L12" s="538">
        <f>B12</f>
        <v>530389684</v>
      </c>
      <c r="M12" s="1294">
        <f>'T7'!N24</f>
        <v>4.8690000000000002E-4</v>
      </c>
      <c r="N12" s="525">
        <f>L12*M12</f>
        <v>258246.73713960001</v>
      </c>
      <c r="O12" s="538">
        <f>B12</f>
        <v>530389684</v>
      </c>
      <c r="P12" s="1294">
        <f>'T7'!N30</f>
        <v>5.708E-4</v>
      </c>
      <c r="Q12" s="525">
        <f>O12*P12</f>
        <v>302746.43162719999</v>
      </c>
      <c r="R12" s="538">
        <f>B12</f>
        <v>530389684</v>
      </c>
      <c r="S12" s="1294">
        <f>'T7'!N32</f>
        <v>1.059E-4</v>
      </c>
      <c r="T12" s="525">
        <f>R12*S12</f>
        <v>56168.267535599996</v>
      </c>
    </row>
    <row r="13" spans="1:30">
      <c r="A13" s="524" t="s">
        <v>178</v>
      </c>
      <c r="B13" s="469">
        <v>1323669</v>
      </c>
      <c r="C13" s="1294">
        <f>'T7'!P16</f>
        <v>2.0819999999999999E-4</v>
      </c>
      <c r="D13" s="525">
        <f>B13*C13</f>
        <v>275.58788579999998</v>
      </c>
      <c r="E13" s="538">
        <v>32</v>
      </c>
      <c r="F13" s="539">
        <v>1</v>
      </c>
      <c r="G13" s="539">
        <v>0</v>
      </c>
      <c r="H13" s="539">
        <f>'T7'!P19</f>
        <v>465</v>
      </c>
      <c r="I13" s="539">
        <f>'T7'!P20</f>
        <v>96</v>
      </c>
      <c r="J13" s="539">
        <f>'T7'!P21</f>
        <v>4.2</v>
      </c>
      <c r="K13" s="525">
        <f>(E13*H13)+(F13*I13)+(G13*J13)</f>
        <v>14976</v>
      </c>
      <c r="L13" s="538">
        <f>B13</f>
        <v>1323669</v>
      </c>
      <c r="M13" s="1294">
        <f>'T7'!P24</f>
        <v>1.5483999999999999E-3</v>
      </c>
      <c r="N13" s="525">
        <f>L13*M13</f>
        <v>2049.5690795999999</v>
      </c>
      <c r="O13" s="538">
        <f>B13</f>
        <v>1323669</v>
      </c>
      <c r="P13" s="1294">
        <f>'T7'!P30</f>
        <v>9.5356999999999994E-3</v>
      </c>
      <c r="Q13" s="525">
        <f>O13*P13</f>
        <v>12622.110483299999</v>
      </c>
      <c r="R13" s="538">
        <f>B13</f>
        <v>1323669</v>
      </c>
      <c r="S13" s="1294">
        <f>'T7'!P32</f>
        <v>1.769E-3</v>
      </c>
      <c r="T13" s="525">
        <f>R13*S13</f>
        <v>2341.5704609999998</v>
      </c>
    </row>
    <row r="14" spans="1:30" ht="15" thickBot="1">
      <c r="A14" s="524" t="s">
        <v>103</v>
      </c>
      <c r="B14" s="469">
        <v>21616249</v>
      </c>
      <c r="C14" s="1294">
        <f>'T7'!R16</f>
        <v>2.0819999999999999E-4</v>
      </c>
      <c r="D14" s="525">
        <f>B14*C14</f>
        <v>4500.5030417999997</v>
      </c>
      <c r="E14" s="538">
        <v>145</v>
      </c>
      <c r="F14" s="539">
        <v>63</v>
      </c>
      <c r="G14" s="539">
        <v>255</v>
      </c>
      <c r="H14" s="539">
        <f>'T7'!R19</f>
        <v>465</v>
      </c>
      <c r="I14" s="539">
        <f>'T7'!R20</f>
        <v>96</v>
      </c>
      <c r="J14" s="539">
        <f>'T7'!R21</f>
        <v>4.2</v>
      </c>
      <c r="K14" s="525">
        <f>(E14*H14)+(F14*I14)+(G14*J14)</f>
        <v>74544</v>
      </c>
      <c r="L14" s="538">
        <f>B14</f>
        <v>21616249</v>
      </c>
      <c r="M14" s="1294">
        <f>'T7'!R24</f>
        <v>1.7907000000000001E-3</v>
      </c>
      <c r="N14" s="525">
        <f>L14*M14</f>
        <v>38708.217084300006</v>
      </c>
      <c r="O14" s="538">
        <f>B14</f>
        <v>21616249</v>
      </c>
      <c r="P14" s="1294">
        <f>'T7'!R30</f>
        <v>2.9704000000000002E-3</v>
      </c>
      <c r="Q14" s="525">
        <f>O14*P14</f>
        <v>64208.906029600003</v>
      </c>
      <c r="R14" s="538">
        <f>B14</f>
        <v>21616249</v>
      </c>
      <c r="S14" s="1294">
        <f>'T7'!R32</f>
        <v>5.5099999999999995E-4</v>
      </c>
      <c r="T14" s="525">
        <f>R14*S14</f>
        <v>11910.553198999998</v>
      </c>
    </row>
    <row r="15" spans="1:30" s="531" customFormat="1" ht="15" thickBot="1">
      <c r="A15" s="526" t="s">
        <v>62</v>
      </c>
      <c r="B15" s="527">
        <f>SUM(B10:B14)</f>
        <v>559003052</v>
      </c>
      <c r="C15" s="528"/>
      <c r="D15" s="529">
        <f t="shared" ref="D15:K15" si="0">SUM(D10:D14)</f>
        <v>116384.4354264</v>
      </c>
      <c r="E15" s="527">
        <f t="shared" si="0"/>
        <v>809</v>
      </c>
      <c r="F15" s="528">
        <f t="shared" si="0"/>
        <v>187</v>
      </c>
      <c r="G15" s="528">
        <f t="shared" si="0"/>
        <v>255</v>
      </c>
      <c r="H15" s="528"/>
      <c r="I15" s="528"/>
      <c r="J15" s="530"/>
      <c r="K15" s="529">
        <f t="shared" si="0"/>
        <v>395208</v>
      </c>
      <c r="L15" s="527">
        <f t="shared" ref="L15:T15" si="1">SUM(L10:L14)</f>
        <v>559003052</v>
      </c>
      <c r="M15" s="528"/>
      <c r="N15" s="529">
        <f t="shared" si="1"/>
        <v>299004.52330350003</v>
      </c>
      <c r="O15" s="527">
        <f t="shared" si="1"/>
        <v>559003052</v>
      </c>
      <c r="P15" s="528"/>
      <c r="Q15" s="529">
        <f>SUM(Q10:Q14)</f>
        <v>381263.03013510001</v>
      </c>
      <c r="R15" s="527">
        <f t="shared" si="1"/>
        <v>559003052</v>
      </c>
      <c r="S15" s="528"/>
      <c r="T15" s="529">
        <f t="shared" si="1"/>
        <v>70732.998290599993</v>
      </c>
    </row>
    <row r="18" spans="1:4" ht="15" thickBot="1"/>
    <row r="19" spans="1:4" ht="51" customHeight="1" thickBot="1">
      <c r="B19" s="1295" t="s">
        <v>148</v>
      </c>
      <c r="C19" s="1298" t="s">
        <v>346</v>
      </c>
      <c r="D19" s="1295" t="s">
        <v>136</v>
      </c>
    </row>
    <row r="20" spans="1:4" ht="15" thickBot="1">
      <c r="B20" s="417" t="s">
        <v>156</v>
      </c>
      <c r="C20" s="1299" t="s">
        <v>307</v>
      </c>
      <c r="D20" s="417" t="s">
        <v>158</v>
      </c>
    </row>
    <row r="21" spans="1:4">
      <c r="A21" s="532"/>
      <c r="B21" s="533"/>
      <c r="C21" s="534"/>
      <c r="D21" s="534"/>
    </row>
    <row r="22" spans="1:4">
      <c r="A22" s="524" t="s">
        <v>177</v>
      </c>
      <c r="B22" s="535">
        <f t="shared" ref="B22:B27" si="2">SUM(D10,K10,N10,Q10,T10)</f>
        <v>4574.4013800000002</v>
      </c>
      <c r="C22" s="1300">
        <f>+'T3'!G81+'T3'!H81</f>
        <v>4574.4629048978231</v>
      </c>
      <c r="D22" s="535">
        <f>B22-C22</f>
        <v>-6.1524897822891944E-2</v>
      </c>
    </row>
    <row r="23" spans="1:4" hidden="1">
      <c r="A23" s="524" t="s">
        <v>285</v>
      </c>
      <c r="B23" s="535">
        <f t="shared" si="2"/>
        <v>0</v>
      </c>
      <c r="C23" s="1300">
        <f>+'T3'!L81+'T3'!M81</f>
        <v>0</v>
      </c>
      <c r="D23" s="535">
        <f>B23-C23</f>
        <v>0</v>
      </c>
    </row>
    <row r="24" spans="1:4">
      <c r="A24" s="524" t="s">
        <v>73</v>
      </c>
      <c r="B24" s="535">
        <f t="shared" si="2"/>
        <v>1031881.5685112</v>
      </c>
      <c r="C24" s="1300">
        <f>+'T3'!Q81+'T3'!R81</f>
        <v>1031850.1978891033</v>
      </c>
      <c r="D24" s="535">
        <f>B24-C24</f>
        <v>31.370622096699663</v>
      </c>
    </row>
    <row r="25" spans="1:4">
      <c r="A25" s="524" t="s">
        <v>178</v>
      </c>
      <c r="B25" s="535">
        <f t="shared" si="2"/>
        <v>32264.837909699996</v>
      </c>
      <c r="C25" s="1300">
        <f>+'T3'!V81+'T3'!W81</f>
        <v>32264.789687085384</v>
      </c>
      <c r="D25" s="535">
        <f>B25-C25</f>
        <v>4.8222614612313919E-2</v>
      </c>
    </row>
    <row r="26" spans="1:4" ht="15" thickBot="1">
      <c r="A26" s="524" t="s">
        <v>103</v>
      </c>
      <c r="B26" s="535">
        <f t="shared" si="2"/>
        <v>193872.1793547</v>
      </c>
      <c r="C26" s="1300">
        <f>+'T3'!AA81+'T3'!AB81</f>
        <v>193870.87683955795</v>
      </c>
      <c r="D26" s="535">
        <f>B26-C26</f>
        <v>1.3025151420442853</v>
      </c>
    </row>
    <row r="27" spans="1:4" ht="15" thickBot="1">
      <c r="A27" s="526" t="s">
        <v>62</v>
      </c>
      <c r="B27" s="536">
        <f t="shared" si="2"/>
        <v>1262592.9871556</v>
      </c>
      <c r="C27" s="536">
        <f>+'T3'!AQ81+'T3'!AS81</f>
        <v>1262560.3273206444</v>
      </c>
      <c r="D27" s="536">
        <f>+B27-C27</f>
        <v>32.65983495558612</v>
      </c>
    </row>
    <row r="28" spans="1:4">
      <c r="A28" s="1296" t="s">
        <v>308</v>
      </c>
      <c r="B28" s="537">
        <f>SUM(B22:B26)-B27</f>
        <v>0</v>
      </c>
      <c r="C28" s="537">
        <f>SUM(C22:C26)-C27</f>
        <v>0</v>
      </c>
      <c r="D28" s="537">
        <f>SUM(D22:D26)-D27</f>
        <v>-5.2750692702829838E-11</v>
      </c>
    </row>
    <row r="31" spans="1:4" ht="15" thickBot="1"/>
    <row r="32" spans="1:4" ht="35.25" customHeight="1" thickBot="1">
      <c r="B32" s="1295" t="s">
        <v>148</v>
      </c>
      <c r="C32" s="1298" t="s">
        <v>346</v>
      </c>
      <c r="D32" s="1295" t="s">
        <v>136</v>
      </c>
    </row>
    <row r="33" spans="1:4" ht="15" thickBot="1">
      <c r="B33" s="417" t="s">
        <v>156</v>
      </c>
      <c r="C33" s="1299" t="s">
        <v>307</v>
      </c>
      <c r="D33" s="417" t="s">
        <v>158</v>
      </c>
    </row>
    <row r="34" spans="1:4">
      <c r="A34" s="532" t="s">
        <v>339</v>
      </c>
      <c r="B34" s="1366">
        <f>+'T5'!BC84</f>
        <v>232196181.3467961</v>
      </c>
      <c r="C34" s="1367">
        <f>+'T5'!BD84</f>
        <v>232195174.58661562</v>
      </c>
      <c r="D34" s="1367">
        <f>+B34-C34</f>
        <v>1006.7601804733276</v>
      </c>
    </row>
    <row r="35" spans="1:4" ht="15" thickBot="1">
      <c r="A35" s="524" t="s">
        <v>340</v>
      </c>
      <c r="B35" s="535">
        <f>+B27</f>
        <v>1262592.9871556</v>
      </c>
      <c r="C35" s="1300">
        <f>+C27</f>
        <v>1262560.3273206444</v>
      </c>
      <c r="D35" s="535">
        <f>+B35-C35</f>
        <v>32.65983495558612</v>
      </c>
    </row>
    <row r="36" spans="1:4" ht="15" thickBot="1">
      <c r="A36" s="526" t="s">
        <v>78</v>
      </c>
      <c r="B36" s="536">
        <f>+SUM(B34:B35)</f>
        <v>233458774.33395168</v>
      </c>
      <c r="C36" s="536">
        <f>+SUM('T3'!AQ81,'T3'!AS81,'T3'!AU81,'T3'!AW81)</f>
        <v>233457734.91393629</v>
      </c>
      <c r="D36" s="536">
        <f>+B36-C36</f>
        <v>1039.4200153946877</v>
      </c>
    </row>
  </sheetData>
  <mergeCells count="12">
    <mergeCell ref="B7:D7"/>
    <mergeCell ref="E7:K7"/>
    <mergeCell ref="L7:N7"/>
    <mergeCell ref="O7:Q7"/>
    <mergeCell ref="R7:T7"/>
    <mergeCell ref="A1:L1"/>
    <mergeCell ref="L6:N6"/>
    <mergeCell ref="O6:Q6"/>
    <mergeCell ref="C3:F3"/>
    <mergeCell ref="R6:T6"/>
    <mergeCell ref="B6:D6"/>
    <mergeCell ref="E6:K6"/>
  </mergeCells>
  <pageMargins left="0.7" right="0.7" top="0.75" bottom="0.75" header="0.3" footer="0.3"/>
  <pageSetup paperSize="8" scale="47" orientation="landscape" r:id="rId1"/>
  <ignoredErrors>
    <ignoredError sqref="C22:C26 C3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pageSetUpPr fitToPage="1"/>
  </sheetPr>
  <dimension ref="A1:AF39"/>
  <sheetViews>
    <sheetView view="pageBreakPreview" zoomScale="60" zoomScaleNormal="80" workbookViewId="0">
      <selection sqref="A1:I1"/>
    </sheetView>
  </sheetViews>
  <sheetFormatPr defaultColWidth="9.109375" defaultRowHeight="13.2"/>
  <cols>
    <col min="1" max="1" width="8.5546875" style="415" customWidth="1"/>
    <col min="2" max="2" width="72.44140625" style="415" bestFit="1" customWidth="1"/>
    <col min="3" max="3" width="27" style="415" bestFit="1" customWidth="1"/>
    <col min="4" max="5" width="27" style="415" customWidth="1"/>
    <col min="6" max="6" width="10.6640625" style="415" customWidth="1"/>
    <col min="7" max="7" width="27" style="415" customWidth="1"/>
    <col min="8" max="8" width="10.109375" style="415" customWidth="1"/>
    <col min="9" max="9" width="27" style="415" customWidth="1"/>
    <col min="10" max="16384" width="9.109375" style="415"/>
  </cols>
  <sheetData>
    <row r="1" spans="1:32" ht="18" thickBot="1">
      <c r="A1" s="1594" t="str">
        <f>"TABEL 9: Opdeling gebudgetteerd inkomen voor gereguleerde activiteit 'gas' volgens tariefcomponenten"</f>
        <v>TABEL 9: Opdeling gebudgetteerd inkomen voor gereguleerde activiteit 'gas' volgens tariefcomponenten</v>
      </c>
      <c r="B1" s="1595"/>
      <c r="C1" s="1595"/>
      <c r="D1" s="1595"/>
      <c r="E1" s="1595"/>
      <c r="F1" s="1595"/>
      <c r="G1" s="1595"/>
      <c r="H1" s="1595"/>
      <c r="I1" s="1596"/>
      <c r="J1" s="291"/>
      <c r="K1" s="292"/>
      <c r="L1" s="292"/>
    </row>
    <row r="2" spans="1:32" ht="13.8" thickBot="1"/>
    <row r="3" spans="1:32" s="51" customFormat="1" ht="15" thickBot="1">
      <c r="A3" s="46" t="s">
        <v>14</v>
      </c>
      <c r="B3" s="47"/>
      <c r="C3" s="1601" t="str">
        <f>+TITELBLAD!$C$7</f>
        <v>Inter-energa</v>
      </c>
      <c r="D3" s="1602"/>
      <c r="E3" s="1602"/>
      <c r="F3" s="1602"/>
      <c r="G3" s="1603"/>
      <c r="H3" s="48"/>
      <c r="I3" s="49"/>
      <c r="J3" s="49"/>
      <c r="K3" s="49"/>
      <c r="L3" s="49"/>
      <c r="M3" s="49"/>
      <c r="N3" s="49"/>
      <c r="O3" s="49"/>
      <c r="P3" s="49"/>
      <c r="Q3" s="49"/>
      <c r="R3" s="49"/>
      <c r="S3" s="49"/>
      <c r="T3" s="49"/>
      <c r="U3" s="49"/>
      <c r="V3" s="49"/>
      <c r="W3" s="49"/>
      <c r="X3" s="49"/>
      <c r="Y3" s="49"/>
      <c r="Z3" s="49"/>
      <c r="AA3" s="49"/>
      <c r="AB3" s="49"/>
      <c r="AC3" s="49"/>
      <c r="AD3" s="49"/>
      <c r="AE3" s="49"/>
      <c r="AF3" s="50"/>
    </row>
    <row r="5" spans="1:32" ht="15" customHeight="1" thickBot="1"/>
    <row r="6" spans="1:32" ht="15" customHeight="1">
      <c r="A6" s="1728"/>
      <c r="B6" s="1729"/>
      <c r="C6" s="1730"/>
      <c r="D6" s="540"/>
      <c r="E6" s="541"/>
      <c r="F6" s="542"/>
      <c r="G6" s="543"/>
      <c r="H6" s="542"/>
      <c r="I6" s="544"/>
    </row>
    <row r="7" spans="1:32" ht="21" customHeight="1">
      <c r="A7" s="1731"/>
      <c r="B7" s="1732"/>
      <c r="C7" s="1733"/>
      <c r="D7" s="540"/>
      <c r="E7" s="540"/>
      <c r="F7" s="545"/>
      <c r="G7" s="546"/>
      <c r="H7" s="545"/>
      <c r="I7" s="547"/>
    </row>
    <row r="8" spans="1:32" ht="21" customHeight="1">
      <c r="A8" s="1731"/>
      <c r="B8" s="1732"/>
      <c r="C8" s="1733"/>
      <c r="D8" s="540"/>
      <c r="E8" s="540" t="s">
        <v>50</v>
      </c>
      <c r="F8" s="545" t="s">
        <v>277</v>
      </c>
      <c r="G8" s="546" t="s">
        <v>316</v>
      </c>
      <c r="H8" s="545" t="s">
        <v>277</v>
      </c>
      <c r="I8" s="547" t="s">
        <v>62</v>
      </c>
    </row>
    <row r="9" spans="1:32" s="19" customFormat="1" ht="21" customHeight="1" thickBot="1">
      <c r="A9" s="1731"/>
      <c r="B9" s="1732"/>
      <c r="C9" s="1733"/>
      <c r="D9" s="540"/>
      <c r="E9" s="540"/>
      <c r="F9" s="545"/>
      <c r="G9" s="546"/>
      <c r="H9" s="545"/>
      <c r="I9" s="547"/>
    </row>
    <row r="10" spans="1:32" s="19" customFormat="1" ht="18" customHeight="1" thickBot="1">
      <c r="A10" s="1734"/>
      <c r="B10" s="1735"/>
      <c r="C10" s="1736"/>
      <c r="D10" s="540"/>
      <c r="E10" s="548"/>
      <c r="F10" s="549"/>
      <c r="G10" s="550"/>
      <c r="H10" s="549"/>
      <c r="I10" s="551"/>
    </row>
    <row r="11" spans="1:32" s="19" customFormat="1" ht="18.75" customHeight="1">
      <c r="A11" s="552" t="s">
        <v>195</v>
      </c>
      <c r="B11" s="553"/>
      <c r="C11" s="554"/>
      <c r="D11" s="555"/>
      <c r="E11" s="556">
        <f>SUM(E13,E20,E18)</f>
        <v>-6018189.8243671171</v>
      </c>
      <c r="F11" s="80">
        <f>E11/I11</f>
        <v>-0.13031264930574421</v>
      </c>
      <c r="G11" s="557">
        <f>SUM(G13,G20,G18)</f>
        <v>52200888.560289703</v>
      </c>
      <c r="H11" s="80">
        <f>G11/I11</f>
        <v>1.130312649305744</v>
      </c>
      <c r="I11" s="558">
        <f>SUM(E11,G11)</f>
        <v>46182698.73592259</v>
      </c>
    </row>
    <row r="12" spans="1:32" s="20" customFormat="1" ht="18" customHeight="1">
      <c r="A12" s="559"/>
      <c r="B12" s="553"/>
      <c r="C12" s="554"/>
      <c r="D12" s="555"/>
      <c r="E12" s="559"/>
      <c r="F12" s="560"/>
      <c r="G12" s="553"/>
      <c r="H12" s="560"/>
      <c r="I12" s="554"/>
    </row>
    <row r="13" spans="1:32" s="19" customFormat="1" ht="18" customHeight="1">
      <c r="A13" s="561" t="s">
        <v>196</v>
      </c>
      <c r="B13" s="562" t="s">
        <v>197</v>
      </c>
      <c r="C13" s="563"/>
      <c r="D13" s="564"/>
      <c r="E13" s="180">
        <v>-6159489.3451932566</v>
      </c>
      <c r="F13" s="85">
        <f>E13/I13</f>
        <v>-0.13638912326167049</v>
      </c>
      <c r="G13" s="181">
        <v>51320637.081115842</v>
      </c>
      <c r="H13" s="560">
        <f>G13/I13</f>
        <v>1.1363891232616705</v>
      </c>
      <c r="I13" s="565">
        <f>SUM(E13,G13)</f>
        <v>45161147.735922582</v>
      </c>
    </row>
    <row r="14" spans="1:32" s="19" customFormat="1" ht="18" customHeight="1">
      <c r="A14" s="559"/>
      <c r="B14" s="566" t="s">
        <v>198</v>
      </c>
      <c r="C14" s="567"/>
      <c r="D14" s="568"/>
      <c r="E14" s="569"/>
      <c r="F14" s="570"/>
      <c r="G14" s="571"/>
      <c r="H14" s="570"/>
      <c r="I14" s="567"/>
    </row>
    <row r="15" spans="1:32" s="19" customFormat="1" ht="18" customHeight="1">
      <c r="A15" s="559"/>
      <c r="B15" s="566" t="s">
        <v>199</v>
      </c>
      <c r="C15" s="567"/>
      <c r="D15" s="568"/>
      <c r="E15" s="569"/>
      <c r="F15" s="570"/>
      <c r="G15" s="571"/>
      <c r="H15" s="570"/>
      <c r="I15" s="567"/>
    </row>
    <row r="16" spans="1:32" s="19" customFormat="1" ht="17.25" customHeight="1">
      <c r="A16" s="559"/>
      <c r="B16" s="566" t="s">
        <v>200</v>
      </c>
      <c r="C16" s="567"/>
      <c r="D16" s="568"/>
      <c r="E16" s="569"/>
      <c r="F16" s="570"/>
      <c r="G16" s="571"/>
      <c r="H16" s="570"/>
      <c r="I16" s="567"/>
    </row>
    <row r="17" spans="1:9" s="19" customFormat="1" ht="18" customHeight="1">
      <c r="A17" s="559"/>
      <c r="B17" s="553"/>
      <c r="C17" s="572"/>
      <c r="D17" s="573"/>
      <c r="E17" s="574"/>
      <c r="F17" s="560"/>
      <c r="G17" s="566"/>
      <c r="H17" s="560"/>
      <c r="I17" s="572"/>
    </row>
    <row r="18" spans="1:9" s="19" customFormat="1" ht="19.5" customHeight="1">
      <c r="A18" s="561" t="s">
        <v>201</v>
      </c>
      <c r="B18" s="562" t="s">
        <v>202</v>
      </c>
      <c r="C18" s="567"/>
      <c r="D18" s="568"/>
      <c r="E18" s="180">
        <v>0</v>
      </c>
      <c r="F18" s="85" t="e">
        <f>E18/I18</f>
        <v>#DIV/0!</v>
      </c>
      <c r="G18" s="181">
        <v>0</v>
      </c>
      <c r="H18" s="560" t="e">
        <f>G18/I18</f>
        <v>#DIV/0!</v>
      </c>
      <c r="I18" s="565">
        <f>SUM(E18,G18)</f>
        <v>0</v>
      </c>
    </row>
    <row r="19" spans="1:9" s="19" customFormat="1" ht="14.25" customHeight="1">
      <c r="A19" s="559"/>
      <c r="B19" s="553"/>
      <c r="C19" s="572"/>
      <c r="D19" s="573"/>
      <c r="E19" s="574"/>
      <c r="F19" s="560"/>
      <c r="G19" s="566"/>
      <c r="H19" s="560"/>
      <c r="I19" s="572"/>
    </row>
    <row r="20" spans="1:9" s="19" customFormat="1" ht="18" customHeight="1">
      <c r="A20" s="561" t="s">
        <v>203</v>
      </c>
      <c r="B20" s="575" t="s">
        <v>204</v>
      </c>
      <c r="C20" s="572"/>
      <c r="D20" s="573"/>
      <c r="E20" s="180">
        <v>141299.52082613923</v>
      </c>
      <c r="F20" s="85">
        <f>E20/I20</f>
        <v>0.13831861632570397</v>
      </c>
      <c r="G20" s="181">
        <v>880251.47917386086</v>
      </c>
      <c r="H20" s="560">
        <f>G20/I20</f>
        <v>0.86168138367429603</v>
      </c>
      <c r="I20" s="565">
        <f>SUM(E20,G20)</f>
        <v>1021551.0000000001</v>
      </c>
    </row>
    <row r="21" spans="1:9" s="19" customFormat="1" ht="18" customHeight="1">
      <c r="A21" s="559"/>
      <c r="B21" s="566" t="s">
        <v>38</v>
      </c>
      <c r="C21" s="567"/>
      <c r="D21" s="568"/>
      <c r="E21" s="569"/>
      <c r="F21" s="570"/>
      <c r="G21" s="571"/>
      <c r="H21" s="570"/>
      <c r="I21" s="567"/>
    </row>
    <row r="22" spans="1:9" s="19" customFormat="1" ht="18" customHeight="1">
      <c r="A22" s="559"/>
      <c r="B22" s="566" t="s">
        <v>37</v>
      </c>
      <c r="C22" s="567"/>
      <c r="D22" s="568"/>
      <c r="E22" s="569"/>
      <c r="F22" s="570"/>
      <c r="G22" s="571"/>
      <c r="H22" s="570"/>
      <c r="I22" s="567"/>
    </row>
    <row r="23" spans="1:9" s="19" customFormat="1" ht="21" customHeight="1">
      <c r="A23" s="559"/>
      <c r="B23" s="566" t="s">
        <v>36</v>
      </c>
      <c r="C23" s="567"/>
      <c r="D23" s="568"/>
      <c r="E23" s="569"/>
      <c r="F23" s="570"/>
      <c r="G23" s="571"/>
      <c r="H23" s="570"/>
      <c r="I23" s="567"/>
    </row>
    <row r="24" spans="1:9" s="19" customFormat="1" ht="18" customHeight="1">
      <c r="A24" s="559"/>
      <c r="B24" s="553"/>
      <c r="C24" s="572"/>
      <c r="D24" s="573"/>
      <c r="E24" s="574"/>
      <c r="F24" s="560"/>
      <c r="G24" s="566"/>
      <c r="H24" s="560"/>
      <c r="I24" s="572"/>
    </row>
    <row r="25" spans="1:9" s="19" customFormat="1" ht="18" customHeight="1">
      <c r="A25" s="552" t="s">
        <v>205</v>
      </c>
      <c r="B25" s="553"/>
      <c r="C25" s="567"/>
      <c r="D25" s="568"/>
      <c r="E25" s="183">
        <v>-251439.74623360948</v>
      </c>
      <c r="F25" s="131">
        <f>E25/I25</f>
        <v>-0.22711847914125258</v>
      </c>
      <c r="G25" s="184">
        <v>1358526.0000000002</v>
      </c>
      <c r="H25" s="80">
        <f>G25/I25</f>
        <v>1.2271184791412526</v>
      </c>
      <c r="I25" s="558">
        <f>SUM(E25,G25)</f>
        <v>1107086.2537663907</v>
      </c>
    </row>
    <row r="26" spans="1:9" s="19" customFormat="1" ht="18" customHeight="1">
      <c r="A26" s="559"/>
      <c r="B26" s="553"/>
      <c r="C26" s="572"/>
      <c r="D26" s="573"/>
      <c r="E26" s="574"/>
      <c r="F26" s="560"/>
      <c r="G26" s="566"/>
      <c r="H26" s="560"/>
      <c r="I26" s="572"/>
    </row>
    <row r="27" spans="1:9" s="19" customFormat="1" ht="20.25" customHeight="1">
      <c r="A27" s="552" t="s">
        <v>309</v>
      </c>
      <c r="B27" s="553"/>
      <c r="C27" s="567"/>
      <c r="D27" s="568"/>
      <c r="E27" s="183">
        <v>0</v>
      </c>
      <c r="F27" s="131" t="e">
        <f>E27/I27</f>
        <v>#DIV/0!</v>
      </c>
      <c r="G27" s="184">
        <v>0</v>
      </c>
      <c r="H27" s="80" t="e">
        <f>G27/I27</f>
        <v>#DIV/0!</v>
      </c>
      <c r="I27" s="558">
        <f>SUM(E27,G27)</f>
        <v>0</v>
      </c>
    </row>
    <row r="28" spans="1:9" s="19" customFormat="1" ht="18" customHeight="1">
      <c r="A28" s="559"/>
      <c r="B28" s="553"/>
      <c r="C28" s="572"/>
      <c r="D28" s="573"/>
      <c r="E28" s="574"/>
      <c r="F28" s="560"/>
      <c r="G28" s="566"/>
      <c r="H28" s="560"/>
      <c r="I28" s="572"/>
    </row>
    <row r="29" spans="1:9" s="19" customFormat="1" ht="17.25" customHeight="1">
      <c r="A29" s="552" t="s">
        <v>310</v>
      </c>
      <c r="B29" s="553"/>
      <c r="C29" s="567"/>
      <c r="D29" s="568"/>
      <c r="E29" s="183">
        <v>0</v>
      </c>
      <c r="F29" s="131" t="e">
        <f>E29/I29</f>
        <v>#DIV/0!</v>
      </c>
      <c r="G29" s="184">
        <v>0</v>
      </c>
      <c r="H29" s="80" t="e">
        <f>G29/I29</f>
        <v>#DIV/0!</v>
      </c>
      <c r="I29" s="558">
        <f>SUM(E29,G29)</f>
        <v>0</v>
      </c>
    </row>
    <row r="30" spans="1:9" s="19" customFormat="1" ht="18" customHeight="1">
      <c r="A30" s="559"/>
      <c r="B30" s="553"/>
      <c r="C30" s="572"/>
      <c r="D30" s="573"/>
      <c r="E30" s="574"/>
      <c r="F30" s="560"/>
      <c r="G30" s="566"/>
      <c r="H30" s="560"/>
      <c r="I30" s="572"/>
    </row>
    <row r="31" spans="1:9" s="19" customFormat="1" ht="22.5" customHeight="1">
      <c r="A31" s="576" t="s">
        <v>311</v>
      </c>
      <c r="B31" s="553"/>
      <c r="C31" s="572"/>
      <c r="D31" s="573"/>
      <c r="E31" s="577">
        <f>SUM(E32:E37)</f>
        <v>11572961.844488038</v>
      </c>
      <c r="F31" s="578">
        <f t="shared" ref="F31:F37" si="0">E31/I31</f>
        <v>1</v>
      </c>
      <c r="G31" s="579">
        <f>SUM(G32:G37)</f>
        <v>0</v>
      </c>
      <c r="H31" s="578">
        <f>G31/I31</f>
        <v>0</v>
      </c>
      <c r="I31" s="580">
        <f>SUM(E31,G31)</f>
        <v>11572961.844488038</v>
      </c>
    </row>
    <row r="32" spans="1:9" s="19" customFormat="1" ht="18" customHeight="1">
      <c r="A32" s="581" t="s">
        <v>196</v>
      </c>
      <c r="B32" s="582" t="s">
        <v>215</v>
      </c>
      <c r="C32" s="583"/>
      <c r="D32" s="584"/>
      <c r="E32" s="182">
        <v>0</v>
      </c>
      <c r="F32" s="145" t="e">
        <f t="shared" si="0"/>
        <v>#DIV/0!</v>
      </c>
      <c r="G32" s="185">
        <v>0</v>
      </c>
      <c r="H32" s="585" t="e">
        <f t="shared" ref="H32:H37" si="1">G32/I32</f>
        <v>#DIV/0!</v>
      </c>
      <c r="I32" s="586">
        <f t="shared" ref="I32:I37" si="2">SUM(E32,G32)</f>
        <v>0</v>
      </c>
    </row>
    <row r="33" spans="1:9" s="19" customFormat="1" ht="18" customHeight="1">
      <c r="A33" s="581" t="s">
        <v>201</v>
      </c>
      <c r="B33" s="587" t="s">
        <v>296</v>
      </c>
      <c r="C33" s="583"/>
      <c r="D33" s="584"/>
      <c r="E33" s="182">
        <v>0</v>
      </c>
      <c r="F33" s="145" t="e">
        <f t="shared" si="0"/>
        <v>#DIV/0!</v>
      </c>
      <c r="G33" s="185">
        <v>0</v>
      </c>
      <c r="H33" s="585" t="e">
        <f t="shared" si="1"/>
        <v>#DIV/0!</v>
      </c>
      <c r="I33" s="586">
        <f t="shared" si="2"/>
        <v>0</v>
      </c>
    </row>
    <row r="34" spans="1:9" s="19" customFormat="1" ht="18" customHeight="1">
      <c r="A34" s="588" t="s">
        <v>203</v>
      </c>
      <c r="B34" s="582" t="s">
        <v>58</v>
      </c>
      <c r="C34" s="583"/>
      <c r="D34" s="584"/>
      <c r="E34" s="182">
        <v>0</v>
      </c>
      <c r="F34" s="145" t="e">
        <f t="shared" si="0"/>
        <v>#DIV/0!</v>
      </c>
      <c r="G34" s="185">
        <v>0</v>
      </c>
      <c r="H34" s="585" t="e">
        <f t="shared" si="1"/>
        <v>#DIV/0!</v>
      </c>
      <c r="I34" s="586">
        <f t="shared" si="2"/>
        <v>0</v>
      </c>
    </row>
    <row r="35" spans="1:9" s="19" customFormat="1" ht="18" customHeight="1">
      <c r="A35" s="588" t="s">
        <v>211</v>
      </c>
      <c r="B35" s="587" t="s">
        <v>212</v>
      </c>
      <c r="C35" s="583"/>
      <c r="D35" s="584"/>
      <c r="E35" s="182">
        <v>7684969.0800000001</v>
      </c>
      <c r="F35" s="145">
        <f t="shared" si="0"/>
        <v>1</v>
      </c>
      <c r="G35" s="185">
        <v>0</v>
      </c>
      <c r="H35" s="585">
        <f t="shared" si="1"/>
        <v>0</v>
      </c>
      <c r="I35" s="586">
        <f t="shared" si="2"/>
        <v>7684969.0800000001</v>
      </c>
    </row>
    <row r="36" spans="1:9" s="19" customFormat="1" ht="18" customHeight="1">
      <c r="A36" s="588" t="s">
        <v>213</v>
      </c>
      <c r="B36" s="587" t="s">
        <v>294</v>
      </c>
      <c r="C36" s="583"/>
      <c r="D36" s="584"/>
      <c r="E36" s="182">
        <v>0</v>
      </c>
      <c r="F36" s="145" t="e">
        <f t="shared" si="0"/>
        <v>#DIV/0!</v>
      </c>
      <c r="G36" s="185">
        <v>0</v>
      </c>
      <c r="H36" s="585" t="e">
        <f t="shared" si="1"/>
        <v>#DIV/0!</v>
      </c>
      <c r="I36" s="586">
        <f t="shared" si="2"/>
        <v>0</v>
      </c>
    </row>
    <row r="37" spans="1:9" s="19" customFormat="1" ht="31.5" customHeight="1">
      <c r="A37" s="589" t="s">
        <v>214</v>
      </c>
      <c r="B37" s="590" t="s">
        <v>216</v>
      </c>
      <c r="C37" s="591"/>
      <c r="D37" s="592"/>
      <c r="E37" s="611">
        <v>3887992.7644880377</v>
      </c>
      <c r="F37" s="593">
        <f t="shared" si="0"/>
        <v>1</v>
      </c>
      <c r="G37" s="612">
        <v>0</v>
      </c>
      <c r="H37" s="594">
        <f t="shared" si="1"/>
        <v>0</v>
      </c>
      <c r="I37" s="595">
        <f t="shared" si="2"/>
        <v>3887992.7644880377</v>
      </c>
    </row>
    <row r="38" spans="1:9" s="19" customFormat="1" ht="14.25" customHeight="1" thickBot="1">
      <c r="A38" s="596"/>
      <c r="B38" s="597"/>
      <c r="C38" s="598"/>
      <c r="D38" s="592"/>
      <c r="E38" s="592"/>
      <c r="F38" s="599"/>
      <c r="G38" s="600"/>
      <c r="H38" s="599"/>
      <c r="I38" s="598"/>
    </row>
    <row r="39" spans="1:9" s="608" customFormat="1" ht="21" customHeight="1" thickBot="1">
      <c r="A39" s="601"/>
      <c r="B39" s="602" t="s">
        <v>217</v>
      </c>
      <c r="C39" s="603"/>
      <c r="D39" s="584"/>
      <c r="E39" s="604">
        <f>SUM(E31,E29,E27,E25,E11)</f>
        <v>5303332.273887312</v>
      </c>
      <c r="F39" s="605">
        <f>E39/I39</f>
        <v>9.009658160920346E-2</v>
      </c>
      <c r="G39" s="606">
        <f>SUM(G31,G29,G27,G25,G11)</f>
        <v>53559414.560289703</v>
      </c>
      <c r="H39" s="605">
        <f>G39/I39</f>
        <v>0.90990341839079647</v>
      </c>
      <c r="I39" s="607">
        <f>SUM(E39,G39)</f>
        <v>58862746.834177017</v>
      </c>
    </row>
  </sheetData>
  <mergeCells count="3">
    <mergeCell ref="A1:I1"/>
    <mergeCell ref="A6:C10"/>
    <mergeCell ref="C3:G3"/>
  </mergeCells>
  <pageMargins left="0.70866141732283472" right="0.70866141732283472" top="0.74803149606299213" bottom="0.74803149606299213" header="0.31496062992125984" footer="0.31496062992125984"/>
  <pageSetup paperSize="9" scale="55" orientation="landscape" r:id="rId1"/>
  <headerFooter alignWithMargins="0"/>
  <ignoredErrors>
    <ignoredError sqref="H31:H37 H39 H29 H27 H25 H20 H18 H13 H11" evalError="1"/>
    <ignoredError sqref="F11 F39"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10</vt:i4>
      </vt:variant>
    </vt:vector>
  </HeadingPairs>
  <TitlesOfParts>
    <vt:vector size="22" baseType="lpstr">
      <vt:lpstr>TITELBLAD</vt:lpstr>
      <vt:lpstr>T1</vt:lpstr>
      <vt:lpstr>T2</vt:lpstr>
      <vt:lpstr>T3</vt:lpstr>
      <vt:lpstr>T4</vt:lpstr>
      <vt:lpstr>T5</vt:lpstr>
      <vt:lpstr>T7</vt:lpstr>
      <vt:lpstr>T8</vt:lpstr>
      <vt:lpstr>T9</vt:lpstr>
      <vt:lpstr>T10</vt:lpstr>
      <vt:lpstr>T11</vt:lpstr>
      <vt:lpstr>T12</vt:lpstr>
      <vt:lpstr>'T10'!Afdrukbereik</vt:lpstr>
      <vt:lpstr>'T11'!Afdrukbereik</vt:lpstr>
      <vt:lpstr>'T12'!Afdrukbereik</vt:lpstr>
      <vt:lpstr>'T2'!Afdrukbereik</vt:lpstr>
      <vt:lpstr>'T3'!Afdrukbereik</vt:lpstr>
      <vt:lpstr>'T4'!Afdrukbereik</vt:lpstr>
      <vt:lpstr>'T7'!Afdrukbereik</vt:lpstr>
      <vt:lpstr>'T8'!Afdrukbereik</vt:lpstr>
      <vt:lpstr>'T9'!Afdrukbereik</vt:lpstr>
      <vt:lpstr>TITELBLAD!Afdrukbereik</vt:lpstr>
    </vt:vector>
  </TitlesOfParts>
  <Company>VREG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Marc Michiels</cp:lastModifiedBy>
  <cp:lastPrinted>2016-12-02T10:04:42Z</cp:lastPrinted>
  <dcterms:created xsi:type="dcterms:W3CDTF">2014-06-04T07:25:01Z</dcterms:created>
  <dcterms:modified xsi:type="dcterms:W3CDTF">2017-02-03T13:27:50Z</dcterms:modified>
</cp:coreProperties>
</file>